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275" windowHeight="10605" tabRatio="787" activeTab="0"/>
  </bookViews>
  <sheets>
    <sheet name="Основные показатели " sheetId="1" r:id="rId1"/>
  </sheets>
  <definedNames>
    <definedName name="_xlnm.Print_Titles" localSheetId="0">'Основные показатели '!$3:$5</definedName>
    <definedName name="_xlnm.Print_Area" localSheetId="0">'Основные показатели '!$A$1:$G$5</definedName>
  </definedNames>
  <calcPr fullCalcOnLoad="1"/>
</workbook>
</file>

<file path=xl/sharedStrings.xml><?xml version="1.0" encoding="utf-8"?>
<sst xmlns="http://schemas.openxmlformats.org/spreadsheetml/2006/main" count="155" uniqueCount="35">
  <si>
    <t>Привлечение</t>
  </si>
  <si>
    <t>ОФЗ-АД</t>
  </si>
  <si>
    <t>в том числе:</t>
  </si>
  <si>
    <t>ОФЗ-ПД</t>
  </si>
  <si>
    <t>Расходы на обслуживание</t>
  </si>
  <si>
    <t>Чистое привлечение</t>
  </si>
  <si>
    <t>Чистое поступление в федер. бюджет по операциям с рублевыми гос. ценными бумагами</t>
  </si>
  <si>
    <t>Период</t>
  </si>
  <si>
    <t>Вид обязательства</t>
  </si>
  <si>
    <t>Январь</t>
  </si>
  <si>
    <t>ГСО-ФПС</t>
  </si>
  <si>
    <t>ГСО-ППС</t>
  </si>
  <si>
    <t>Эмиссия фактическая</t>
  </si>
  <si>
    <t>ОФЗ-ПК</t>
  </si>
  <si>
    <t>ОФЗ-ИН</t>
  </si>
  <si>
    <t>ОФЗ-н</t>
  </si>
  <si>
    <t xml:space="preserve"> Погашение осн.  долга</t>
  </si>
  <si>
    <t>(МЛН РУБ.)</t>
  </si>
  <si>
    <r>
      <t xml:space="preserve">Основные показатели исполнения федерального бюджета в 2020 году в части государственных ценных бумаг Российской Федерации, номинальная стоимость которых указана в валюте Российской Федерации
</t>
    </r>
    <r>
      <rPr>
        <sz val="14"/>
        <rFont val="Arial Cyr"/>
        <family val="2"/>
      </rPr>
      <t>(с учетом положений статьи 113 Бюджетного кодекса Российской Федерации)</t>
    </r>
  </si>
  <si>
    <t>Февраль</t>
  </si>
  <si>
    <t>Март</t>
  </si>
  <si>
    <t>Апрель</t>
  </si>
  <si>
    <t>Май</t>
  </si>
  <si>
    <t>Итого за 1 квартал 2020 г.</t>
  </si>
  <si>
    <t>Июнь</t>
  </si>
  <si>
    <t>Итого за 2 квартал 2020 г.</t>
  </si>
  <si>
    <t>Июль</t>
  </si>
  <si>
    <t>Август</t>
  </si>
  <si>
    <t>Сентябрь</t>
  </si>
  <si>
    <t>Итого за 3 квартал 2020 г.</t>
  </si>
  <si>
    <t>Октябрь</t>
  </si>
  <si>
    <t>Ноябрь</t>
  </si>
  <si>
    <t>Итого январь - декабрь 2020 г.</t>
  </si>
  <si>
    <t>Декабрь</t>
  </si>
  <si>
    <t>Итого за 4 квартал 2020 г.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</si>
</sst>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.00\ &quot;р.&quot;_-;\-* #,##0.00\ &quot;р.&quot;_-;_-* &quot;-&quot;??\ &quot;р.&quot;_-;_-@_-"/>
    <numFmt numFmtId="170" formatCode="_-* #,##0\ _р_._-;\-* #,##0\ _р_._-;_-* &quot;-&quot;\ _р_.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0.00000000"/>
    <numFmt numFmtId="184" formatCode="0.000"/>
    <numFmt numFmtId="185" formatCode="0.0000"/>
    <numFmt numFmtId="186" formatCode="0.000000"/>
    <numFmt numFmtId="187" formatCode="0.000000000"/>
    <numFmt numFmtId="188" formatCode="0.0000000"/>
    <numFmt numFmtId="189" formatCode="0.0000000000"/>
    <numFmt numFmtId="190" formatCode="0.00000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0.00000000000"/>
    <numFmt numFmtId="194" formatCode="#,##0.0"/>
    <numFmt numFmtId="195" formatCode="#,##0.000000000"/>
    <numFmt numFmtId="196" formatCode="#,##0.00000"/>
    <numFmt numFmtId="197" formatCode="0.000000000000"/>
    <numFmt numFmtId="198" formatCode="#,##0.000000"/>
    <numFmt numFmtId="199" formatCode="#,##0.0000000"/>
    <numFmt numFmtId="200" formatCode="#,##0.00000000"/>
    <numFmt numFmtId="201" formatCode="#,##0.0000000000"/>
    <numFmt numFmtId="202" formatCode="#,##0.000000000000"/>
    <numFmt numFmtId="203" formatCode="#,##0.000"/>
    <numFmt numFmtId="204" formatCode="#,##0.0000"/>
    <numFmt numFmtId="205" formatCode="0.0000000000000"/>
    <numFmt numFmtId="206" formatCode="0.00000000000000"/>
    <numFmt numFmtId="207" formatCode="#,##0.00000000000"/>
    <numFmt numFmtId="208" formatCode="0.000000000000000"/>
    <numFmt numFmtId="209" formatCode="##,###.0\&gt;\&gt;\&gt;"/>
    <numFmt numFmtId="210" formatCode="_-* #,##0.0_р_._-;\-* #,##0.0_р_._-;_-* &quot;-&quot;??_р_._-;_-@_-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</numFmts>
  <fonts count="44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82AF7A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94" fontId="2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33" borderId="11" xfId="0" applyFont="1" applyFill="1" applyBorder="1" applyAlignment="1">
      <alignment horizontal="center" vertical="justify"/>
    </xf>
    <xf numFmtId="0" fontId="2" fillId="33" borderId="12" xfId="0" applyFont="1" applyFill="1" applyBorder="1" applyAlignment="1">
      <alignment horizontal="left" vertical="justify"/>
    </xf>
    <xf numFmtId="0" fontId="2" fillId="33" borderId="13" xfId="0" applyFont="1" applyFill="1" applyBorder="1" applyAlignment="1">
      <alignment vertical="justify"/>
    </xf>
    <xf numFmtId="194" fontId="2" fillId="0" borderId="14" xfId="0" applyNumberFormat="1" applyFont="1" applyFill="1" applyBorder="1" applyAlignment="1">
      <alignment/>
    </xf>
    <xf numFmtId="0" fontId="8" fillId="0" borderId="0" xfId="0" applyFont="1" applyBorder="1" applyAlignment="1">
      <alignment horizontal="right"/>
    </xf>
    <xf numFmtId="194" fontId="1" fillId="0" borderId="15" xfId="0" applyNumberFormat="1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0" fillId="0" borderId="15" xfId="0" applyFill="1" applyBorder="1" applyAlignment="1">
      <alignment/>
    </xf>
    <xf numFmtId="194" fontId="1" fillId="0" borderId="16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194" fontId="1" fillId="0" borderId="17" xfId="0" applyNumberFormat="1" applyFont="1" applyFill="1" applyBorder="1" applyAlignment="1">
      <alignment/>
    </xf>
    <xf numFmtId="194" fontId="1" fillId="0" borderId="18" xfId="0" applyNumberFormat="1" applyFont="1" applyFill="1" applyBorder="1" applyAlignment="1">
      <alignment/>
    </xf>
    <xf numFmtId="194" fontId="1" fillId="0" borderId="15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194" fontId="1" fillId="0" borderId="0" xfId="0" applyNumberFormat="1" applyFont="1" applyFill="1" applyBorder="1" applyAlignment="1">
      <alignment/>
    </xf>
    <xf numFmtId="194" fontId="1" fillId="0" borderId="19" xfId="0" applyNumberFormat="1" applyFont="1" applyFill="1" applyBorder="1" applyAlignment="1">
      <alignment/>
    </xf>
    <xf numFmtId="0" fontId="2" fillId="0" borderId="20" xfId="0" applyFont="1" applyFill="1" applyBorder="1" applyAlignment="1">
      <alignment wrapText="1"/>
    </xf>
    <xf numFmtId="4" fontId="0" fillId="0" borderId="0" xfId="0" applyNumberFormat="1" applyBorder="1" applyAlignment="1">
      <alignment/>
    </xf>
    <xf numFmtId="194" fontId="2" fillId="0" borderId="21" xfId="0" applyNumberFormat="1" applyFont="1" applyFill="1" applyBorder="1" applyAlignment="1">
      <alignment/>
    </xf>
    <xf numFmtId="194" fontId="0" fillId="0" borderId="0" xfId="0" applyNumberFormat="1" applyAlignment="1">
      <alignment/>
    </xf>
    <xf numFmtId="194" fontId="2" fillId="0" borderId="22" xfId="0" applyNumberFormat="1" applyFont="1" applyFill="1" applyBorder="1" applyAlignment="1">
      <alignment/>
    </xf>
    <xf numFmtId="194" fontId="1" fillId="0" borderId="10" xfId="0" applyNumberFormat="1" applyFont="1" applyFill="1" applyBorder="1" applyAlignment="1">
      <alignment/>
    </xf>
    <xf numFmtId="194" fontId="1" fillId="0" borderId="14" xfId="0" applyNumberFormat="1" applyFont="1" applyFill="1" applyBorder="1" applyAlignment="1">
      <alignment/>
    </xf>
    <xf numFmtId="194" fontId="2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194" fontId="2" fillId="0" borderId="10" xfId="0" applyNumberFormat="1" applyFont="1" applyFill="1" applyBorder="1" applyAlignment="1">
      <alignment/>
    </xf>
    <xf numFmtId="194" fontId="2" fillId="0" borderId="14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23" xfId="0" applyFont="1" applyFill="1" applyBorder="1" applyAlignment="1">
      <alignment/>
    </xf>
    <xf numFmtId="194" fontId="1" fillId="0" borderId="24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1"/>
  <sheetViews>
    <sheetView tabSelected="1" zoomScale="75" zoomScaleNormal="75" zoomScaleSheetLayoutView="75" workbookViewId="0" topLeftCell="A1">
      <pane ySplit="4" topLeftCell="A120" activePane="bottomLeft" state="frozen"/>
      <selection pane="topLeft" activeCell="A1" sqref="A1"/>
      <selection pane="bottomLeft" activeCell="B142" sqref="B142"/>
    </sheetView>
  </sheetViews>
  <sheetFormatPr defaultColWidth="9.00390625" defaultRowHeight="12.75"/>
  <cols>
    <col min="1" max="1" width="24.875" style="0" customWidth="1"/>
    <col min="2" max="2" width="18.625" style="0" customWidth="1"/>
    <col min="3" max="3" width="18.75390625" style="0" customWidth="1"/>
    <col min="4" max="4" width="17.125" style="0" customWidth="1"/>
    <col min="5" max="5" width="18.25390625" style="0" customWidth="1"/>
    <col min="6" max="6" width="21.25390625" style="0" customWidth="1"/>
    <col min="7" max="7" width="23.75390625" style="0" customWidth="1"/>
    <col min="8" max="8" width="12.375" style="0" customWidth="1"/>
    <col min="9" max="9" width="5.75390625" style="0" customWidth="1"/>
    <col min="10" max="10" width="33.00390625" style="0" customWidth="1"/>
    <col min="11" max="11" width="27.375" style="0" customWidth="1"/>
    <col min="12" max="12" width="16.875" style="0" customWidth="1"/>
    <col min="13" max="13" width="17.75390625" style="0" customWidth="1"/>
    <col min="14" max="14" width="18.125" style="0" customWidth="1"/>
    <col min="15" max="15" width="28.00390625" style="0" customWidth="1"/>
    <col min="16" max="16" width="9.125" style="0" customWidth="1"/>
  </cols>
  <sheetData>
    <row r="1" spans="1:7" ht="87.75" customHeight="1">
      <c r="A1" s="39" t="s">
        <v>18</v>
      </c>
      <c r="B1" s="40"/>
      <c r="C1" s="40"/>
      <c r="D1" s="40"/>
      <c r="E1" s="40"/>
      <c r="F1" s="40"/>
      <c r="G1" s="40"/>
    </row>
    <row r="2" spans="1:7" ht="39" customHeight="1" thickBot="1">
      <c r="A2" s="2"/>
      <c r="B2" s="2"/>
      <c r="C2" s="2"/>
      <c r="D2" s="2"/>
      <c r="E2" s="2"/>
      <c r="F2" s="2"/>
      <c r="G2" s="7" t="s">
        <v>17</v>
      </c>
    </row>
    <row r="3" spans="1:7" ht="15" customHeight="1">
      <c r="A3" s="3"/>
      <c r="B3" s="36" t="s">
        <v>12</v>
      </c>
      <c r="C3" s="36" t="s">
        <v>0</v>
      </c>
      <c r="D3" s="36" t="s">
        <v>16</v>
      </c>
      <c r="E3" s="36" t="s">
        <v>5</v>
      </c>
      <c r="F3" s="36" t="s">
        <v>4</v>
      </c>
      <c r="G3" s="41" t="s">
        <v>6</v>
      </c>
    </row>
    <row r="4" spans="1:7" ht="108" customHeight="1">
      <c r="A4" s="4" t="s">
        <v>7</v>
      </c>
      <c r="B4" s="37"/>
      <c r="C4" s="37"/>
      <c r="D4" s="37"/>
      <c r="E4" s="37"/>
      <c r="F4" s="37"/>
      <c r="G4" s="42"/>
    </row>
    <row r="5" spans="1:7" ht="28.5" customHeight="1" thickBot="1">
      <c r="A5" s="5" t="s">
        <v>8</v>
      </c>
      <c r="B5" s="38"/>
      <c r="C5" s="38"/>
      <c r="D5" s="38"/>
      <c r="E5" s="38"/>
      <c r="F5" s="38"/>
      <c r="G5" s="43"/>
    </row>
    <row r="6" spans="1:7" ht="15.75">
      <c r="A6" s="9" t="s">
        <v>9</v>
      </c>
      <c r="B6" s="1">
        <v>203745.44496175004</v>
      </c>
      <c r="C6" s="1">
        <v>206403.92399001005</v>
      </c>
      <c r="D6" s="1">
        <v>275670.22432676004</v>
      </c>
      <c r="E6" s="1">
        <v>-69266.30033674999</v>
      </c>
      <c r="F6" s="1">
        <v>58118.35381783998</v>
      </c>
      <c r="G6" s="6">
        <v>-127384.65415458995</v>
      </c>
    </row>
    <row r="7" spans="1:7" ht="15">
      <c r="A7" s="10" t="s">
        <v>2</v>
      </c>
      <c r="B7" s="11"/>
      <c r="C7" s="11"/>
      <c r="D7" s="11"/>
      <c r="E7" s="11"/>
      <c r="F7" s="11"/>
      <c r="G7" s="12"/>
    </row>
    <row r="8" spans="1:7" ht="15">
      <c r="A8" s="10" t="s">
        <v>3</v>
      </c>
      <c r="B8" s="8">
        <v>141214.543</v>
      </c>
      <c r="C8" s="8">
        <v>144215.23175897</v>
      </c>
      <c r="D8" s="8">
        <v>0</v>
      </c>
      <c r="E8" s="8">
        <v>144215.23175897</v>
      </c>
      <c r="F8" s="8">
        <v>31573.053582399996</v>
      </c>
      <c r="G8" s="12">
        <v>112642.17817657001</v>
      </c>
    </row>
    <row r="9" spans="1:7" ht="15">
      <c r="A9" s="10" t="s">
        <v>13</v>
      </c>
      <c r="B9" s="8">
        <v>35094.129</v>
      </c>
      <c r="C9" s="8">
        <v>35271.91427395</v>
      </c>
      <c r="D9" s="8">
        <v>246059.47142201</v>
      </c>
      <c r="E9" s="8">
        <v>-210787.55714806</v>
      </c>
      <c r="F9" s="8">
        <v>16126.52857798999</v>
      </c>
      <c r="G9" s="12">
        <v>-226914.08572605</v>
      </c>
    </row>
    <row r="10" spans="1:7" ht="15">
      <c r="A10" s="10" t="s">
        <v>14</v>
      </c>
      <c r="B10" s="8">
        <v>26743.70896175</v>
      </c>
      <c r="C10" s="8">
        <v>26235.142965630002</v>
      </c>
      <c r="D10" s="8">
        <v>0</v>
      </c>
      <c r="E10" s="8">
        <v>26235.142965630002</v>
      </c>
      <c r="F10" s="8">
        <v>-294.8026871</v>
      </c>
      <c r="G10" s="12">
        <v>26529.94565273</v>
      </c>
    </row>
    <row r="11" spans="1:7" ht="15">
      <c r="A11" s="10" t="s">
        <v>15</v>
      </c>
      <c r="B11" s="8">
        <v>693.064</v>
      </c>
      <c r="C11" s="8">
        <v>681.63499146</v>
      </c>
      <c r="D11" s="8">
        <v>110.75290475000003</v>
      </c>
      <c r="E11" s="8">
        <v>570.8820867100001</v>
      </c>
      <c r="F11" s="8">
        <v>1.5737293100000003</v>
      </c>
      <c r="G11" s="12">
        <v>569.3083574000001</v>
      </c>
    </row>
    <row r="12" spans="1:7" ht="15">
      <c r="A12" s="10" t="s">
        <v>1</v>
      </c>
      <c r="B12" s="8">
        <v>0</v>
      </c>
      <c r="C12" s="8">
        <v>0</v>
      </c>
      <c r="D12" s="8">
        <v>29500</v>
      </c>
      <c r="E12" s="8">
        <v>-29500</v>
      </c>
      <c r="F12" s="8">
        <v>9156.16061524</v>
      </c>
      <c r="G12" s="12">
        <v>-38656.16061524</v>
      </c>
    </row>
    <row r="13" spans="1:7" ht="15">
      <c r="A13" s="10" t="s">
        <v>10</v>
      </c>
      <c r="B13" s="8">
        <v>0</v>
      </c>
      <c r="C13" s="8">
        <v>0</v>
      </c>
      <c r="D13" s="8">
        <v>0</v>
      </c>
      <c r="E13" s="8">
        <v>0</v>
      </c>
      <c r="F13" s="8">
        <v>1555.84</v>
      </c>
      <c r="G13" s="12">
        <v>-1555.84</v>
      </c>
    </row>
    <row r="14" spans="1:7" ht="15.75" thickBot="1">
      <c r="A14" s="13" t="s">
        <v>11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5">
        <v>0</v>
      </c>
    </row>
    <row r="15" spans="1:7" ht="15.75">
      <c r="A15" s="9" t="s">
        <v>19</v>
      </c>
      <c r="B15" s="1">
        <v>298889.98471608</v>
      </c>
      <c r="C15" s="1">
        <v>295466.05287974</v>
      </c>
      <c r="D15" s="1">
        <v>124.94649308</v>
      </c>
      <c r="E15" s="1">
        <v>295341.10638666</v>
      </c>
      <c r="F15" s="1">
        <v>35224.14176358</v>
      </c>
      <c r="G15" s="6">
        <v>260116.96462308</v>
      </c>
    </row>
    <row r="16" spans="1:7" ht="15">
      <c r="A16" s="10" t="s">
        <v>2</v>
      </c>
      <c r="B16" s="11"/>
      <c r="C16" s="11"/>
      <c r="D16" s="11"/>
      <c r="E16" s="11"/>
      <c r="F16" s="11"/>
      <c r="G16" s="12"/>
    </row>
    <row r="17" spans="1:7" ht="15">
      <c r="A17" s="10" t="s">
        <v>3</v>
      </c>
      <c r="B17" s="8">
        <f>225167143000/1000000</f>
        <v>225167.143</v>
      </c>
      <c r="C17" s="8">
        <f>221990616437.19/1000000</f>
        <v>221990.61643719</v>
      </c>
      <c r="D17" s="8">
        <v>0</v>
      </c>
      <c r="E17" s="8">
        <f>221990616437.19/1000000</f>
        <v>221990.61643719</v>
      </c>
      <c r="F17" s="8">
        <f>8044705629.43/1000000</f>
        <v>8044.70562943</v>
      </c>
      <c r="G17" s="12">
        <f>213945910807.76/1000000</f>
        <v>213945.91080776</v>
      </c>
    </row>
    <row r="18" spans="1:7" ht="15">
      <c r="A18" s="10" t="s">
        <v>13</v>
      </c>
      <c r="B18" s="8">
        <f>62372089000/1000000</f>
        <v>62372.089</v>
      </c>
      <c r="C18" s="8">
        <f>62194303726.05/1000000</f>
        <v>62194.303726050006</v>
      </c>
      <c r="D18" s="8">
        <v>0</v>
      </c>
      <c r="E18" s="8">
        <f>62194303726.05/1000000</f>
        <v>62194.303726050006</v>
      </c>
      <c r="F18" s="8">
        <f>16207257825.53/1000000</f>
        <v>16207.257825530001</v>
      </c>
      <c r="G18" s="12">
        <f>45987045900.52/1000000</f>
        <v>45987.045900519995</v>
      </c>
    </row>
    <row r="19" spans="1:7" ht="15">
      <c r="A19" s="10" t="s">
        <v>14</v>
      </c>
      <c r="B19" s="8">
        <f>10709795716.08/1000000</f>
        <v>10709.79571608</v>
      </c>
      <c r="C19" s="8">
        <f>10648069578.76/1000000</f>
        <v>10648.06957876</v>
      </c>
      <c r="D19" s="8">
        <v>0</v>
      </c>
      <c r="E19" s="8">
        <f>10648069578.76/1000000</f>
        <v>10648.06957876</v>
      </c>
      <c r="F19" s="8">
        <f>4968476213.34/1000000</f>
        <v>4968.47621334</v>
      </c>
      <c r="G19" s="12">
        <f>5679593365.42/1000000</f>
        <v>5679.59336542</v>
      </c>
    </row>
    <row r="20" spans="1:7" ht="15">
      <c r="A20" s="10" t="s">
        <v>15</v>
      </c>
      <c r="B20" s="8">
        <f>640957000/1000000</f>
        <v>640.957</v>
      </c>
      <c r="C20" s="8">
        <f>633063137.74/1000000</f>
        <v>633.06313774</v>
      </c>
      <c r="D20" s="8">
        <f>124946493.08/1000000</f>
        <v>124.94649308</v>
      </c>
      <c r="E20" s="8">
        <f>508116644.66/1000000</f>
        <v>508.11664466</v>
      </c>
      <c r="F20" s="8">
        <f>272672.310000001/1000000</f>
        <v>0.272672310000001</v>
      </c>
      <c r="G20" s="12">
        <f>507843972.35/1000000</f>
        <v>507.84397235</v>
      </c>
    </row>
    <row r="21" spans="1:7" ht="15">
      <c r="A21" s="10" t="s">
        <v>1</v>
      </c>
      <c r="B21" s="8">
        <v>0</v>
      </c>
      <c r="C21" s="8">
        <v>0</v>
      </c>
      <c r="D21" s="8">
        <v>0</v>
      </c>
      <c r="E21" s="8">
        <v>0</v>
      </c>
      <c r="F21" s="8">
        <f>2420934422.97/1000000</f>
        <v>2420.93442297</v>
      </c>
      <c r="G21" s="12">
        <f>-2420934422.97/1000000</f>
        <v>-2420.93442297</v>
      </c>
    </row>
    <row r="22" spans="1:7" ht="15">
      <c r="A22" s="10" t="s">
        <v>10</v>
      </c>
      <c r="B22" s="8">
        <v>0</v>
      </c>
      <c r="C22" s="8">
        <v>0</v>
      </c>
      <c r="D22" s="8">
        <v>0</v>
      </c>
      <c r="E22" s="8">
        <v>0</v>
      </c>
      <c r="F22" s="8">
        <f>904860000/1000000</f>
        <v>904.86</v>
      </c>
      <c r="G22" s="12">
        <f>-904860000/1000000</f>
        <v>-904.86</v>
      </c>
    </row>
    <row r="23" spans="1:7" ht="15.75" thickBot="1">
      <c r="A23" s="10" t="s">
        <v>11</v>
      </c>
      <c r="B23" s="8">
        <v>0</v>
      </c>
      <c r="C23" s="8">
        <v>0</v>
      </c>
      <c r="D23" s="8">
        <v>0</v>
      </c>
      <c r="E23" s="8">
        <v>0</v>
      </c>
      <c r="F23" s="8">
        <f>2677635000/1000000</f>
        <v>2677.635</v>
      </c>
      <c r="G23" s="12">
        <f>-2677635000/1000000</f>
        <v>-2677.635</v>
      </c>
    </row>
    <row r="24" spans="1:7" ht="15.75">
      <c r="A24" s="9" t="s">
        <v>20</v>
      </c>
      <c r="B24" s="1">
        <v>994.403</v>
      </c>
      <c r="C24" s="1">
        <v>956.39974988</v>
      </c>
      <c r="D24" s="1">
        <v>248.05502097</v>
      </c>
      <c r="E24" s="1">
        <v>708.34472891</v>
      </c>
      <c r="F24" s="1">
        <v>47668.36960017</v>
      </c>
      <c r="G24" s="6">
        <v>-46960.02487126</v>
      </c>
    </row>
    <row r="25" spans="1:7" ht="15">
      <c r="A25" s="10" t="s">
        <v>2</v>
      </c>
      <c r="B25" s="11"/>
      <c r="C25" s="11"/>
      <c r="D25" s="11"/>
      <c r="E25" s="11"/>
      <c r="F25" s="11"/>
      <c r="G25" s="12"/>
    </row>
    <row r="26" spans="1:7" ht="15">
      <c r="A26" s="10" t="s">
        <v>3</v>
      </c>
      <c r="B26" s="8">
        <v>0</v>
      </c>
      <c r="C26" s="8">
        <v>0</v>
      </c>
      <c r="D26" s="8">
        <v>0</v>
      </c>
      <c r="E26" s="8">
        <v>0</v>
      </c>
      <c r="F26" s="8">
        <v>35119.69285077</v>
      </c>
      <c r="G26" s="12">
        <v>-35119.69285077</v>
      </c>
    </row>
    <row r="27" spans="1:7" ht="15">
      <c r="A27" s="10" t="s">
        <v>13</v>
      </c>
      <c r="B27" s="8">
        <v>0</v>
      </c>
      <c r="C27" s="8">
        <v>0</v>
      </c>
      <c r="D27" s="8">
        <v>0</v>
      </c>
      <c r="E27" s="8">
        <v>0</v>
      </c>
      <c r="F27" s="8">
        <v>8292.70750358</v>
      </c>
      <c r="G27" s="12">
        <v>-8292.70750358</v>
      </c>
    </row>
    <row r="28" spans="1:7" ht="15">
      <c r="A28" s="10" t="s">
        <v>14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12">
        <v>0</v>
      </c>
    </row>
    <row r="29" spans="1:7" ht="15">
      <c r="A29" s="10" t="s">
        <v>15</v>
      </c>
      <c r="B29" s="8">
        <v>994.403</v>
      </c>
      <c r="C29" s="16">
        <v>956.39974988</v>
      </c>
      <c r="D29" s="8">
        <v>248.05502097</v>
      </c>
      <c r="E29" s="8">
        <v>708.34472891</v>
      </c>
      <c r="F29" s="8">
        <v>1394.91324582</v>
      </c>
      <c r="G29" s="12">
        <v>-686.56851691</v>
      </c>
    </row>
    <row r="30" spans="1:7" ht="15">
      <c r="A30" s="10" t="s">
        <v>1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12">
        <v>0</v>
      </c>
    </row>
    <row r="31" spans="1:7" ht="15">
      <c r="A31" s="10" t="s">
        <v>10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12">
        <v>0</v>
      </c>
    </row>
    <row r="32" spans="1:7" ht="15.75" thickBot="1">
      <c r="A32" s="10" t="s">
        <v>11</v>
      </c>
      <c r="B32" s="8">
        <v>0</v>
      </c>
      <c r="C32" s="8">
        <v>0</v>
      </c>
      <c r="D32" s="8">
        <v>0</v>
      </c>
      <c r="E32" s="8">
        <v>0</v>
      </c>
      <c r="F32" s="8">
        <v>2861.056</v>
      </c>
      <c r="G32" s="12">
        <v>-2861.056</v>
      </c>
    </row>
    <row r="33" spans="1:20" ht="35.25" customHeight="1" thickBot="1">
      <c r="A33" s="20" t="s">
        <v>23</v>
      </c>
      <c r="B33" s="22">
        <v>503629.83267783</v>
      </c>
      <c r="C33" s="22">
        <v>502826.37661963</v>
      </c>
      <c r="D33" s="22">
        <v>276043.22584081</v>
      </c>
      <c r="E33" s="22">
        <v>226783.15077882</v>
      </c>
      <c r="F33" s="22">
        <v>141010.86518159</v>
      </c>
      <c r="G33" s="24">
        <v>85772.2855972301</v>
      </c>
      <c r="H33" s="21"/>
      <c r="I33" s="21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ht="15.75">
      <c r="A34" s="10" t="s">
        <v>2</v>
      </c>
      <c r="B34" s="18"/>
      <c r="C34" s="8"/>
      <c r="D34" s="8"/>
      <c r="E34" s="8"/>
      <c r="F34" s="8"/>
      <c r="G34" s="12"/>
      <c r="H34" s="35"/>
      <c r="I34" s="35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ht="15.75">
      <c r="A35" s="10" t="s">
        <v>3</v>
      </c>
      <c r="B35" s="18">
        <v>366381.686</v>
      </c>
      <c r="C35" s="8">
        <v>366205.84819616005</v>
      </c>
      <c r="D35" s="8">
        <v>0</v>
      </c>
      <c r="E35" s="8">
        <v>366205.84819616005</v>
      </c>
      <c r="F35" s="8">
        <v>74737.4520626</v>
      </c>
      <c r="G35" s="12">
        <v>291468.39613356</v>
      </c>
      <c r="H35" s="35"/>
      <c r="I35" s="35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ht="15.75">
      <c r="A36" s="10" t="s">
        <v>13</v>
      </c>
      <c r="B36" s="18">
        <v>97466.218</v>
      </c>
      <c r="C36" s="8">
        <v>97466.21800000001</v>
      </c>
      <c r="D36" s="8">
        <v>246059.47142201</v>
      </c>
      <c r="E36" s="8">
        <v>-148593.25342201</v>
      </c>
      <c r="F36" s="8">
        <v>40626.4939071</v>
      </c>
      <c r="G36" s="12">
        <v>-189219.74732911</v>
      </c>
      <c r="H36" s="35"/>
      <c r="I36" s="35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ht="15.75">
      <c r="A37" s="10" t="s">
        <v>14</v>
      </c>
      <c r="B37" s="18">
        <v>37453.50467783</v>
      </c>
      <c r="C37" s="8">
        <v>36883.21254439</v>
      </c>
      <c r="D37" s="8">
        <v>0</v>
      </c>
      <c r="E37" s="8">
        <v>36883.21254439</v>
      </c>
      <c r="F37" s="8">
        <v>4673.67352624</v>
      </c>
      <c r="G37" s="12">
        <v>32209.53901815</v>
      </c>
      <c r="H37" s="35"/>
      <c r="I37" s="35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ht="15.75">
      <c r="A38" s="10" t="s">
        <v>15</v>
      </c>
      <c r="B38" s="18">
        <v>2328.424</v>
      </c>
      <c r="C38" s="8">
        <v>2271.09787908</v>
      </c>
      <c r="D38" s="8">
        <v>483.7544188</v>
      </c>
      <c r="E38" s="8">
        <v>1787.34346028</v>
      </c>
      <c r="F38" s="8">
        <v>1396.75964744</v>
      </c>
      <c r="G38" s="12">
        <v>390.58381284</v>
      </c>
      <c r="H38" s="35"/>
      <c r="I38" s="35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0" ht="15.75">
      <c r="A39" s="10" t="s">
        <v>1</v>
      </c>
      <c r="B39" s="18">
        <v>0</v>
      </c>
      <c r="C39" s="8">
        <v>0</v>
      </c>
      <c r="D39" s="8">
        <v>29500</v>
      </c>
      <c r="E39" s="8">
        <v>-29500</v>
      </c>
      <c r="F39" s="8">
        <v>11577.09503821</v>
      </c>
      <c r="G39" s="12">
        <v>-41077.09503821</v>
      </c>
      <c r="H39" s="35"/>
      <c r="I39" s="35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0" ht="15.75">
      <c r="A40" s="10" t="s">
        <v>10</v>
      </c>
      <c r="B40" s="18">
        <v>0</v>
      </c>
      <c r="C40" s="8">
        <v>0</v>
      </c>
      <c r="D40" s="8">
        <v>0</v>
      </c>
      <c r="E40" s="8">
        <v>0</v>
      </c>
      <c r="F40" s="8">
        <v>2460.7</v>
      </c>
      <c r="G40" s="12">
        <v>-2460.7</v>
      </c>
      <c r="H40" s="35"/>
      <c r="I40" s="35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ht="15.75" thickBot="1">
      <c r="A41" s="13" t="s">
        <v>11</v>
      </c>
      <c r="B41" s="19">
        <v>0</v>
      </c>
      <c r="C41" s="14">
        <v>0</v>
      </c>
      <c r="D41" s="14">
        <v>0</v>
      </c>
      <c r="E41" s="14">
        <v>0</v>
      </c>
      <c r="F41" s="14">
        <v>5538.691</v>
      </c>
      <c r="G41" s="15">
        <v>-5538.691</v>
      </c>
      <c r="H41" s="21"/>
      <c r="I41" s="21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9" ht="15.75">
      <c r="A42" s="9" t="s">
        <v>21</v>
      </c>
      <c r="B42" s="1">
        <v>339661.136</v>
      </c>
      <c r="C42" s="1">
        <v>340060.348</v>
      </c>
      <c r="D42" s="1">
        <v>28416.036</v>
      </c>
      <c r="E42" s="1">
        <v>311644.311</v>
      </c>
      <c r="F42" s="1">
        <v>64717.092</v>
      </c>
      <c r="G42" s="6">
        <v>246927.218</v>
      </c>
      <c r="H42" s="21"/>
      <c r="I42" s="2"/>
    </row>
    <row r="43" spans="1:9" ht="15">
      <c r="A43" s="10" t="s">
        <v>2</v>
      </c>
      <c r="B43" s="11"/>
      <c r="C43" s="11"/>
      <c r="D43" s="11"/>
      <c r="E43" s="11"/>
      <c r="F43" s="11"/>
      <c r="G43" s="12"/>
      <c r="H43" s="21"/>
      <c r="I43" s="2"/>
    </row>
    <row r="44" spans="1:9" ht="15">
      <c r="A44" s="10" t="s">
        <v>3</v>
      </c>
      <c r="B44" s="8">
        <v>333136.047</v>
      </c>
      <c r="C44" s="8">
        <v>333731.491</v>
      </c>
      <c r="D44" s="8">
        <v>0</v>
      </c>
      <c r="E44" s="8">
        <v>333731.491</v>
      </c>
      <c r="F44" s="8">
        <v>50805.003</v>
      </c>
      <c r="G44" s="12">
        <v>282926.487</v>
      </c>
      <c r="H44" s="21"/>
      <c r="I44" s="2"/>
    </row>
    <row r="45" spans="1:9" ht="15">
      <c r="A45" s="10" t="s">
        <v>13</v>
      </c>
      <c r="B45" s="8">
        <v>0</v>
      </c>
      <c r="C45" s="8">
        <v>0</v>
      </c>
      <c r="D45" s="8">
        <v>0</v>
      </c>
      <c r="E45" s="8">
        <v>0</v>
      </c>
      <c r="F45" s="8">
        <v>11146.273</v>
      </c>
      <c r="G45" s="12">
        <v>-11146.273</v>
      </c>
      <c r="H45" s="21"/>
      <c r="I45" s="2"/>
    </row>
    <row r="46" spans="1:8" ht="15">
      <c r="A46" s="10" t="s">
        <v>14</v>
      </c>
      <c r="B46" s="8">
        <v>5556.872</v>
      </c>
      <c r="C46" s="8">
        <v>5378.64</v>
      </c>
      <c r="D46" s="8">
        <v>0</v>
      </c>
      <c r="E46" s="8">
        <v>5378.64</v>
      </c>
      <c r="F46" s="8">
        <v>-21.309</v>
      </c>
      <c r="G46" s="12">
        <v>5399.949</v>
      </c>
      <c r="H46" s="17"/>
    </row>
    <row r="47" spans="1:8" ht="15">
      <c r="A47" s="10" t="s">
        <v>15</v>
      </c>
      <c r="B47" s="8">
        <v>968.211</v>
      </c>
      <c r="C47" s="16">
        <v>950.216</v>
      </c>
      <c r="D47" s="8">
        <v>28416.036</v>
      </c>
      <c r="E47" s="8">
        <v>-27465.819</v>
      </c>
      <c r="F47" s="8">
        <v>1492.644</v>
      </c>
      <c r="G47" s="12">
        <v>-28958.464</v>
      </c>
      <c r="H47" s="17"/>
    </row>
    <row r="48" spans="1:8" ht="15">
      <c r="A48" s="10" t="s">
        <v>1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12">
        <v>0</v>
      </c>
      <c r="H48" s="17"/>
    </row>
    <row r="49" spans="1:8" ht="15">
      <c r="A49" s="10" t="s">
        <v>10</v>
      </c>
      <c r="B49" s="8">
        <v>0</v>
      </c>
      <c r="C49" s="8">
        <v>0</v>
      </c>
      <c r="D49" s="8">
        <v>0</v>
      </c>
      <c r="E49" s="8">
        <v>0</v>
      </c>
      <c r="F49" s="8">
        <v>319.12</v>
      </c>
      <c r="G49" s="12">
        <v>-319.12</v>
      </c>
      <c r="H49" s="17"/>
    </row>
    <row r="50" spans="1:8" ht="15.75" thickBot="1">
      <c r="A50" s="10" t="s">
        <v>11</v>
      </c>
      <c r="B50" s="8">
        <v>0</v>
      </c>
      <c r="C50" s="8">
        <v>0</v>
      </c>
      <c r="D50" s="8">
        <v>0</v>
      </c>
      <c r="E50" s="8">
        <v>0</v>
      </c>
      <c r="F50" s="8">
        <v>975.36</v>
      </c>
      <c r="G50" s="12">
        <v>-975.36</v>
      </c>
      <c r="H50" s="17"/>
    </row>
    <row r="51" spans="1:8" ht="15.75">
      <c r="A51" s="9" t="s">
        <v>22</v>
      </c>
      <c r="B51" s="1">
        <v>380396.59</v>
      </c>
      <c r="C51" s="1">
        <v>386485.14</v>
      </c>
      <c r="D51" s="1">
        <v>211904.58</v>
      </c>
      <c r="E51" s="1">
        <v>174580.56</v>
      </c>
      <c r="F51" s="1">
        <v>41894.52</v>
      </c>
      <c r="G51" s="6">
        <v>132686.04</v>
      </c>
      <c r="H51" s="17"/>
    </row>
    <row r="52" spans="1:8" ht="15">
      <c r="A52" s="10" t="s">
        <v>2</v>
      </c>
      <c r="B52" s="11"/>
      <c r="C52" s="11"/>
      <c r="D52" s="11"/>
      <c r="E52" s="11"/>
      <c r="F52" s="11"/>
      <c r="G52" s="12"/>
      <c r="H52" s="17"/>
    </row>
    <row r="53" spans="1:10" ht="15">
      <c r="A53" s="10" t="s">
        <v>3</v>
      </c>
      <c r="B53" s="8">
        <v>367887.22</v>
      </c>
      <c r="C53" s="8">
        <v>373991.17</v>
      </c>
      <c r="D53" s="8">
        <v>211837</v>
      </c>
      <c r="E53" s="8">
        <v>162154.17</v>
      </c>
      <c r="F53" s="8">
        <v>23679.99</v>
      </c>
      <c r="G53" s="12">
        <v>138474.18000000002</v>
      </c>
      <c r="H53" s="17"/>
      <c r="J53" s="23"/>
    </row>
    <row r="54" spans="1:8" ht="15">
      <c r="A54" s="10" t="s">
        <v>13</v>
      </c>
      <c r="B54" s="8">
        <v>0</v>
      </c>
      <c r="C54" s="8">
        <v>0</v>
      </c>
      <c r="D54" s="8">
        <v>0</v>
      </c>
      <c r="E54" s="8">
        <f>C54-D54</f>
        <v>0</v>
      </c>
      <c r="F54" s="8">
        <v>16043.44</v>
      </c>
      <c r="G54" s="12">
        <v>-16043.44</v>
      </c>
      <c r="H54" s="17"/>
    </row>
    <row r="55" spans="1:8" ht="15">
      <c r="A55" s="10" t="s">
        <v>14</v>
      </c>
      <c r="B55" s="8">
        <v>10824.4</v>
      </c>
      <c r="C55" s="8">
        <v>10824.4</v>
      </c>
      <c r="D55" s="8">
        <v>0</v>
      </c>
      <c r="E55" s="8">
        <v>10824.4</v>
      </c>
      <c r="F55" s="8">
        <v>-106.19</v>
      </c>
      <c r="G55" s="12">
        <v>10930.59</v>
      </c>
      <c r="H55" s="17"/>
    </row>
    <row r="56" spans="1:8" ht="15">
      <c r="A56" s="10" t="s">
        <v>15</v>
      </c>
      <c r="B56" s="8">
        <v>1684.97</v>
      </c>
      <c r="C56" s="16">
        <v>1669.58</v>
      </c>
      <c r="D56" s="8">
        <v>67.58</v>
      </c>
      <c r="E56" s="8">
        <v>1602</v>
      </c>
      <c r="F56" s="8">
        <v>-35.84</v>
      </c>
      <c r="G56" s="12">
        <v>1637.84</v>
      </c>
      <c r="H56" s="17"/>
    </row>
    <row r="57" spans="1:10" ht="15">
      <c r="A57" s="10" t="s">
        <v>1</v>
      </c>
      <c r="B57" s="8">
        <v>0</v>
      </c>
      <c r="C57" s="8">
        <v>0</v>
      </c>
      <c r="D57" s="8">
        <v>0</v>
      </c>
      <c r="E57" s="8">
        <f>C57-D57</f>
        <v>0</v>
      </c>
      <c r="F57" s="8">
        <v>1243.74</v>
      </c>
      <c r="G57" s="12">
        <v>-1243.74</v>
      </c>
      <c r="H57" s="17"/>
      <c r="J57" s="23"/>
    </row>
    <row r="58" spans="1:8" ht="15">
      <c r="A58" s="10" t="s">
        <v>10</v>
      </c>
      <c r="B58" s="8">
        <v>0</v>
      </c>
      <c r="C58" s="8">
        <v>0</v>
      </c>
      <c r="D58" s="8">
        <v>0</v>
      </c>
      <c r="E58" s="8">
        <f>C58-D58</f>
        <v>0</v>
      </c>
      <c r="F58" s="8">
        <v>1069.38</v>
      </c>
      <c r="G58" s="12">
        <v>-1069.38</v>
      </c>
      <c r="H58" s="17"/>
    </row>
    <row r="59" spans="1:8" ht="15.75" thickBot="1">
      <c r="A59" s="10" t="s">
        <v>11</v>
      </c>
      <c r="B59" s="8">
        <v>0</v>
      </c>
      <c r="C59" s="8">
        <v>0</v>
      </c>
      <c r="D59" s="8">
        <v>0</v>
      </c>
      <c r="E59" s="8">
        <f>C59-D59</f>
        <v>0</v>
      </c>
      <c r="F59" s="8">
        <v>0</v>
      </c>
      <c r="G59" s="12">
        <v>0</v>
      </c>
      <c r="H59" s="17"/>
    </row>
    <row r="60" spans="1:8" ht="15.75">
      <c r="A60" s="9" t="s">
        <v>24</v>
      </c>
      <c r="B60" s="1">
        <f aca="true" t="shared" si="0" ref="B60:G60">SUM(B61:B68)</f>
        <v>394689.42781928</v>
      </c>
      <c r="C60" s="1">
        <f t="shared" si="0"/>
        <v>383232.38734514994</v>
      </c>
      <c r="D60" s="1">
        <f t="shared" si="0"/>
        <v>96.86852687999999</v>
      </c>
      <c r="E60" s="1">
        <f t="shared" si="0"/>
        <v>383135.51881826995</v>
      </c>
      <c r="F60" s="1">
        <f t="shared" si="0"/>
        <v>20352.055694320003</v>
      </c>
      <c r="G60" s="6">
        <f t="shared" si="0"/>
        <v>362783.46312395</v>
      </c>
      <c r="H60" s="17"/>
    </row>
    <row r="61" spans="1:8" ht="15">
      <c r="A61" s="10" t="s">
        <v>2</v>
      </c>
      <c r="B61" s="11"/>
      <c r="C61" s="11"/>
      <c r="D61" s="11"/>
      <c r="E61" s="11"/>
      <c r="F61" s="11"/>
      <c r="G61" s="12"/>
      <c r="H61" s="17"/>
    </row>
    <row r="62" spans="1:8" ht="15">
      <c r="A62" s="10" t="s">
        <v>3</v>
      </c>
      <c r="B62" s="8">
        <f>362832945000/1000000</f>
        <v>362832.945</v>
      </c>
      <c r="C62" s="8">
        <f>351325606464.72/1000000</f>
        <v>351325.60646472</v>
      </c>
      <c r="D62" s="8">
        <v>0</v>
      </c>
      <c r="E62" s="8">
        <f>C62-D62</f>
        <v>351325.60646472</v>
      </c>
      <c r="F62" s="8">
        <v>10044.06118533</v>
      </c>
      <c r="G62" s="12">
        <f>E62-F62</f>
        <v>341281.54527939</v>
      </c>
      <c r="H62" s="17"/>
    </row>
    <row r="63" spans="1:10" ht="15">
      <c r="A63" s="10" t="s">
        <v>13</v>
      </c>
      <c r="B63" s="8">
        <f>20582418000/1000000</f>
        <v>20582.418</v>
      </c>
      <c r="C63" s="8">
        <f>20632518100.55/1000000</f>
        <v>20632.518100549998</v>
      </c>
      <c r="D63" s="8">
        <v>0</v>
      </c>
      <c r="E63" s="8">
        <f aca="true" t="shared" si="1" ref="E63:E68">C63-D63</f>
        <v>20632.518100549998</v>
      </c>
      <c r="F63" s="8">
        <v>7953.73114553</v>
      </c>
      <c r="G63" s="12">
        <f aca="true" t="shared" si="2" ref="G63:G68">E63-F63</f>
        <v>12678.786955019998</v>
      </c>
      <c r="H63" s="17"/>
      <c r="J63" s="18"/>
    </row>
    <row r="64" spans="1:8" ht="15">
      <c r="A64" s="10" t="s">
        <v>14</v>
      </c>
      <c r="B64" s="8">
        <f>10777985819.28/1000000</f>
        <v>10777.98581928</v>
      </c>
      <c r="C64" s="8">
        <f>10777985819.28/1000000</f>
        <v>10777.98581928</v>
      </c>
      <c r="D64" s="8">
        <v>0</v>
      </c>
      <c r="E64" s="8">
        <f t="shared" si="1"/>
        <v>10777.98581928</v>
      </c>
      <c r="F64" s="8">
        <v>-111.54427299</v>
      </c>
      <c r="G64" s="12">
        <f t="shared" si="2"/>
        <v>10889.53009227</v>
      </c>
      <c r="H64" s="17"/>
    </row>
    <row r="65" spans="1:8" ht="15">
      <c r="A65" s="10" t="s">
        <v>15</v>
      </c>
      <c r="B65" s="8">
        <f>496079000/1000000</f>
        <v>496.079</v>
      </c>
      <c r="C65" s="16">
        <f>496276960.6/1000000</f>
        <v>496.27696060000005</v>
      </c>
      <c r="D65" s="8">
        <f>96868526.88/1000000</f>
        <v>96.86852687999999</v>
      </c>
      <c r="E65" s="8">
        <f t="shared" si="1"/>
        <v>399.40843372000006</v>
      </c>
      <c r="F65" s="8">
        <v>-14.51736355</v>
      </c>
      <c r="G65" s="12">
        <f t="shared" si="2"/>
        <v>413.9257972700001</v>
      </c>
      <c r="H65" s="17"/>
    </row>
    <row r="66" spans="1:10" ht="15">
      <c r="A66" s="10" t="s">
        <v>1</v>
      </c>
      <c r="B66" s="8">
        <v>0</v>
      </c>
      <c r="C66" s="8">
        <v>0</v>
      </c>
      <c r="D66" s="8">
        <v>0</v>
      </c>
      <c r="E66" s="8">
        <f t="shared" si="1"/>
        <v>0</v>
      </c>
      <c r="F66" s="8">
        <v>0</v>
      </c>
      <c r="G66" s="12">
        <f t="shared" si="2"/>
        <v>0</v>
      </c>
      <c r="H66" s="17"/>
      <c r="J66" s="23"/>
    </row>
    <row r="67" spans="1:8" ht="15">
      <c r="A67" s="10" t="s">
        <v>10</v>
      </c>
      <c r="B67" s="8">
        <v>0</v>
      </c>
      <c r="C67" s="8">
        <v>0</v>
      </c>
      <c r="D67" s="8">
        <v>0</v>
      </c>
      <c r="E67" s="8">
        <f t="shared" si="1"/>
        <v>0</v>
      </c>
      <c r="F67" s="8">
        <v>0</v>
      </c>
      <c r="G67" s="12">
        <f t="shared" si="2"/>
        <v>0</v>
      </c>
      <c r="H67" s="17"/>
    </row>
    <row r="68" spans="1:8" ht="15.75" thickBot="1">
      <c r="A68" s="10" t="s">
        <v>11</v>
      </c>
      <c r="B68" s="8">
        <v>0</v>
      </c>
      <c r="C68" s="8">
        <v>0</v>
      </c>
      <c r="D68" s="8">
        <v>0</v>
      </c>
      <c r="E68" s="8">
        <f t="shared" si="1"/>
        <v>0</v>
      </c>
      <c r="F68" s="8">
        <v>2480.325</v>
      </c>
      <c r="G68" s="12">
        <f t="shared" si="2"/>
        <v>-2480.325</v>
      </c>
      <c r="H68" s="17"/>
    </row>
    <row r="69" spans="1:20" ht="35.25" customHeight="1" thickBot="1">
      <c r="A69" s="20" t="s">
        <v>25</v>
      </c>
      <c r="B69" s="22">
        <v>1114747.1</v>
      </c>
      <c r="C69" s="22">
        <f>C42+C51+C60</f>
        <v>1109777.87534515</v>
      </c>
      <c r="D69" s="22">
        <f>D42+D51+D60</f>
        <v>240417.48452687997</v>
      </c>
      <c r="E69" s="22">
        <f>E42+E51+E60</f>
        <v>869360.38981827</v>
      </c>
      <c r="F69" s="22">
        <f>F42+F51+F60</f>
        <v>126963.66769432</v>
      </c>
      <c r="G69" s="24">
        <f>G42+G51+G60</f>
        <v>742396.7211239501</v>
      </c>
      <c r="H69" s="21"/>
      <c r="I69" s="21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ht="15.75">
      <c r="A70" s="10" t="s">
        <v>2</v>
      </c>
      <c r="B70" s="18"/>
      <c r="C70" s="25"/>
      <c r="D70" s="25"/>
      <c r="E70" s="25"/>
      <c r="F70" s="25"/>
      <c r="G70" s="26"/>
      <c r="H70" s="35"/>
      <c r="I70" s="35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ht="15.75">
      <c r="A71" s="10" t="s">
        <v>3</v>
      </c>
      <c r="B71" s="18">
        <f>B44+B53+B62</f>
        <v>1063856.212</v>
      </c>
      <c r="C71" s="8">
        <f>C44+C53+C62</f>
        <v>1059048.26746472</v>
      </c>
      <c r="D71" s="8">
        <f>D44+D53+D62</f>
        <v>211837</v>
      </c>
      <c r="E71" s="8">
        <f>E44+E53+E62</f>
        <v>847211.26746472</v>
      </c>
      <c r="F71" s="8">
        <f aca="true" t="shared" si="3" ref="D71:G72">F44+F53+F62</f>
        <v>84529.05418533</v>
      </c>
      <c r="G71" s="12">
        <f>G44+G53+G62</f>
        <v>762682.2122793901</v>
      </c>
      <c r="H71" s="35"/>
      <c r="I71" s="35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ht="15.75">
      <c r="A72" s="10" t="s">
        <v>13</v>
      </c>
      <c r="B72" s="18">
        <f>B45+B54+B63</f>
        <v>20582.418</v>
      </c>
      <c r="C72" s="8">
        <f>C45+C54+C63</f>
        <v>20632.518100549998</v>
      </c>
      <c r="D72" s="8">
        <f t="shared" si="3"/>
        <v>0</v>
      </c>
      <c r="E72" s="8">
        <f t="shared" si="3"/>
        <v>20632.518100549998</v>
      </c>
      <c r="F72" s="8">
        <f t="shared" si="3"/>
        <v>35143.44414553</v>
      </c>
      <c r="G72" s="12">
        <f t="shared" si="3"/>
        <v>-14510.926044980002</v>
      </c>
      <c r="H72" s="35"/>
      <c r="I72" s="35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ht="15.75">
      <c r="A73" s="10" t="s">
        <v>14</v>
      </c>
      <c r="B73" s="18">
        <f aca="true" t="shared" si="4" ref="B73:G73">B46++B55+B64</f>
        <v>27159.25781928</v>
      </c>
      <c r="C73" s="8">
        <f t="shared" si="4"/>
        <v>26981.025819280003</v>
      </c>
      <c r="D73" s="8">
        <f t="shared" si="4"/>
        <v>0</v>
      </c>
      <c r="E73" s="8">
        <f t="shared" si="4"/>
        <v>26981.025819280003</v>
      </c>
      <c r="F73" s="8">
        <f t="shared" si="4"/>
        <v>-239.04327299</v>
      </c>
      <c r="G73" s="12">
        <f t="shared" si="4"/>
        <v>27220.06909227</v>
      </c>
      <c r="H73" s="35"/>
      <c r="I73" s="35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ht="15.75">
      <c r="A74" s="10" t="s">
        <v>15</v>
      </c>
      <c r="B74" s="18">
        <f>B47+B56+B65</f>
        <v>3149.26</v>
      </c>
      <c r="C74" s="8">
        <f aca="true" t="shared" si="5" ref="B74:G77">C47+C56+C65</f>
        <v>3116.0729606</v>
      </c>
      <c r="D74" s="8">
        <f>D47+D56+D65</f>
        <v>28580.48452688</v>
      </c>
      <c r="E74" s="8">
        <f>E47+E56+E65</f>
        <v>-25464.41056628</v>
      </c>
      <c r="F74" s="8">
        <f t="shared" si="5"/>
        <v>1442.28663645</v>
      </c>
      <c r="G74" s="12">
        <f t="shared" si="5"/>
        <v>-26906.69820273</v>
      </c>
      <c r="H74" s="35"/>
      <c r="I74" s="35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ht="15.75">
      <c r="A75" s="10" t="s">
        <v>1</v>
      </c>
      <c r="B75" s="18">
        <f t="shared" si="5"/>
        <v>0</v>
      </c>
      <c r="C75" s="8">
        <f t="shared" si="5"/>
        <v>0</v>
      </c>
      <c r="D75" s="8">
        <f t="shared" si="5"/>
        <v>0</v>
      </c>
      <c r="E75" s="8">
        <f t="shared" si="5"/>
        <v>0</v>
      </c>
      <c r="F75" s="8">
        <f t="shared" si="5"/>
        <v>1243.74</v>
      </c>
      <c r="G75" s="12">
        <f t="shared" si="5"/>
        <v>-1243.74</v>
      </c>
      <c r="H75" s="35"/>
      <c r="I75" s="35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1:20" ht="15.75">
      <c r="A76" s="10" t="s">
        <v>10</v>
      </c>
      <c r="B76" s="18">
        <f t="shared" si="5"/>
        <v>0</v>
      </c>
      <c r="C76" s="8">
        <f t="shared" si="5"/>
        <v>0</v>
      </c>
      <c r="D76" s="8">
        <f t="shared" si="5"/>
        <v>0</v>
      </c>
      <c r="E76" s="8">
        <f t="shared" si="5"/>
        <v>0</v>
      </c>
      <c r="F76" s="8">
        <f t="shared" si="5"/>
        <v>1388.5</v>
      </c>
      <c r="G76" s="12">
        <f t="shared" si="5"/>
        <v>-1388.5</v>
      </c>
      <c r="H76" s="35"/>
      <c r="I76" s="35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</row>
    <row r="77" spans="1:20" ht="15.75" thickBot="1">
      <c r="A77" s="13" t="s">
        <v>11</v>
      </c>
      <c r="B77" s="19">
        <f t="shared" si="5"/>
        <v>0</v>
      </c>
      <c r="C77" s="14">
        <f t="shared" si="5"/>
        <v>0</v>
      </c>
      <c r="D77" s="14">
        <f t="shared" si="5"/>
        <v>0</v>
      </c>
      <c r="E77" s="14">
        <f t="shared" si="5"/>
        <v>0</v>
      </c>
      <c r="F77" s="14">
        <f t="shared" si="5"/>
        <v>3455.685</v>
      </c>
      <c r="G77" s="15">
        <f t="shared" si="5"/>
        <v>-3455.685</v>
      </c>
      <c r="H77" s="21"/>
      <c r="I77" s="21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</row>
    <row r="78" spans="1:8" ht="15.75">
      <c r="A78" s="9" t="s">
        <v>26</v>
      </c>
      <c r="B78" s="1">
        <f aca="true" t="shared" si="6" ref="B78:G78">SUM(B79:B86)</f>
        <v>227383.87022357</v>
      </c>
      <c r="C78" s="1">
        <f t="shared" si="6"/>
        <v>225338.63880016</v>
      </c>
      <c r="D78" s="1">
        <f t="shared" si="6"/>
        <v>91.14775497</v>
      </c>
      <c r="E78" s="1">
        <f t="shared" si="6"/>
        <v>225247.49104519002</v>
      </c>
      <c r="F78" s="1">
        <f t="shared" si="6"/>
        <v>49358.001273229995</v>
      </c>
      <c r="G78" s="6">
        <f t="shared" si="6"/>
        <v>175889.48977195998</v>
      </c>
      <c r="H78" s="17"/>
    </row>
    <row r="79" spans="1:8" ht="15">
      <c r="A79" s="10" t="s">
        <v>2</v>
      </c>
      <c r="B79" s="11"/>
      <c r="C79" s="11"/>
      <c r="D79" s="11"/>
      <c r="E79" s="11"/>
      <c r="F79" s="11"/>
      <c r="G79" s="12"/>
      <c r="H79" s="17"/>
    </row>
    <row r="80" spans="1:12" ht="15">
      <c r="A80" s="10" t="s">
        <v>3</v>
      </c>
      <c r="B80" s="8">
        <v>79074.039</v>
      </c>
      <c r="C80" s="8">
        <v>78900.11243423</v>
      </c>
      <c r="D80" s="8">
        <v>0</v>
      </c>
      <c r="E80" s="8">
        <f>C80-D80</f>
        <v>78900.11243423</v>
      </c>
      <c r="F80" s="8">
        <v>37271.07574009</v>
      </c>
      <c r="G80" s="12">
        <f>E80-F80</f>
        <v>41629.036694140006</v>
      </c>
      <c r="H80" s="17"/>
      <c r="L80" s="23"/>
    </row>
    <row r="81" spans="1:12" ht="15">
      <c r="A81" s="10" t="s">
        <v>13</v>
      </c>
      <c r="B81" s="8">
        <v>133486.253</v>
      </c>
      <c r="C81" s="8">
        <v>131713.5228133</v>
      </c>
      <c r="D81" s="8">
        <v>0</v>
      </c>
      <c r="E81" s="8">
        <f aca="true" t="shared" si="7" ref="E81:E86">C81-D81</f>
        <v>131713.5228133</v>
      </c>
      <c r="F81" s="8">
        <v>2583.64688488</v>
      </c>
      <c r="G81" s="12">
        <f aca="true" t="shared" si="8" ref="G81:G86">E81-F81</f>
        <v>129129.87592841999</v>
      </c>
      <c r="H81" s="17"/>
      <c r="J81" s="18"/>
      <c r="L81" s="23"/>
    </row>
    <row r="82" spans="1:12" ht="15">
      <c r="A82" s="10" t="s">
        <v>14</v>
      </c>
      <c r="B82" s="8">
        <v>13022.82722357</v>
      </c>
      <c r="C82" s="8">
        <v>12950.78164221</v>
      </c>
      <c r="D82" s="8">
        <v>0</v>
      </c>
      <c r="E82" s="8">
        <f t="shared" si="7"/>
        <v>12950.78164221</v>
      </c>
      <c r="F82" s="8">
        <v>-143.66557888</v>
      </c>
      <c r="G82" s="12">
        <f t="shared" si="8"/>
        <v>13094.44722109</v>
      </c>
      <c r="H82" s="17"/>
      <c r="L82" s="23"/>
    </row>
    <row r="83" spans="1:12" ht="15">
      <c r="A83" s="10" t="s">
        <v>15</v>
      </c>
      <c r="B83" s="8">
        <v>1800.751</v>
      </c>
      <c r="C83" s="16">
        <v>1774.22191042</v>
      </c>
      <c r="D83" s="8">
        <f>91147754.97/1000000</f>
        <v>91.14775497</v>
      </c>
      <c r="E83" s="8">
        <f t="shared" si="7"/>
        <v>1683.07415545</v>
      </c>
      <c r="F83" s="8">
        <v>135.59361189999993</v>
      </c>
      <c r="G83" s="12">
        <f t="shared" si="8"/>
        <v>1547.4805435500002</v>
      </c>
      <c r="H83" s="17"/>
      <c r="L83" s="23"/>
    </row>
    <row r="84" spans="1:12" ht="15">
      <c r="A84" s="10" t="s">
        <v>1</v>
      </c>
      <c r="B84" s="8">
        <v>0</v>
      </c>
      <c r="C84" s="8">
        <v>0</v>
      </c>
      <c r="D84" s="8">
        <v>0</v>
      </c>
      <c r="E84" s="8">
        <f t="shared" si="7"/>
        <v>0</v>
      </c>
      <c r="F84" s="8">
        <v>7955.510615239999</v>
      </c>
      <c r="G84" s="12">
        <f t="shared" si="8"/>
        <v>-7955.510615239999</v>
      </c>
      <c r="H84" s="17"/>
      <c r="J84" s="23"/>
      <c r="L84" s="23"/>
    </row>
    <row r="85" spans="1:12" ht="15">
      <c r="A85" s="10" t="s">
        <v>10</v>
      </c>
      <c r="B85" s="8">
        <v>0</v>
      </c>
      <c r="C85" s="8">
        <v>0</v>
      </c>
      <c r="D85" s="8">
        <v>0</v>
      </c>
      <c r="E85" s="8">
        <f t="shared" si="7"/>
        <v>0</v>
      </c>
      <c r="F85" s="8">
        <v>1555.84</v>
      </c>
      <c r="G85" s="12">
        <f t="shared" si="8"/>
        <v>-1555.84</v>
      </c>
      <c r="H85" s="17"/>
      <c r="L85" s="23"/>
    </row>
    <row r="86" spans="1:12" ht="15.75" thickBot="1">
      <c r="A86" s="10" t="s">
        <v>11</v>
      </c>
      <c r="B86" s="8">
        <v>0</v>
      </c>
      <c r="C86" s="8">
        <v>0</v>
      </c>
      <c r="D86" s="8">
        <v>0</v>
      </c>
      <c r="E86" s="8">
        <f t="shared" si="7"/>
        <v>0</v>
      </c>
      <c r="F86" s="8">
        <v>0</v>
      </c>
      <c r="G86" s="12">
        <f t="shared" si="8"/>
        <v>0</v>
      </c>
      <c r="H86" s="17"/>
      <c r="L86" s="23"/>
    </row>
    <row r="87" spans="1:8" ht="15.75">
      <c r="A87" s="9" t="s">
        <v>27</v>
      </c>
      <c r="B87" s="1">
        <f aca="true" t="shared" si="9" ref="B87:G87">SUM(B88:B95)</f>
        <v>180360.252</v>
      </c>
      <c r="C87" s="1">
        <f t="shared" si="9"/>
        <v>177800.15004478997</v>
      </c>
      <c r="D87" s="1">
        <f t="shared" si="9"/>
        <v>131.3557272</v>
      </c>
      <c r="E87" s="1">
        <f t="shared" si="9"/>
        <v>177668.79431758996</v>
      </c>
      <c r="F87" s="1">
        <f t="shared" si="9"/>
        <v>57285.62547582</v>
      </c>
      <c r="G87" s="6">
        <f t="shared" si="9"/>
        <v>120383.16884177</v>
      </c>
      <c r="H87" s="17"/>
    </row>
    <row r="88" spans="1:8" ht="15">
      <c r="A88" s="10" t="s">
        <v>2</v>
      </c>
      <c r="B88" s="11"/>
      <c r="C88" s="11"/>
      <c r="D88" s="11"/>
      <c r="E88" s="11"/>
      <c r="F88" s="11"/>
      <c r="G88" s="12"/>
      <c r="H88" s="17"/>
    </row>
    <row r="89" spans="1:12" ht="15">
      <c r="A89" s="10" t="s">
        <v>3</v>
      </c>
      <c r="B89" s="8">
        <v>29999.99</v>
      </c>
      <c r="C89" s="8">
        <v>29940.8</v>
      </c>
      <c r="D89" s="8">
        <v>0</v>
      </c>
      <c r="E89" s="8">
        <f aca="true" t="shared" si="10" ref="E89:E95">C89-D89</f>
        <v>29940.8</v>
      </c>
      <c r="F89" s="8">
        <f>31032196862.46/1000000</f>
        <v>31032.196862459998</v>
      </c>
      <c r="G89" s="12">
        <f>E89-F89</f>
        <v>-1091.3968624599984</v>
      </c>
      <c r="H89" s="17"/>
      <c r="L89" s="23"/>
    </row>
    <row r="90" spans="1:12" ht="15">
      <c r="A90" s="10" t="s">
        <v>13</v>
      </c>
      <c r="B90" s="8">
        <v>148873.303</v>
      </c>
      <c r="C90" s="8">
        <v>146395.63995912</v>
      </c>
      <c r="D90" s="8">
        <v>0</v>
      </c>
      <c r="E90" s="8">
        <f t="shared" si="10"/>
        <v>146395.63995912</v>
      </c>
      <c r="F90" s="8">
        <f>14494059173.65/1000000</f>
        <v>14494.05917365</v>
      </c>
      <c r="G90" s="12">
        <f aca="true" t="shared" si="11" ref="G90:G95">E90-F90</f>
        <v>131901.58078547</v>
      </c>
      <c r="H90" s="17"/>
      <c r="J90" s="18"/>
      <c r="L90" s="23"/>
    </row>
    <row r="91" spans="1:12" ht="15">
      <c r="A91" s="10" t="s">
        <v>14</v>
      </c>
      <c r="B91" s="8">
        <v>0</v>
      </c>
      <c r="C91" s="8">
        <v>0</v>
      </c>
      <c r="D91" s="8">
        <v>0</v>
      </c>
      <c r="E91" s="8">
        <f t="shared" si="10"/>
        <v>0</v>
      </c>
      <c r="F91" s="8">
        <v>5755.5</v>
      </c>
      <c r="G91" s="12">
        <f t="shared" si="11"/>
        <v>-5755.5</v>
      </c>
      <c r="H91" s="17"/>
      <c r="L91" s="23"/>
    </row>
    <row r="92" spans="1:12" ht="15">
      <c r="A92" s="10" t="s">
        <v>15</v>
      </c>
      <c r="B92" s="8">
        <v>1486.959</v>
      </c>
      <c r="C92" s="16">
        <v>1463.7100856700001</v>
      </c>
      <c r="D92" s="8">
        <v>129.4260272</v>
      </c>
      <c r="E92" s="8">
        <f>C92-D92</f>
        <v>1334.2840584700002</v>
      </c>
      <c r="F92" s="8">
        <v>-1.48447307</v>
      </c>
      <c r="G92" s="12">
        <f>E92-F92</f>
        <v>1335.7685315400001</v>
      </c>
      <c r="H92" s="17"/>
      <c r="J92" s="23"/>
      <c r="L92" s="23"/>
    </row>
    <row r="93" spans="1:12" ht="15">
      <c r="A93" s="10" t="s">
        <v>1</v>
      </c>
      <c r="B93" s="8">
        <v>0</v>
      </c>
      <c r="C93" s="8">
        <v>0</v>
      </c>
      <c r="D93" s="8">
        <v>1.9297</v>
      </c>
      <c r="E93" s="8">
        <f t="shared" si="10"/>
        <v>-1.9297</v>
      </c>
      <c r="F93" s="8">
        <v>2422.8589127799996</v>
      </c>
      <c r="G93" s="12">
        <f>E93-F93</f>
        <v>-2424.7886127799998</v>
      </c>
      <c r="H93" s="17"/>
      <c r="J93" s="23"/>
      <c r="L93" s="23"/>
    </row>
    <row r="94" spans="1:12" ht="15">
      <c r="A94" s="10" t="s">
        <v>10</v>
      </c>
      <c r="B94" s="8">
        <v>0</v>
      </c>
      <c r="C94" s="8">
        <v>0</v>
      </c>
      <c r="D94" s="8">
        <v>0</v>
      </c>
      <c r="E94" s="8">
        <f t="shared" si="10"/>
        <v>0</v>
      </c>
      <c r="F94" s="8">
        <v>904.86</v>
      </c>
      <c r="G94" s="12">
        <f t="shared" si="11"/>
        <v>-904.86</v>
      </c>
      <c r="H94" s="17"/>
      <c r="L94" s="23"/>
    </row>
    <row r="95" spans="1:12" ht="15.75" thickBot="1">
      <c r="A95" s="10" t="s">
        <v>11</v>
      </c>
      <c r="B95" s="8">
        <v>0</v>
      </c>
      <c r="C95" s="8">
        <v>0</v>
      </c>
      <c r="D95" s="8">
        <v>0</v>
      </c>
      <c r="E95" s="8">
        <f t="shared" si="10"/>
        <v>0</v>
      </c>
      <c r="F95" s="8">
        <v>2677.635</v>
      </c>
      <c r="G95" s="12">
        <f t="shared" si="11"/>
        <v>-2677.635</v>
      </c>
      <c r="H95" s="17"/>
      <c r="L95" s="23"/>
    </row>
    <row r="96" spans="1:12" ht="15.75">
      <c r="A96" s="28" t="s">
        <v>28</v>
      </c>
      <c r="B96" s="29">
        <f aca="true" t="shared" si="12" ref="B96:G96">SUM(B98:B104)</f>
        <v>836355.0420937401</v>
      </c>
      <c r="C96" s="29">
        <f t="shared" si="12"/>
        <v>816835.7487094001</v>
      </c>
      <c r="D96" s="29">
        <f t="shared" si="12"/>
        <v>10845.7735176</v>
      </c>
      <c r="E96" s="29">
        <f t="shared" si="12"/>
        <v>805989.9751918</v>
      </c>
      <c r="F96" s="29">
        <f t="shared" si="12"/>
        <v>44048.331401929994</v>
      </c>
      <c r="G96" s="30">
        <f t="shared" si="12"/>
        <v>761941.6437898701</v>
      </c>
      <c r="H96" s="17"/>
      <c r="L96" s="23"/>
    </row>
    <row r="97" spans="1:12" ht="15">
      <c r="A97" s="10" t="s">
        <v>2</v>
      </c>
      <c r="B97" s="8"/>
      <c r="C97" s="8"/>
      <c r="D97" s="8"/>
      <c r="E97" s="8"/>
      <c r="F97" s="8"/>
      <c r="G97" s="12"/>
      <c r="H97" s="17"/>
      <c r="L97" s="23"/>
    </row>
    <row r="98" spans="1:12" ht="15">
      <c r="A98" s="10" t="s">
        <v>3</v>
      </c>
      <c r="B98" s="8">
        <f>90897768000/1000000</f>
        <v>90897.768</v>
      </c>
      <c r="C98" s="8">
        <f>91142355384.81/1000000</f>
        <v>91142.35538481</v>
      </c>
      <c r="D98" s="8">
        <v>0</v>
      </c>
      <c r="E98" s="8">
        <f>C98-D98</f>
        <v>91142.35538481</v>
      </c>
      <c r="F98" s="8">
        <f>30186198402.39/1000000</f>
        <v>30186.19840239</v>
      </c>
      <c r="G98" s="12">
        <f>60956156982.42/1000000</f>
        <v>60956.15698242</v>
      </c>
      <c r="H98" s="17"/>
      <c r="L98" s="23"/>
    </row>
    <row r="99" spans="1:12" ht="15">
      <c r="A99" s="10" t="s">
        <v>13</v>
      </c>
      <c r="B99" s="8">
        <f>716593740000/1000000</f>
        <v>716593.74</v>
      </c>
      <c r="C99" s="8">
        <f>697438210100.9/1000000</f>
        <v>697438.2101009</v>
      </c>
      <c r="D99" s="8">
        <v>0</v>
      </c>
      <c r="E99" s="8">
        <f aca="true" t="shared" si="13" ref="E99:E104">C99-D99</f>
        <v>697438.2101009</v>
      </c>
      <c r="F99" s="8">
        <f>9604867186.02/1000000</f>
        <v>9604.867186020001</v>
      </c>
      <c r="G99" s="12">
        <f>687833342914.88/1000000</f>
        <v>687833.34291488</v>
      </c>
      <c r="H99" s="17"/>
      <c r="L99" s="23"/>
    </row>
    <row r="100" spans="1:12" ht="15">
      <c r="A100" s="10" t="s">
        <v>14</v>
      </c>
      <c r="B100" s="8">
        <f>25697093093.74/1000000</f>
        <v>25697.09309374</v>
      </c>
      <c r="C100" s="8">
        <f>25143943493.2/1000000</f>
        <v>25143.9434932</v>
      </c>
      <c r="D100" s="8">
        <v>0</v>
      </c>
      <c r="E100" s="8">
        <f t="shared" si="13"/>
        <v>25143.9434932</v>
      </c>
      <c r="F100" s="8">
        <f>-61497141.6/1000000</f>
        <v>-61.4971416</v>
      </c>
      <c r="G100" s="12">
        <f>25205440634.8/1000000</f>
        <v>25205.440634799997</v>
      </c>
      <c r="H100" s="17"/>
      <c r="L100" s="23"/>
    </row>
    <row r="101" spans="1:12" ht="15">
      <c r="A101" s="10" t="s">
        <v>15</v>
      </c>
      <c r="B101" s="8">
        <f>3166441000/1000000</f>
        <v>3166.441</v>
      </c>
      <c r="C101" s="8">
        <f>3111239730.49/1000000</f>
        <v>3111.2397304899996</v>
      </c>
      <c r="D101" s="8">
        <f>10845773517.6/1000000</f>
        <v>10845.7735176</v>
      </c>
      <c r="E101" s="8">
        <f t="shared" si="13"/>
        <v>-7734.533787110001</v>
      </c>
      <c r="F101" s="8">
        <f>1457042440.41/1000000</f>
        <v>1457.0424404100002</v>
      </c>
      <c r="G101" s="12">
        <f>-9191576227.52/1000000</f>
        <v>-9191.576227520001</v>
      </c>
      <c r="H101" s="17"/>
      <c r="L101" s="23"/>
    </row>
    <row r="102" spans="1:12" ht="15">
      <c r="A102" s="10" t="s">
        <v>1</v>
      </c>
      <c r="B102" s="8">
        <v>0</v>
      </c>
      <c r="C102" s="8">
        <v>0</v>
      </c>
      <c r="D102" s="8">
        <v>0</v>
      </c>
      <c r="E102" s="8">
        <f t="shared" si="13"/>
        <v>0</v>
      </c>
      <c r="F102" s="8">
        <f>664514.71/1000000</f>
        <v>0.66451471</v>
      </c>
      <c r="G102" s="12">
        <f>-664514.71/1000000</f>
        <v>-0.66451471</v>
      </c>
      <c r="H102" s="17"/>
      <c r="L102" s="23"/>
    </row>
    <row r="103" spans="1:12" ht="15">
      <c r="A103" s="10" t="s">
        <v>10</v>
      </c>
      <c r="B103" s="8">
        <v>0</v>
      </c>
      <c r="C103" s="8">
        <v>0</v>
      </c>
      <c r="D103" s="8">
        <v>0</v>
      </c>
      <c r="E103" s="8">
        <f t="shared" si="13"/>
        <v>0</v>
      </c>
      <c r="F103" s="8">
        <v>0</v>
      </c>
      <c r="G103" s="12">
        <v>0</v>
      </c>
      <c r="H103" s="17"/>
      <c r="L103" s="23"/>
    </row>
    <row r="104" spans="1:12" ht="15.75" thickBot="1">
      <c r="A104" s="10" t="s">
        <v>11</v>
      </c>
      <c r="B104" s="8">
        <v>0</v>
      </c>
      <c r="C104" s="8">
        <v>0</v>
      </c>
      <c r="D104" s="8">
        <v>0</v>
      </c>
      <c r="E104" s="8">
        <f t="shared" si="13"/>
        <v>0</v>
      </c>
      <c r="F104" s="8">
        <f>2861056000/1000000</f>
        <v>2861.056</v>
      </c>
      <c r="G104" s="12">
        <f>-2861056000/1000000</f>
        <v>-2861.056</v>
      </c>
      <c r="H104" s="17"/>
      <c r="L104" s="23"/>
    </row>
    <row r="105" spans="1:12" ht="32.25" thickBot="1">
      <c r="A105" s="20" t="s">
        <v>29</v>
      </c>
      <c r="B105" s="22">
        <f aca="true" t="shared" si="14" ref="B105:G105">SUM(B107:B113)</f>
        <v>1244099.16431731</v>
      </c>
      <c r="C105" s="22">
        <f t="shared" si="14"/>
        <v>1219974.53755435</v>
      </c>
      <c r="D105" s="22">
        <f t="shared" si="14"/>
        <v>11068.27699977</v>
      </c>
      <c r="E105" s="22">
        <f t="shared" si="14"/>
        <v>1208906.26055458</v>
      </c>
      <c r="F105" s="22">
        <f t="shared" si="14"/>
        <v>150691.95815097998</v>
      </c>
      <c r="G105" s="24">
        <f t="shared" si="14"/>
        <v>1058214.3024035997</v>
      </c>
      <c r="H105" s="17"/>
      <c r="L105" s="23"/>
    </row>
    <row r="106" spans="1:12" ht="15">
      <c r="A106" s="10" t="s">
        <v>2</v>
      </c>
      <c r="B106" s="8"/>
      <c r="C106" s="8"/>
      <c r="D106" s="8"/>
      <c r="E106" s="8"/>
      <c r="F106" s="8"/>
      <c r="G106" s="26"/>
      <c r="H106" s="17"/>
      <c r="L106" s="23"/>
    </row>
    <row r="107" spans="1:12" ht="15">
      <c r="A107" s="10" t="s">
        <v>3</v>
      </c>
      <c r="B107" s="8">
        <f aca="true" t="shared" si="15" ref="B107:G108">B98+B89+B80</f>
        <v>199971.79700000002</v>
      </c>
      <c r="C107" s="8">
        <f t="shared" si="15"/>
        <v>199983.26781904</v>
      </c>
      <c r="D107" s="8">
        <f t="shared" si="15"/>
        <v>0</v>
      </c>
      <c r="E107" s="8">
        <f t="shared" si="15"/>
        <v>199983.26781904</v>
      </c>
      <c r="F107" s="8">
        <f t="shared" si="15"/>
        <v>98489.47100493999</v>
      </c>
      <c r="G107" s="12">
        <f t="shared" si="15"/>
        <v>101493.7968141</v>
      </c>
      <c r="H107" s="17"/>
      <c r="L107" s="23"/>
    </row>
    <row r="108" spans="1:12" ht="15">
      <c r="A108" s="10" t="s">
        <v>13</v>
      </c>
      <c r="B108" s="8">
        <f t="shared" si="15"/>
        <v>998953.2960000001</v>
      </c>
      <c r="C108" s="8">
        <f t="shared" si="15"/>
        <v>975547.37287332</v>
      </c>
      <c r="D108" s="8">
        <f t="shared" si="15"/>
        <v>0</v>
      </c>
      <c r="E108" s="8">
        <f t="shared" si="15"/>
        <v>975547.37287332</v>
      </c>
      <c r="F108" s="8">
        <f t="shared" si="15"/>
        <v>26682.57324455</v>
      </c>
      <c r="G108" s="12">
        <f t="shared" si="15"/>
        <v>948864.79962877</v>
      </c>
      <c r="H108" s="17"/>
      <c r="L108" s="23"/>
    </row>
    <row r="109" spans="1:12" ht="15">
      <c r="A109" s="10" t="s">
        <v>14</v>
      </c>
      <c r="B109" s="8">
        <f aca="true" t="shared" si="16" ref="B109:G113">B100+B91+B82</f>
        <v>38719.92031731</v>
      </c>
      <c r="C109" s="8">
        <f t="shared" si="16"/>
        <v>38094.72513541</v>
      </c>
      <c r="D109" s="8">
        <f t="shared" si="16"/>
        <v>0</v>
      </c>
      <c r="E109" s="8">
        <f t="shared" si="16"/>
        <v>38094.72513541</v>
      </c>
      <c r="F109" s="8">
        <f t="shared" si="16"/>
        <v>5550.33727952</v>
      </c>
      <c r="G109" s="12">
        <f t="shared" si="16"/>
        <v>32544.387855889996</v>
      </c>
      <c r="H109" s="17"/>
      <c r="L109" s="23"/>
    </row>
    <row r="110" spans="1:12" ht="15">
      <c r="A110" s="10" t="s">
        <v>15</v>
      </c>
      <c r="B110" s="8">
        <f aca="true" t="shared" si="17" ref="B110:G110">B101+B92+B83</f>
        <v>6454.151</v>
      </c>
      <c r="C110" s="8">
        <f t="shared" si="17"/>
        <v>6349.17172658</v>
      </c>
      <c r="D110" s="8">
        <f>D101+D92+D83</f>
        <v>11066.34729977</v>
      </c>
      <c r="E110" s="8">
        <f t="shared" si="17"/>
        <v>-4717.175573190001</v>
      </c>
      <c r="F110" s="8">
        <f t="shared" si="17"/>
        <v>1591.15157924</v>
      </c>
      <c r="G110" s="12">
        <f t="shared" si="17"/>
        <v>-6308.327152430001</v>
      </c>
      <c r="H110" s="17"/>
      <c r="L110" s="23"/>
    </row>
    <row r="111" spans="1:12" ht="15">
      <c r="A111" s="10" t="s">
        <v>1</v>
      </c>
      <c r="B111" s="8">
        <f t="shared" si="16"/>
        <v>0</v>
      </c>
      <c r="C111" s="8">
        <f t="shared" si="16"/>
        <v>0</v>
      </c>
      <c r="D111" s="8">
        <f t="shared" si="16"/>
        <v>1.9297</v>
      </c>
      <c r="E111" s="8">
        <f t="shared" si="16"/>
        <v>-1.9297</v>
      </c>
      <c r="F111" s="8">
        <f t="shared" si="16"/>
        <v>10379.03404273</v>
      </c>
      <c r="G111" s="12">
        <f t="shared" si="16"/>
        <v>-10380.963742729999</v>
      </c>
      <c r="H111" s="17"/>
      <c r="L111" s="23"/>
    </row>
    <row r="112" spans="1:12" ht="15">
      <c r="A112" s="10" t="s">
        <v>10</v>
      </c>
      <c r="B112" s="8">
        <f t="shared" si="16"/>
        <v>0</v>
      </c>
      <c r="C112" s="8">
        <f t="shared" si="16"/>
        <v>0</v>
      </c>
      <c r="D112" s="8">
        <f t="shared" si="16"/>
        <v>0</v>
      </c>
      <c r="E112" s="8">
        <f t="shared" si="16"/>
        <v>0</v>
      </c>
      <c r="F112" s="8">
        <f t="shared" si="16"/>
        <v>2460.7</v>
      </c>
      <c r="G112" s="12">
        <f t="shared" si="16"/>
        <v>-2460.7</v>
      </c>
      <c r="H112" s="17"/>
      <c r="L112" s="23"/>
    </row>
    <row r="113" spans="1:12" ht="15.75" thickBot="1">
      <c r="A113" s="10" t="s">
        <v>11</v>
      </c>
      <c r="B113" s="8">
        <f t="shared" si="16"/>
        <v>0</v>
      </c>
      <c r="C113" s="8">
        <f t="shared" si="16"/>
        <v>0</v>
      </c>
      <c r="D113" s="8">
        <f t="shared" si="16"/>
        <v>0</v>
      </c>
      <c r="E113" s="8">
        <f t="shared" si="16"/>
        <v>0</v>
      </c>
      <c r="F113" s="8">
        <f t="shared" si="16"/>
        <v>5538.691000000001</v>
      </c>
      <c r="G113" s="15">
        <f t="shared" si="16"/>
        <v>-5538.691000000001</v>
      </c>
      <c r="H113" s="17"/>
      <c r="L113" s="23"/>
    </row>
    <row r="114" spans="1:12" ht="15.75">
      <c r="A114" s="28" t="s">
        <v>30</v>
      </c>
      <c r="B114" s="29">
        <f aca="true" t="shared" si="18" ref="B114:G114">SUM(B116:B122)</f>
        <v>1506094.2984187503</v>
      </c>
      <c r="C114" s="29">
        <f t="shared" si="18"/>
        <v>1438262.0220065403</v>
      </c>
      <c r="D114" s="29">
        <f t="shared" si="18"/>
        <v>195.70727113</v>
      </c>
      <c r="E114" s="29">
        <f t="shared" si="18"/>
        <v>1438066.3147354103</v>
      </c>
      <c r="F114" s="29">
        <f t="shared" si="18"/>
        <v>100788.95858454</v>
      </c>
      <c r="G114" s="30">
        <f t="shared" si="18"/>
        <v>1337277.3561508697</v>
      </c>
      <c r="H114" s="17"/>
      <c r="L114" s="23"/>
    </row>
    <row r="115" spans="1:12" ht="15">
      <c r="A115" s="10" t="s">
        <v>2</v>
      </c>
      <c r="B115" s="8"/>
      <c r="C115" s="8"/>
      <c r="D115" s="8"/>
      <c r="E115" s="8"/>
      <c r="F115" s="8"/>
      <c r="G115" s="12"/>
      <c r="H115" s="17"/>
      <c r="L115" s="23"/>
    </row>
    <row r="116" spans="1:12" ht="15">
      <c r="A116" s="10" t="s">
        <v>3</v>
      </c>
      <c r="B116" s="8">
        <v>90322.637</v>
      </c>
      <c r="C116" s="8">
        <v>87324.11062552</v>
      </c>
      <c r="D116" s="8">
        <v>0</v>
      </c>
      <c r="E116" s="8">
        <f>C116-D116</f>
        <v>87324.11062552</v>
      </c>
      <c r="F116" s="8">
        <v>89628.52936607001</v>
      </c>
      <c r="G116" s="12">
        <f>E116-F116</f>
        <v>-2304.4187405500124</v>
      </c>
      <c r="H116" s="17"/>
      <c r="L116" s="23"/>
    </row>
    <row r="117" spans="1:12" ht="15">
      <c r="A117" s="10" t="s">
        <v>13</v>
      </c>
      <c r="B117" s="8">
        <v>1406123.438</v>
      </c>
      <c r="C117" s="8">
        <v>1341480.96949315</v>
      </c>
      <c r="D117" s="8">
        <v>0</v>
      </c>
      <c r="E117" s="8">
        <f aca="true" t="shared" si="19" ref="E117:E122">C117-D117</f>
        <v>1341480.96949315</v>
      </c>
      <c r="F117" s="8">
        <v>9923.173161969999</v>
      </c>
      <c r="G117" s="12">
        <f aca="true" t="shared" si="20" ref="G117:G122">E117-F117</f>
        <v>1331557.79633118</v>
      </c>
      <c r="H117" s="17"/>
      <c r="L117" s="23"/>
    </row>
    <row r="118" spans="1:12" ht="15">
      <c r="A118" s="10" t="s">
        <v>14</v>
      </c>
      <c r="B118" s="8">
        <v>7758.65741875</v>
      </c>
      <c r="C118" s="8">
        <v>7605.333238239999</v>
      </c>
      <c r="D118" s="8">
        <v>0</v>
      </c>
      <c r="E118" s="8">
        <f>C118-D118</f>
        <v>7605.333238239999</v>
      </c>
      <c r="F118" s="8">
        <v>-37.164450939999995</v>
      </c>
      <c r="G118" s="12">
        <f t="shared" si="20"/>
        <v>7642.49768918</v>
      </c>
      <c r="H118" s="17"/>
      <c r="L118" s="23"/>
    </row>
    <row r="119" spans="1:12" ht="15">
      <c r="A119" s="10" t="s">
        <v>15</v>
      </c>
      <c r="B119" s="8">
        <v>1889.566</v>
      </c>
      <c r="C119" s="8">
        <v>1851.6086496300002</v>
      </c>
      <c r="D119" s="8">
        <f>195707271.13/1000000</f>
        <v>195.70727113</v>
      </c>
      <c r="E119" s="8">
        <f t="shared" si="19"/>
        <v>1655.9013785000002</v>
      </c>
      <c r="F119" s="8">
        <v>-20.05949256</v>
      </c>
      <c r="G119" s="12">
        <f t="shared" si="20"/>
        <v>1675.9608710600003</v>
      </c>
      <c r="H119" s="17"/>
      <c r="L119" s="23"/>
    </row>
    <row r="120" spans="1:12" ht="15">
      <c r="A120" s="10" t="s">
        <v>1</v>
      </c>
      <c r="B120" s="8">
        <v>0</v>
      </c>
      <c r="C120" s="8">
        <v>0</v>
      </c>
      <c r="D120" s="8">
        <v>0</v>
      </c>
      <c r="E120" s="8">
        <f t="shared" si="19"/>
        <v>0</v>
      </c>
      <c r="F120" s="8">
        <v>0</v>
      </c>
      <c r="G120" s="12">
        <f t="shared" si="20"/>
        <v>0</v>
      </c>
      <c r="H120" s="17"/>
      <c r="L120" s="23"/>
    </row>
    <row r="121" spans="1:12" ht="15">
      <c r="A121" s="10" t="s">
        <v>10</v>
      </c>
      <c r="B121" s="8">
        <v>0</v>
      </c>
      <c r="C121" s="8">
        <v>0</v>
      </c>
      <c r="D121" s="8">
        <v>0</v>
      </c>
      <c r="E121" s="8">
        <f t="shared" si="19"/>
        <v>0</v>
      </c>
      <c r="F121" s="8">
        <v>319.12</v>
      </c>
      <c r="G121" s="12">
        <f t="shared" si="20"/>
        <v>-319.12</v>
      </c>
      <c r="H121" s="17"/>
      <c r="L121" s="23"/>
    </row>
    <row r="122" spans="1:12" ht="15.75" thickBot="1">
      <c r="A122" s="10" t="s">
        <v>11</v>
      </c>
      <c r="B122" s="8">
        <v>0</v>
      </c>
      <c r="C122" s="8">
        <v>0</v>
      </c>
      <c r="D122" s="8">
        <v>0</v>
      </c>
      <c r="E122" s="8">
        <f t="shared" si="19"/>
        <v>0</v>
      </c>
      <c r="F122" s="8">
        <v>975.36</v>
      </c>
      <c r="G122" s="12">
        <f t="shared" si="20"/>
        <v>-975.36</v>
      </c>
      <c r="H122" s="17"/>
      <c r="L122" s="23"/>
    </row>
    <row r="123" spans="1:12" ht="15.75">
      <c r="A123" s="28" t="s">
        <v>31</v>
      </c>
      <c r="B123" s="29">
        <f aca="true" t="shared" si="21" ref="B123:G123">SUM(B125:B131)</f>
        <v>820840.3889551</v>
      </c>
      <c r="C123" s="29">
        <f t="shared" si="21"/>
        <v>787578.9427597098</v>
      </c>
      <c r="D123" s="29">
        <f t="shared" si="21"/>
        <v>32881.68034716</v>
      </c>
      <c r="E123" s="29">
        <f t="shared" si="21"/>
        <v>754697.2624125498</v>
      </c>
      <c r="F123" s="29">
        <f t="shared" si="21"/>
        <v>42944.91576730999</v>
      </c>
      <c r="G123" s="30">
        <f t="shared" si="21"/>
        <v>711752.34664524</v>
      </c>
      <c r="H123" s="17"/>
      <c r="L123" s="23"/>
    </row>
    <row r="124" spans="1:12" ht="15">
      <c r="A124" s="10" t="s">
        <v>2</v>
      </c>
      <c r="B124" s="8"/>
      <c r="C124" s="8"/>
      <c r="D124" s="8"/>
      <c r="E124" s="8"/>
      <c r="F124" s="8"/>
      <c r="G124" s="12"/>
      <c r="H124" s="17"/>
      <c r="L124" s="23"/>
    </row>
    <row r="125" spans="1:12" ht="15">
      <c r="A125" s="10" t="s">
        <v>3</v>
      </c>
      <c r="B125" s="8">
        <v>77163.875</v>
      </c>
      <c r="C125" s="8">
        <v>76360.76768171</v>
      </c>
      <c r="D125" s="8">
        <v>0</v>
      </c>
      <c r="E125" s="8">
        <f aca="true" t="shared" si="22" ref="E125:E131">C125-D125</f>
        <v>76360.76768171</v>
      </c>
      <c r="F125" s="8">
        <f>27031005615.23/1000000</f>
        <v>27031.00561523</v>
      </c>
      <c r="G125" s="12">
        <f>E125-F125</f>
        <v>49329.762066480005</v>
      </c>
      <c r="H125" s="17"/>
      <c r="L125" s="23"/>
    </row>
    <row r="126" spans="1:12" ht="15">
      <c r="A126" s="10" t="s">
        <v>13</v>
      </c>
      <c r="B126" s="8">
        <v>722291.814</v>
      </c>
      <c r="C126" s="8">
        <v>690201.3339294399</v>
      </c>
      <c r="D126" s="8">
        <v>0</v>
      </c>
      <c r="E126" s="8">
        <f t="shared" si="22"/>
        <v>690201.3339294399</v>
      </c>
      <c r="F126" s="8">
        <f>13559496555.71/1000000</f>
        <v>13559.496555709999</v>
      </c>
      <c r="G126" s="12">
        <f aca="true" t="shared" si="23" ref="G126:G131">E126-F126</f>
        <v>676641.8373737299</v>
      </c>
      <c r="H126" s="17"/>
      <c r="L126" s="23"/>
    </row>
    <row r="127" spans="1:12" ht="15">
      <c r="A127" s="10" t="s">
        <v>14</v>
      </c>
      <c r="B127" s="8">
        <v>19781.8479551</v>
      </c>
      <c r="C127" s="8">
        <v>19436.452464770002</v>
      </c>
      <c r="D127" s="8">
        <v>0</v>
      </c>
      <c r="E127" s="8">
        <f t="shared" si="22"/>
        <v>19436.452464770002</v>
      </c>
      <c r="F127" s="8">
        <f>-132756172.12/1000000</f>
        <v>-132.75617212</v>
      </c>
      <c r="G127" s="12">
        <f t="shared" si="23"/>
        <v>19569.20863689</v>
      </c>
      <c r="H127" s="17"/>
      <c r="L127" s="23"/>
    </row>
    <row r="128" spans="1:12" ht="15">
      <c r="A128" s="10" t="s">
        <v>15</v>
      </c>
      <c r="B128" s="8">
        <v>1602.852</v>
      </c>
      <c r="C128" s="8">
        <v>1580.38868379</v>
      </c>
      <c r="D128" s="8">
        <v>170.97955473</v>
      </c>
      <c r="E128" s="8">
        <f t="shared" si="22"/>
        <v>1409.40912906</v>
      </c>
      <c r="F128" s="8">
        <f>-18314551.06/1000000</f>
        <v>-18.31455106</v>
      </c>
      <c r="G128" s="12">
        <f t="shared" si="23"/>
        <v>1427.72368012</v>
      </c>
      <c r="H128" s="17"/>
      <c r="L128" s="23"/>
    </row>
    <row r="129" spans="1:12" ht="15">
      <c r="A129" s="10" t="s">
        <v>1</v>
      </c>
      <c r="B129" s="8">
        <v>0</v>
      </c>
      <c r="C129" s="8">
        <v>0</v>
      </c>
      <c r="D129" s="8">
        <v>32710.70079243</v>
      </c>
      <c r="E129" s="8">
        <f t="shared" si="22"/>
        <v>-32710.70079243</v>
      </c>
      <c r="F129" s="8">
        <f>1436104319.55/1000000</f>
        <v>1436.10431955</v>
      </c>
      <c r="G129" s="12">
        <f t="shared" si="23"/>
        <v>-34146.80511198</v>
      </c>
      <c r="H129" s="17"/>
      <c r="L129" s="23"/>
    </row>
    <row r="130" spans="1:12" ht="15">
      <c r="A130" s="10" t="s">
        <v>10</v>
      </c>
      <c r="B130" s="8">
        <v>0</v>
      </c>
      <c r="C130" s="8">
        <v>0</v>
      </c>
      <c r="D130" s="8">
        <v>0</v>
      </c>
      <c r="E130" s="8">
        <f t="shared" si="22"/>
        <v>0</v>
      </c>
      <c r="F130" s="8">
        <f>1069380000/1000000</f>
        <v>1069.38</v>
      </c>
      <c r="G130" s="12">
        <f t="shared" si="23"/>
        <v>-1069.38</v>
      </c>
      <c r="H130" s="17"/>
      <c r="L130" s="23"/>
    </row>
    <row r="131" spans="1:12" ht="15.75" thickBot="1">
      <c r="A131" s="10" t="s">
        <v>11</v>
      </c>
      <c r="B131" s="8">
        <v>0</v>
      </c>
      <c r="C131" s="8">
        <v>0</v>
      </c>
      <c r="D131" s="8">
        <v>0</v>
      </c>
      <c r="E131" s="8">
        <f t="shared" si="22"/>
        <v>0</v>
      </c>
      <c r="F131" s="8">
        <v>0</v>
      </c>
      <c r="G131" s="12">
        <f t="shared" si="23"/>
        <v>0</v>
      </c>
      <c r="H131" s="17"/>
      <c r="L131" s="23"/>
    </row>
    <row r="132" spans="1:12" ht="15.75">
      <c r="A132" s="28" t="s">
        <v>33</v>
      </c>
      <c r="B132" s="29">
        <f aca="true" t="shared" si="24" ref="B132:G132">SUM(B134:B140)</f>
        <v>119403.08831257</v>
      </c>
      <c r="C132" s="29">
        <f t="shared" si="24"/>
        <v>117932.42782883561</v>
      </c>
      <c r="D132" s="29">
        <f t="shared" si="24"/>
        <v>15153.81279063</v>
      </c>
      <c r="E132" s="29">
        <f t="shared" si="24"/>
        <v>102778.61503820562</v>
      </c>
      <c r="F132" s="29">
        <f t="shared" si="24"/>
        <v>57774.61998203</v>
      </c>
      <c r="G132" s="30">
        <f t="shared" si="24"/>
        <v>45003.99505617561</v>
      </c>
      <c r="H132" s="17"/>
      <c r="L132" s="23"/>
    </row>
    <row r="133" spans="1:12" ht="15">
      <c r="A133" s="10" t="s">
        <v>2</v>
      </c>
      <c r="B133" s="8"/>
      <c r="C133" s="8"/>
      <c r="D133" s="8"/>
      <c r="E133" s="8"/>
      <c r="F133" s="8"/>
      <c r="G133" s="12"/>
      <c r="H133" s="17"/>
      <c r="L133" s="23"/>
    </row>
    <row r="134" spans="1:12" ht="15">
      <c r="A134" s="10" t="s">
        <v>3</v>
      </c>
      <c r="B134" s="8">
        <v>61445.851</v>
      </c>
      <c r="C134" s="8">
        <v>60278.17737628</v>
      </c>
      <c r="D134" s="8">
        <v>0</v>
      </c>
      <c r="E134" s="8">
        <f>C134-D134</f>
        <v>60278.17737628</v>
      </c>
      <c r="F134" s="8">
        <v>35840.69581713</v>
      </c>
      <c r="G134" s="12">
        <f>E134-F134</f>
        <v>24437.48155915</v>
      </c>
      <c r="H134" s="17"/>
      <c r="L134" s="23"/>
    </row>
    <row r="135" spans="1:12" ht="15">
      <c r="A135" s="10" t="s">
        <v>13</v>
      </c>
      <c r="B135" s="8">
        <v>0</v>
      </c>
      <c r="C135" s="8">
        <v>0</v>
      </c>
      <c r="D135" s="8">
        <v>0</v>
      </c>
      <c r="E135" s="8">
        <f aca="true" t="shared" si="25" ref="E135:E140">C135-D135</f>
        <v>0</v>
      </c>
      <c r="F135" s="8">
        <v>19977.6649186</v>
      </c>
      <c r="G135" s="12">
        <f aca="true" t="shared" si="26" ref="G135:G140">E135-F135</f>
        <v>-19977.6649186</v>
      </c>
      <c r="H135" s="17"/>
      <c r="L135" s="23"/>
    </row>
    <row r="136" spans="1:12" ht="15">
      <c r="A136" s="10" t="s">
        <v>14</v>
      </c>
      <c r="B136" s="8">
        <v>56964.49331257</v>
      </c>
      <c r="C136" s="8">
        <v>56680.89882673</v>
      </c>
      <c r="D136" s="8">
        <v>0</v>
      </c>
      <c r="E136" s="8">
        <f t="shared" si="25"/>
        <v>56680.89882673</v>
      </c>
      <c r="F136" s="8">
        <v>-526.59767754</v>
      </c>
      <c r="G136" s="12">
        <f t="shared" si="26"/>
        <v>57207.49650427</v>
      </c>
      <c r="H136" s="17"/>
      <c r="L136" s="23"/>
    </row>
    <row r="137" spans="1:12" ht="15">
      <c r="A137" s="10" t="s">
        <v>15</v>
      </c>
      <c r="B137" s="8">
        <v>992.744</v>
      </c>
      <c r="C137" s="8">
        <v>973.35162582562</v>
      </c>
      <c r="D137" s="8">
        <v>176.17779063</v>
      </c>
      <c r="E137" s="8">
        <f t="shared" si="25"/>
        <v>797.17383519562</v>
      </c>
      <c r="F137" s="8">
        <v>-19.83307616</v>
      </c>
      <c r="G137" s="12">
        <f t="shared" si="26"/>
        <v>817.00691135562</v>
      </c>
      <c r="H137" s="17"/>
      <c r="L137" s="23"/>
    </row>
    <row r="138" spans="1:12" ht="15">
      <c r="A138" s="10" t="s">
        <v>1</v>
      </c>
      <c r="B138" s="8">
        <v>0</v>
      </c>
      <c r="C138" s="8">
        <v>0</v>
      </c>
      <c r="D138" s="8">
        <v>0</v>
      </c>
      <c r="E138" s="8">
        <f t="shared" si="25"/>
        <v>0</v>
      </c>
      <c r="F138" s="8">
        <v>0</v>
      </c>
      <c r="G138" s="12">
        <f t="shared" si="26"/>
        <v>0</v>
      </c>
      <c r="H138" s="17"/>
      <c r="L138" s="23"/>
    </row>
    <row r="139" spans="1:12" ht="15">
      <c r="A139" s="10" t="s">
        <v>10</v>
      </c>
      <c r="B139" s="8">
        <v>0</v>
      </c>
      <c r="C139" s="8">
        <v>0</v>
      </c>
      <c r="D139" s="8">
        <v>0</v>
      </c>
      <c r="E139" s="8">
        <f t="shared" si="25"/>
        <v>0</v>
      </c>
      <c r="F139" s="8">
        <v>0</v>
      </c>
      <c r="G139" s="12">
        <f t="shared" si="26"/>
        <v>0</v>
      </c>
      <c r="H139" s="17"/>
      <c r="L139" s="23"/>
    </row>
    <row r="140" spans="1:12" ht="15.75" thickBot="1">
      <c r="A140" s="10" t="s">
        <v>11</v>
      </c>
      <c r="B140" s="8">
        <v>0</v>
      </c>
      <c r="C140" s="8">
        <v>0</v>
      </c>
      <c r="D140" s="8">
        <v>14977.635</v>
      </c>
      <c r="E140" s="8">
        <f t="shared" si="25"/>
        <v>-14977.635</v>
      </c>
      <c r="F140" s="8">
        <v>2502.69</v>
      </c>
      <c r="G140" s="12">
        <f t="shared" si="26"/>
        <v>-17480.325</v>
      </c>
      <c r="H140" s="17"/>
      <c r="L140" s="23"/>
    </row>
    <row r="141" spans="1:12" ht="32.25" thickBot="1">
      <c r="A141" s="20" t="s">
        <v>34</v>
      </c>
      <c r="B141" s="22">
        <f>B114+B123+B132</f>
        <v>2446337.7756864205</v>
      </c>
      <c r="C141" s="22">
        <f aca="true" t="shared" si="27" ref="B141:G141">C114+C123+C132</f>
        <v>2343773.392595086</v>
      </c>
      <c r="D141" s="22">
        <f t="shared" si="27"/>
        <v>48231.20040892</v>
      </c>
      <c r="E141" s="22">
        <f t="shared" si="27"/>
        <v>2295542.1921861656</v>
      </c>
      <c r="F141" s="22">
        <f t="shared" si="27"/>
        <v>201508.49433388</v>
      </c>
      <c r="G141" s="22">
        <f t="shared" si="27"/>
        <v>2094033.6978522853</v>
      </c>
      <c r="H141" s="17"/>
      <c r="L141" s="23"/>
    </row>
    <row r="142" spans="1:10" ht="32.25" thickBot="1">
      <c r="A142" s="9" t="s">
        <v>32</v>
      </c>
      <c r="B142" s="1">
        <f aca="true" t="shared" si="28" ref="B142:G142">SUM(B144:B150)</f>
        <v>5308813.920500841</v>
      </c>
      <c r="C142" s="1">
        <f t="shared" si="28"/>
        <v>5176352.191114215</v>
      </c>
      <c r="D142" s="1">
        <f t="shared" si="28"/>
        <v>575760.18777638</v>
      </c>
      <c r="E142" s="1">
        <f t="shared" si="28"/>
        <v>4600592.004337835</v>
      </c>
      <c r="F142" s="1">
        <f t="shared" si="28"/>
        <v>620174.98436077</v>
      </c>
      <c r="G142" s="6">
        <f t="shared" si="28"/>
        <v>3980417.017977065</v>
      </c>
      <c r="H142" s="17"/>
      <c r="J142" s="17"/>
    </row>
    <row r="143" spans="1:11" ht="15.75">
      <c r="A143" s="28" t="s">
        <v>2</v>
      </c>
      <c r="B143" s="29"/>
      <c r="C143" s="29"/>
      <c r="D143" s="29"/>
      <c r="E143" s="29"/>
      <c r="F143" s="29"/>
      <c r="G143" s="30"/>
      <c r="H143" s="17"/>
      <c r="J143" s="31"/>
      <c r="K143" s="32"/>
    </row>
    <row r="144" spans="1:11" ht="15">
      <c r="A144" s="10" t="s">
        <v>3</v>
      </c>
      <c r="B144" s="8">
        <f aca="true" t="shared" si="29" ref="B144:G145">B44+B26+B17+B8+B53+B62+B80+B89+B98+B116+B125+B134</f>
        <v>1859142.0580000002</v>
      </c>
      <c r="C144" s="8">
        <f t="shared" si="29"/>
        <v>1849200.4391634297</v>
      </c>
      <c r="D144" s="8">
        <f t="shared" si="29"/>
        <v>211837</v>
      </c>
      <c r="E144" s="8">
        <f t="shared" si="29"/>
        <v>1637363.4391634301</v>
      </c>
      <c r="F144" s="8">
        <f t="shared" si="29"/>
        <v>410256.20805129997</v>
      </c>
      <c r="G144" s="8">
        <f t="shared" si="29"/>
        <v>1227107.2301121298</v>
      </c>
      <c r="H144" s="17"/>
      <c r="J144" s="31"/>
      <c r="K144" s="31"/>
    </row>
    <row r="145" spans="1:11" ht="15">
      <c r="A145" s="10" t="s">
        <v>13</v>
      </c>
      <c r="B145" s="8">
        <f t="shared" si="29"/>
        <v>3245417.1840000004</v>
      </c>
      <c r="C145" s="8">
        <f t="shared" si="29"/>
        <v>3125328.41239646</v>
      </c>
      <c r="D145" s="8">
        <f t="shared" si="29"/>
        <v>246059.47142201</v>
      </c>
      <c r="E145" s="8">
        <f t="shared" si="29"/>
        <v>2879268.9409744497</v>
      </c>
      <c r="F145" s="8">
        <f t="shared" si="29"/>
        <v>145912.84593346</v>
      </c>
      <c r="G145" s="8">
        <f t="shared" si="29"/>
        <v>2733356.0950409896</v>
      </c>
      <c r="H145" s="17"/>
      <c r="J145" s="31"/>
      <c r="K145" s="31"/>
    </row>
    <row r="146" spans="1:11" ht="15">
      <c r="A146" s="10" t="s">
        <v>14</v>
      </c>
      <c r="B146" s="8">
        <f aca="true" t="shared" si="30" ref="B146:G150">B46+B28+B19+B10+B55+B64+B82+B91+B100+B118+B127+B136</f>
        <v>187837.68150084</v>
      </c>
      <c r="C146" s="8">
        <f t="shared" si="30"/>
        <v>185681.64802882</v>
      </c>
      <c r="D146" s="8">
        <f t="shared" si="30"/>
        <v>0</v>
      </c>
      <c r="E146" s="8">
        <f t="shared" si="30"/>
        <v>185681.64802882</v>
      </c>
      <c r="F146" s="8">
        <f t="shared" si="30"/>
        <v>9288.44923217</v>
      </c>
      <c r="G146" s="8">
        <f t="shared" si="30"/>
        <v>176393.19879665002</v>
      </c>
      <c r="H146" s="17"/>
      <c r="J146" s="31"/>
      <c r="K146" s="31"/>
    </row>
    <row r="147" spans="1:11" ht="15">
      <c r="A147" s="10" t="s">
        <v>15</v>
      </c>
      <c r="B147" s="8">
        <f t="shared" si="30"/>
        <v>16416.997</v>
      </c>
      <c r="C147" s="8">
        <f t="shared" si="30"/>
        <v>16141.691525505623</v>
      </c>
      <c r="D147" s="8">
        <f t="shared" si="30"/>
        <v>40673.45086194</v>
      </c>
      <c r="E147" s="8">
        <f t="shared" si="30"/>
        <v>-24531.75833643438</v>
      </c>
      <c r="F147" s="8">
        <f t="shared" si="30"/>
        <v>4371.99074335</v>
      </c>
      <c r="G147" s="8">
        <f t="shared" si="30"/>
        <v>-28903.750079784375</v>
      </c>
      <c r="H147" s="17"/>
      <c r="J147" s="31"/>
      <c r="K147" s="31"/>
    </row>
    <row r="148" spans="1:11" ht="15">
      <c r="A148" s="10" t="s">
        <v>1</v>
      </c>
      <c r="B148" s="8">
        <f aca="true" t="shared" si="31" ref="B148:G148">B48+B30+B21+B12+B57+B66+B84+B93+B102+B120+B129+B138</f>
        <v>0</v>
      </c>
      <c r="C148" s="8">
        <f t="shared" si="31"/>
        <v>0</v>
      </c>
      <c r="D148" s="8">
        <f t="shared" si="31"/>
        <v>62212.630492430006</v>
      </c>
      <c r="E148" s="8">
        <f t="shared" si="31"/>
        <v>-62212.630492430006</v>
      </c>
      <c r="F148" s="8">
        <f t="shared" si="31"/>
        <v>24635.97340049</v>
      </c>
      <c r="G148" s="8">
        <f t="shared" si="31"/>
        <v>-86848.60389291999</v>
      </c>
      <c r="H148" s="17"/>
      <c r="J148" s="31"/>
      <c r="K148" s="31"/>
    </row>
    <row r="149" spans="1:11" ht="15">
      <c r="A149" s="10" t="s">
        <v>10</v>
      </c>
      <c r="B149" s="8">
        <f t="shared" si="30"/>
        <v>0</v>
      </c>
      <c r="C149" s="8">
        <f t="shared" si="30"/>
        <v>0</v>
      </c>
      <c r="D149" s="8">
        <f t="shared" si="30"/>
        <v>0</v>
      </c>
      <c r="E149" s="8">
        <f t="shared" si="30"/>
        <v>0</v>
      </c>
      <c r="F149" s="8">
        <f t="shared" si="30"/>
        <v>7698.4</v>
      </c>
      <c r="G149" s="8">
        <f t="shared" si="30"/>
        <v>-7698.4</v>
      </c>
      <c r="H149" s="17"/>
      <c r="J149" s="31"/>
      <c r="K149" s="31"/>
    </row>
    <row r="150" spans="1:11" ht="15">
      <c r="A150" s="33" t="s">
        <v>11</v>
      </c>
      <c r="B150" s="34">
        <f t="shared" si="30"/>
        <v>0</v>
      </c>
      <c r="C150" s="34">
        <f t="shared" si="30"/>
        <v>0</v>
      </c>
      <c r="D150" s="34">
        <f t="shared" si="30"/>
        <v>14977.635</v>
      </c>
      <c r="E150" s="34">
        <f t="shared" si="30"/>
        <v>-14977.635</v>
      </c>
      <c r="F150" s="34">
        <f t="shared" si="30"/>
        <v>18011.117000000002</v>
      </c>
      <c r="G150" s="34">
        <f t="shared" si="30"/>
        <v>-32988.752</v>
      </c>
      <c r="H150" s="17"/>
      <c r="J150" s="31"/>
      <c r="K150" s="31"/>
    </row>
    <row r="151" ht="15.75">
      <c r="G151" s="27"/>
    </row>
  </sheetData>
  <sheetProtection/>
  <mergeCells count="21">
    <mergeCell ref="H40:I40"/>
    <mergeCell ref="H34:I34"/>
    <mergeCell ref="H35:I35"/>
    <mergeCell ref="H36:I36"/>
    <mergeCell ref="H37:I37"/>
    <mergeCell ref="H38:I38"/>
    <mergeCell ref="H39:I39"/>
    <mergeCell ref="F3:F5"/>
    <mergeCell ref="A1:G1"/>
    <mergeCell ref="B3:B5"/>
    <mergeCell ref="C3:C5"/>
    <mergeCell ref="E3:E5"/>
    <mergeCell ref="G3:G5"/>
    <mergeCell ref="D3:D5"/>
    <mergeCell ref="H76:I76"/>
    <mergeCell ref="H70:I70"/>
    <mergeCell ref="H71:I71"/>
    <mergeCell ref="H72:I72"/>
    <mergeCell ref="H73:I73"/>
    <mergeCell ref="H74:I74"/>
    <mergeCell ref="H75:I75"/>
  </mergeCells>
  <printOptions horizontalCentered="1"/>
  <pageMargins left="0.7" right="0.7" top="0.75" bottom="0.75" header="0.3" footer="0.3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Главная таблица 2004</dc:title>
  <dc:subject/>
  <dc:creator>Inna.Bak@minfin.ru</dc:creator>
  <cp:keywords/>
  <dc:description>Отражение всех операций с ценными бумагами</dc:description>
  <cp:lastModifiedBy>МОРОЗОВА ЕЛЕНА ВАСИЛЬЕВНА</cp:lastModifiedBy>
  <cp:lastPrinted>2020-10-06T17:44:55Z</cp:lastPrinted>
  <dcterms:created xsi:type="dcterms:W3CDTF">2004-01-08T10:30:09Z</dcterms:created>
  <dcterms:modified xsi:type="dcterms:W3CDTF">2021-01-26T11:22:28Z</dcterms:modified>
  <cp:category/>
  <cp:version/>
  <cp:contentType/>
  <cp:contentStatus/>
</cp:coreProperties>
</file>