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Users\Onufrienko\Desktop\Управление экономики и финансов\2019 год\Инфо для сайта Минфина\10\"/>
    </mc:Choice>
  </mc:AlternateContent>
  <bookViews>
    <workbookView xWindow="0" yWindow="0" windowWidth="28800" windowHeight="10500" tabRatio="763"/>
  </bookViews>
  <sheets>
    <sheet name="Титул" sheetId="1" r:id="rId1"/>
    <sheet name="часть (1)" sheetId="2" r:id="rId2"/>
    <sheet name="показатели 1.4., 1.5." sheetId="62" r:id="rId3"/>
    <sheet name="часть (2)" sheetId="60" r:id="rId4"/>
    <sheet name="показатели II " sheetId="41" state="hidden" r:id="rId5"/>
    <sheet name="Часть 3" sheetId="42" state="hidden" r:id="rId6"/>
    <sheet name="Часть 4" sheetId="13" state="hidden" r:id="rId7"/>
    <sheet name="часть (3)" sheetId="57" r:id="rId8"/>
    <sheet name="часть (4)" sheetId="45" r:id="rId9"/>
    <sheet name="часть (5, 6)" sheetId="61" r:id="rId10"/>
    <sheet name="Часть 6" sheetId="15" state="hidden" r:id="rId11"/>
    <sheet name="ПФХД 2019 с разбивкой " sheetId="27" state="hidden" r:id="rId12"/>
    <sheet name="ПФХД 2019 с разбивкой  (2)" sheetId="63" state="hidden" r:id="rId13"/>
    <sheet name="часть 3 вып южного" sheetId="49" state="hidden" r:id="rId14"/>
    <sheet name="ПФХД 2019 с разбивкой  (4)" sheetId="65" state="hidden" r:id="rId15"/>
    <sheet name="НЗ на ГЗ база 55150" sheetId="66" state="hidden" r:id="rId16"/>
    <sheet name="НЗ на ГЗ база 39074" sheetId="67" state="hidden" r:id="rId17"/>
    <sheet name="ПФХД 2019 с разб 9 мес" sheetId="68" state="hidden" r:id="rId18"/>
    <sheet name="ПФХД 2019 с разб 9 мес (2)" sheetId="72" state="hidden" r:id="rId19"/>
    <sheet name="ПФХД 2019 с разбивк55150 под со" sheetId="74" state="hidden" r:id="rId20"/>
    <sheet name="НЗ на ГЗ база 55150 (2)" sheetId="70" state="hidden" r:id="rId21"/>
    <sheet name="анализ" sheetId="76" state="hidden" r:id="rId22"/>
    <sheet name="ПФХД 2019 с разбивкой  (3)" sheetId="64" state="hidden" r:id="rId23"/>
    <sheet name="Лист1" sheetId="58" state="hidden" r:id="rId24"/>
    <sheet name="пояснительная" sheetId="44" state="hidden" r:id="rId25"/>
    <sheet name="пояснительная (2)" sheetId="48" state="hidden" r:id="rId26"/>
    <sheet name="выписка Южный" sheetId="52" state="hidden" r:id="rId27"/>
    <sheet name="Санкционирование" sheetId="50" state="hidden" r:id="rId28"/>
    <sheet name="Лист2 (2)" sheetId="51" state="hidden" r:id="rId29"/>
    <sheet name="расчет норматив" sheetId="53" state="hidden" r:id="rId30"/>
    <sheet name="Доходы Проживание (2)" sheetId="54" state="hidden" r:id="rId31"/>
    <sheet name="НЗ на ГЗ база с деньгами Минздр" sheetId="55" state="hidden" r:id="rId32"/>
    <sheet name="СВОД ОСТАТКОВ 2018" sheetId="56" state="hidden" r:id="rId33"/>
    <sheet name="Часть 3 2019" sheetId="46" state="hidden" r:id="rId34"/>
    <sheet name="Часть 3 2020" sheetId="47" state="hidden" r:id="rId35"/>
    <sheet name="ПФХД с разбивкой  (2)" sheetId="43" state="hidden" r:id="rId36"/>
    <sheet name="НЗ на ГЗ с дорожкой" sheetId="29" state="hidden" r:id="rId37"/>
  </sheets>
  <externalReferences>
    <externalReference r:id="rId38"/>
    <externalReference r:id="rId39"/>
    <externalReference r:id="rId40"/>
    <externalReference r:id="rId41"/>
    <externalReference r:id="rId42"/>
    <externalReference r:id="rId43"/>
    <externalReference r:id="rId44"/>
  </externalReferences>
  <definedNames>
    <definedName name="_xlnm._FilterDatabase" localSheetId="32" hidden="1">'СВОД ОСТАТКОВ 2018'!$B$10:$DW$136</definedName>
    <definedName name="C_RAZDEL" localSheetId="36">'[1]Свод-1'!#REF!</definedName>
    <definedName name="sub_100300" localSheetId="21">анализ!$A$7</definedName>
    <definedName name="sub_100300" localSheetId="26">'выписка Южный'!$A$5</definedName>
    <definedName name="sub_100300" localSheetId="17">'ПФХД 2019 с разб 9 мес'!$A$6</definedName>
    <definedName name="sub_100300" localSheetId="18">'ПФХД 2019 с разб 9 мес (2)'!$A$6</definedName>
    <definedName name="sub_100300" localSheetId="19">'ПФХД 2019 с разбивк55150 под со'!$A$13</definedName>
    <definedName name="sub_100300" localSheetId="11">'ПФХД 2019 с разбивкой '!$A$6</definedName>
    <definedName name="sub_100300" localSheetId="12">'ПФХД 2019 с разбивкой  (2)'!$A$5</definedName>
    <definedName name="sub_100300" localSheetId="22">'ПФХД 2019 с разбивкой  (3)'!$A$6</definedName>
    <definedName name="sub_100300" localSheetId="14">'ПФХД 2019 с разбивкой  (4)'!$A$6</definedName>
    <definedName name="sub_100300" localSheetId="35">'ПФХД с разбивкой  (2)'!$A$5</definedName>
    <definedName name="sub_100300" localSheetId="27">Санкционирование!$A$5</definedName>
    <definedName name="sub_100300" localSheetId="7">'часть (3)'!$A$5</definedName>
    <definedName name="sub_100300" localSheetId="5">'Часть 3'!$A$5</definedName>
    <definedName name="sub_100300" localSheetId="33">'Часть 3 2019'!$A$5</definedName>
    <definedName name="sub_100300" localSheetId="34">'Часть 3 2020'!$A$5</definedName>
    <definedName name="sub_100300" localSheetId="13">'часть 3 вып южного'!$A$5</definedName>
    <definedName name="sub_1004" localSheetId="8">'часть (4)'!$A$1</definedName>
    <definedName name="sub_1004" localSheetId="6">'Часть 4'!$A$1</definedName>
    <definedName name="sub_1006" localSheetId="10">'Часть 6'!$A$1</definedName>
    <definedName name="_xlnm.Print_Titles" localSheetId="21">анализ!$A:$C</definedName>
    <definedName name="_xlnm.Print_Titles" localSheetId="26">'выписка Южный'!$A:$C</definedName>
    <definedName name="_xlnm.Print_Titles" localSheetId="17">'ПФХД 2019 с разб 9 мес'!$A:$C</definedName>
    <definedName name="_xlnm.Print_Titles" localSheetId="18">'ПФХД 2019 с разб 9 мес (2)'!$A:$C</definedName>
    <definedName name="_xlnm.Print_Titles" localSheetId="19">'ПФХД 2019 с разбивк55150 под со'!$A:$C</definedName>
    <definedName name="_xlnm.Print_Titles" localSheetId="11">'ПФХД 2019 с разбивкой '!$A:$C</definedName>
    <definedName name="_xlnm.Print_Titles" localSheetId="12">'ПФХД 2019 с разбивкой  (2)'!$A:$C</definedName>
    <definedName name="_xlnm.Print_Titles" localSheetId="22">'ПФХД 2019 с разбивкой  (3)'!$A:$C</definedName>
    <definedName name="_xlnm.Print_Titles" localSheetId="14">'ПФХД 2019 с разбивкой  (4)'!$A:$C</definedName>
    <definedName name="_xlnm.Print_Titles" localSheetId="27">Санкционирование!$A:$C</definedName>
    <definedName name="НЗ" localSheetId="36">'[1]Свод-1'!#REF!</definedName>
    <definedName name="_xlnm.Print_Area" localSheetId="21">анализ!$A$1:$BG$88</definedName>
    <definedName name="_xlnm.Print_Area" localSheetId="26">'выписка Южный'!$A$1:$AO$86</definedName>
    <definedName name="_xlnm.Print_Area" localSheetId="16">'НЗ на ГЗ база 39074'!$A$1:$E$84</definedName>
    <definedName name="_xlnm.Print_Area" localSheetId="15">'НЗ на ГЗ база 55150'!$A$1:$E$84</definedName>
    <definedName name="_xlnm.Print_Area" localSheetId="20">'НЗ на ГЗ база 55150 (2)'!$A$1:$E$84</definedName>
    <definedName name="_xlnm.Print_Area" localSheetId="31">'НЗ на ГЗ база с деньгами Минздр'!$A$1:$N$85</definedName>
    <definedName name="_xlnm.Print_Area" localSheetId="36">'НЗ на ГЗ с дорожкой'!$B$1:$D$62</definedName>
    <definedName name="_xlnm.Print_Area" localSheetId="2">'показатели 1.4., 1.5.'!$A$1:$I$11</definedName>
    <definedName name="_xlnm.Print_Area" localSheetId="4">'показатели II '!$A$1:$I$79</definedName>
    <definedName name="_xlnm.Print_Area" localSheetId="17">'ПФХД 2019 с разб 9 мес'!$A$1:$AU$87</definedName>
    <definedName name="_xlnm.Print_Area" localSheetId="18">'ПФХД 2019 с разб 9 мес (2)'!$A$1:$AU$87</definedName>
    <definedName name="_xlnm.Print_Area" localSheetId="19">'ПФХД 2019 с разбивк55150 под со'!$A$1:$AZ$94</definedName>
    <definedName name="_xlnm.Print_Area" localSheetId="11">'ПФХД 2019 с разбивкой '!$A$1:$AU$87</definedName>
    <definedName name="_xlnm.Print_Area" localSheetId="12">'ПФХД 2019 с разбивкой  (2)'!$A$1:$AU$86</definedName>
    <definedName name="_xlnm.Print_Area" localSheetId="22">'ПФХД 2019 с разбивкой  (3)'!$A$1:$AU$87</definedName>
    <definedName name="_xlnm.Print_Area" localSheetId="14">'ПФХД 2019 с разбивкой  (4)'!$A$1:$AU$87</definedName>
    <definedName name="_xlnm.Print_Area" localSheetId="35">'ПФХД с разбивкой  (2)'!$A$1:$AM$76</definedName>
    <definedName name="_xlnm.Print_Area" localSheetId="27">Санкционирование!$A$1:$BI$86</definedName>
    <definedName name="_xlnm.Print_Area" localSheetId="7">'часть (3)'!$A$1:$J$78</definedName>
    <definedName name="_xlnm.Print_Area" localSheetId="9">'часть (5, 6)'!$A$1:$BW$35</definedName>
    <definedName name="_xlnm.Print_Area" localSheetId="5">'Часть 3'!$A$1:$V$77</definedName>
    <definedName name="_xlnm.Print_Area" localSheetId="33">'Часть 3 2019'!$A$1:$P$76</definedName>
    <definedName name="_xlnm.Print_Area" localSheetId="34">'Часть 3 2020'!$A$1:$P$76</definedName>
    <definedName name="_xlnm.Print_Area" localSheetId="13">'часть 3 вып южного'!$A$1:$V$76</definedName>
  </definedNames>
  <calcPr calcId="162913"/>
</workbook>
</file>

<file path=xl/calcChain.xml><?xml version="1.0" encoding="utf-8"?>
<calcChain xmlns="http://schemas.openxmlformats.org/spreadsheetml/2006/main">
  <c r="J129" i="76" l="1"/>
  <c r="J128" i="76" s="1"/>
  <c r="K128" i="76" s="1"/>
  <c r="P127" i="76"/>
  <c r="L127" i="76"/>
  <c r="Q117" i="76"/>
  <c r="AE114" i="76"/>
  <c r="Q114" i="76"/>
  <c r="U114" i="76" s="1"/>
  <c r="Q113" i="76"/>
  <c r="AB112" i="76"/>
  <c r="Q112" i="76"/>
  <c r="U112" i="76" s="1"/>
  <c r="Q111" i="76"/>
  <c r="U111" i="76" s="1"/>
  <c r="Q110" i="76"/>
  <c r="U110" i="76" s="1"/>
  <c r="Q109" i="76"/>
  <c r="U109" i="76" s="1"/>
  <c r="Q108" i="76"/>
  <c r="U108" i="76" s="1"/>
  <c r="Q107" i="76"/>
  <c r="U107" i="76" s="1"/>
  <c r="Q106" i="76"/>
  <c r="U106" i="76" s="1"/>
  <c r="Q105" i="76"/>
  <c r="U105" i="76" s="1"/>
  <c r="AD104" i="76"/>
  <c r="Q104" i="76"/>
  <c r="U104" i="76" s="1"/>
  <c r="AU103" i="76"/>
  <c r="AU104" i="76" s="1"/>
  <c r="AH103" i="76"/>
  <c r="Q103" i="76"/>
  <c r="AU102" i="76"/>
  <c r="AL102" i="76"/>
  <c r="AH102" i="76"/>
  <c r="R102" i="76"/>
  <c r="Q102" i="76"/>
  <c r="AH107" i="76" s="1"/>
  <c r="AL101" i="76"/>
  <c r="AH101" i="76"/>
  <c r="AH104" i="76" s="1"/>
  <c r="Q101" i="76"/>
  <c r="H95" i="76"/>
  <c r="I95" i="76" s="1"/>
  <c r="AY92" i="76"/>
  <c r="AU92" i="76"/>
  <c r="P91" i="76"/>
  <c r="P94" i="76" s="1"/>
  <c r="AV88" i="76"/>
  <c r="AF84" i="76"/>
  <c r="AV80" i="76"/>
  <c r="AV81" i="76" s="1"/>
  <c r="AU80" i="76"/>
  <c r="AU81" i="76" s="1"/>
  <c r="AK80" i="76"/>
  <c r="AK81" i="76" s="1"/>
  <c r="AH80" i="76"/>
  <c r="AH81" i="76" s="1"/>
  <c r="AC80" i="76"/>
  <c r="AC81" i="76" s="1"/>
  <c r="AV79" i="76"/>
  <c r="AU79" i="76"/>
  <c r="AT79" i="76"/>
  <c r="AM79" i="76"/>
  <c r="AM80" i="76" s="1"/>
  <c r="AM81" i="76" s="1"/>
  <c r="AL79" i="76"/>
  <c r="AK79" i="76"/>
  <c r="AJ79" i="76"/>
  <c r="AI79" i="76"/>
  <c r="AI80" i="76" s="1"/>
  <c r="AI81" i="76" s="1"/>
  <c r="AH79" i="76"/>
  <c r="AG79" i="76"/>
  <c r="AF79" i="76"/>
  <c r="AE79" i="76"/>
  <c r="AD79" i="76"/>
  <c r="AC79" i="76"/>
  <c r="AB79" i="76"/>
  <c r="AA79" i="76"/>
  <c r="BY77" i="76"/>
  <c r="AU77" i="76"/>
  <c r="AT77" i="76"/>
  <c r="AR77" i="76"/>
  <c r="AS77" i="76" s="1"/>
  <c r="AO77" i="76"/>
  <c r="AP77" i="76" s="1"/>
  <c r="AM77" i="76"/>
  <c r="AL77" i="76"/>
  <c r="AL80" i="76" s="1"/>
  <c r="AL81" i="76" s="1"/>
  <c r="AK77" i="76"/>
  <c r="AJ77" i="76"/>
  <c r="AI77" i="76"/>
  <c r="AH77" i="76"/>
  <c r="AF77" i="76"/>
  <c r="AE77" i="76"/>
  <c r="AD77" i="76"/>
  <c r="AD89" i="76" s="1"/>
  <c r="AC77" i="76"/>
  <c r="AB77" i="76"/>
  <c r="AA77" i="76"/>
  <c r="BV76" i="76"/>
  <c r="Z76" i="76"/>
  <c r="X76" i="76"/>
  <c r="CF75" i="76"/>
  <c r="CD75" i="76"/>
  <c r="BZ75" i="76"/>
  <c r="BY75" i="76"/>
  <c r="CA75" i="76" s="1"/>
  <c r="BV75" i="76"/>
  <c r="BT75" i="76"/>
  <c r="AW75" i="76"/>
  <c r="AX75" i="76" s="1"/>
  <c r="I75" i="76"/>
  <c r="E75" i="76"/>
  <c r="F75" i="76" s="1"/>
  <c r="CF74" i="76"/>
  <c r="CD74" i="76"/>
  <c r="BZ74" i="76"/>
  <c r="BY74" i="76"/>
  <c r="BV74" i="76"/>
  <c r="BT74" i="76"/>
  <c r="AX74" i="76"/>
  <c r="AW74" i="76"/>
  <c r="I74" i="76"/>
  <c r="E74" i="76"/>
  <c r="F74" i="76" s="1"/>
  <c r="CF73" i="76"/>
  <c r="CD73" i="76"/>
  <c r="BZ73" i="76"/>
  <c r="BY73" i="76"/>
  <c r="CA73" i="76" s="1"/>
  <c r="BV73" i="76"/>
  <c r="BT73" i="76"/>
  <c r="AW73" i="76"/>
  <c r="AX73" i="76" s="1"/>
  <c r="I73" i="76"/>
  <c r="E73" i="76"/>
  <c r="F73" i="76" s="1"/>
  <c r="CF72" i="76"/>
  <c r="CD72" i="76"/>
  <c r="BZ72" i="76"/>
  <c r="BY72" i="76"/>
  <c r="BV72" i="76"/>
  <c r="BT72" i="76"/>
  <c r="BG72" i="76"/>
  <c r="AX72" i="76"/>
  <c r="AW72" i="76"/>
  <c r="I72" i="76"/>
  <c r="F72" i="76"/>
  <c r="E72" i="76"/>
  <c r="D72" i="76"/>
  <c r="CF71" i="76"/>
  <c r="CD71" i="76"/>
  <c r="CA71" i="76"/>
  <c r="BZ71" i="76"/>
  <c r="BY71" i="76"/>
  <c r="BV71" i="76"/>
  <c r="BT71" i="76"/>
  <c r="AX71" i="76"/>
  <c r="AW71" i="76"/>
  <c r="I71" i="76"/>
  <c r="F71" i="76"/>
  <c r="E71" i="76"/>
  <c r="CF70" i="76"/>
  <c r="CD70" i="76"/>
  <c r="CA70" i="76"/>
  <c r="BZ70" i="76"/>
  <c r="BY70" i="76"/>
  <c r="BV70" i="76"/>
  <c r="BT70" i="76"/>
  <c r="AX70" i="76"/>
  <c r="AW70" i="76"/>
  <c r="I70" i="76"/>
  <c r="F70" i="76"/>
  <c r="E70" i="76"/>
  <c r="CF69" i="76"/>
  <c r="CD69" i="76"/>
  <c r="CA69" i="76"/>
  <c r="BZ69" i="76"/>
  <c r="BY69" i="76"/>
  <c r="BV69" i="76"/>
  <c r="BT69" i="76"/>
  <c r="AX69" i="76"/>
  <c r="AW69" i="76"/>
  <c r="I69" i="76"/>
  <c r="F69" i="76"/>
  <c r="E69" i="76"/>
  <c r="CF68" i="76"/>
  <c r="CD68" i="76"/>
  <c r="CA68" i="76"/>
  <c r="BZ68" i="76"/>
  <c r="BY68" i="76"/>
  <c r="BV68" i="76"/>
  <c r="BT68" i="76"/>
  <c r="BG68" i="76"/>
  <c r="BA68" i="76"/>
  <c r="AX68" i="76"/>
  <c r="AW68" i="76"/>
  <c r="I68" i="76"/>
  <c r="E68" i="76"/>
  <c r="F68" i="76" s="1"/>
  <c r="D68" i="76"/>
  <c r="CF67" i="76"/>
  <c r="CC67" i="76"/>
  <c r="BY67" i="76"/>
  <c r="BV67" i="76"/>
  <c r="BT67" i="76"/>
  <c r="BI67" i="76"/>
  <c r="BF67" i="76"/>
  <c r="BE67" i="76"/>
  <c r="BC67" i="76"/>
  <c r="BA67" i="76"/>
  <c r="Y67" i="76"/>
  <c r="W67" i="76"/>
  <c r="V67" i="76"/>
  <c r="U67" i="76"/>
  <c r="R67" i="76"/>
  <c r="Q67" i="76"/>
  <c r="T67" i="76" s="1"/>
  <c r="I67" i="76"/>
  <c r="H67" i="76"/>
  <c r="D67" i="76"/>
  <c r="CF66" i="76"/>
  <c r="CD66" i="76"/>
  <c r="CA66" i="76"/>
  <c r="BZ66" i="76"/>
  <c r="BY66" i="76"/>
  <c r="BV66" i="76"/>
  <c r="BT66" i="76"/>
  <c r="BC66" i="76"/>
  <c r="AZ66" i="76"/>
  <c r="BA66" i="76" s="1"/>
  <c r="AX66" i="76"/>
  <c r="AW66" i="76"/>
  <c r="Q66" i="76"/>
  <c r="T66" i="76" s="1"/>
  <c r="H66" i="76"/>
  <c r="D66" i="76"/>
  <c r="CF65" i="76"/>
  <c r="CA65" i="76"/>
  <c r="BZ65" i="76"/>
  <c r="BY65" i="76"/>
  <c r="BV65" i="76"/>
  <c r="BT65" i="76"/>
  <c r="BC65" i="76"/>
  <c r="BA65" i="76"/>
  <c r="AZ65" i="76"/>
  <c r="CD65" i="76" s="1"/>
  <c r="AX65" i="76"/>
  <c r="AW65" i="76"/>
  <c r="T65" i="76"/>
  <c r="Q65" i="76"/>
  <c r="I65" i="76"/>
  <c r="H65" i="76"/>
  <c r="E65" i="76" s="1"/>
  <c r="F65" i="76" s="1"/>
  <c r="D65" i="76"/>
  <c r="CF64" i="76"/>
  <c r="CD64" i="76"/>
  <c r="CC64" i="76"/>
  <c r="CB64" i="76"/>
  <c r="CA64" i="76"/>
  <c r="BZ64" i="76"/>
  <c r="BY64" i="76"/>
  <c r="BV64" i="76"/>
  <c r="BT64" i="76"/>
  <c r="BJ64" i="76"/>
  <c r="BF64" i="76"/>
  <c r="BC64" i="76"/>
  <c r="BA64" i="76"/>
  <c r="AX64" i="76"/>
  <c r="AW64" i="76"/>
  <c r="W64" i="76"/>
  <c r="T64" i="76"/>
  <c r="R64" i="76"/>
  <c r="H64" i="76"/>
  <c r="I64" i="76" s="1"/>
  <c r="E64" i="76"/>
  <c r="F64" i="76" s="1"/>
  <c r="D64" i="76"/>
  <c r="CF63" i="76"/>
  <c r="CA63" i="76"/>
  <c r="BZ63" i="76"/>
  <c r="BY63" i="76"/>
  <c r="BV63" i="76"/>
  <c r="BT63" i="76"/>
  <c r="BA63" i="76"/>
  <c r="AZ63" i="76"/>
  <c r="CD63" i="76" s="1"/>
  <c r="T63" i="76"/>
  <c r="Q63" i="76"/>
  <c r="H63" i="76" s="1"/>
  <c r="I63" i="76" s="1"/>
  <c r="D63" i="76"/>
  <c r="CF62" i="76"/>
  <c r="CD62" i="76"/>
  <c r="CB62" i="76"/>
  <c r="CA62" i="76"/>
  <c r="BZ62" i="76"/>
  <c r="BY62" i="76"/>
  <c r="BV62" i="76"/>
  <c r="BT62" i="76"/>
  <c r="BJ62" i="76"/>
  <c r="BG62" i="76"/>
  <c r="BF62" i="76"/>
  <c r="BC62" i="76"/>
  <c r="AZ62" i="76"/>
  <c r="AW62" i="76"/>
  <c r="AX62" i="76" s="1"/>
  <c r="W62" i="76"/>
  <c r="R62" i="76"/>
  <c r="Q62" i="76"/>
  <c r="T62" i="76" s="1"/>
  <c r="J62" i="76"/>
  <c r="J46" i="76" s="1"/>
  <c r="H62" i="76"/>
  <c r="D62" i="76"/>
  <c r="CF61" i="76"/>
  <c r="BZ61" i="76"/>
  <c r="BY61" i="76"/>
  <c r="CA61" i="76" s="1"/>
  <c r="BV61" i="76"/>
  <c r="BT61" i="76"/>
  <c r="BA61" i="76"/>
  <c r="AZ61" i="76"/>
  <c r="Q61" i="76"/>
  <c r="D61" i="76"/>
  <c r="CH60" i="76"/>
  <c r="CF60" i="76"/>
  <c r="CC60" i="76"/>
  <c r="BY60" i="76"/>
  <c r="BV60" i="76"/>
  <c r="BT60" i="76"/>
  <c r="BT46" i="76" s="1"/>
  <c r="BJ60" i="76"/>
  <c r="BF60" i="76"/>
  <c r="BC60" i="76"/>
  <c r="BA60" i="76"/>
  <c r="AX60" i="76"/>
  <c r="AW60" i="76"/>
  <c r="W60" i="76"/>
  <c r="H60" i="76"/>
  <c r="D60" i="76"/>
  <c r="CF59" i="76"/>
  <c r="BZ59" i="76"/>
  <c r="BY59" i="76"/>
  <c r="CA59" i="76" s="1"/>
  <c r="BV59" i="76"/>
  <c r="BT59" i="76"/>
  <c r="AZ59" i="76"/>
  <c r="T59" i="76"/>
  <c r="Q59" i="76"/>
  <c r="H59" i="76" s="1"/>
  <c r="I59" i="76" s="1"/>
  <c r="D59" i="76"/>
  <c r="CF58" i="76"/>
  <c r="CA58" i="76"/>
  <c r="BZ58" i="76"/>
  <c r="BY58" i="76"/>
  <c r="BV58" i="76"/>
  <c r="BT58" i="76"/>
  <c r="AZ58" i="76"/>
  <c r="Q58" i="76"/>
  <c r="D58" i="76"/>
  <c r="CF57" i="76"/>
  <c r="CA57" i="76"/>
  <c r="BZ57" i="76"/>
  <c r="BY57" i="76"/>
  <c r="BV57" i="76"/>
  <c r="BT57" i="76"/>
  <c r="BC57" i="76"/>
  <c r="BA57" i="76"/>
  <c r="AZ57" i="76"/>
  <c r="CD57" i="76" s="1"/>
  <c r="AX57" i="76"/>
  <c r="AW57" i="76"/>
  <c r="T57" i="76"/>
  <c r="Q57" i="76"/>
  <c r="I57" i="76"/>
  <c r="H57" i="76"/>
  <c r="E57" i="76" s="1"/>
  <c r="F57" i="76" s="1"/>
  <c r="D57" i="76"/>
  <c r="CF56" i="76"/>
  <c r="CD56" i="76"/>
  <c r="CC56" i="76"/>
  <c r="CB56" i="76"/>
  <c r="CA56" i="76"/>
  <c r="BZ56" i="76"/>
  <c r="BY56" i="76"/>
  <c r="BV56" i="76"/>
  <c r="BT56" i="76"/>
  <c r="BJ56" i="76"/>
  <c r="BF56" i="76"/>
  <c r="BC56" i="76"/>
  <c r="BA56" i="76"/>
  <c r="AX56" i="76"/>
  <c r="AW56" i="76"/>
  <c r="W56" i="76"/>
  <c r="T56" i="76"/>
  <c r="R56" i="76"/>
  <c r="H56" i="76"/>
  <c r="D56" i="76"/>
  <c r="CF55" i="76"/>
  <c r="CD55" i="76"/>
  <c r="BZ55" i="76"/>
  <c r="BY55" i="76"/>
  <c r="CA55" i="76" s="1"/>
  <c r="BV55" i="76"/>
  <c r="BT55" i="76"/>
  <c r="BA55" i="76"/>
  <c r="AZ55" i="76"/>
  <c r="T55" i="76"/>
  <c r="Q55" i="76"/>
  <c r="H55" i="76" s="1"/>
  <c r="D55" i="76"/>
  <c r="CF54" i="76"/>
  <c r="CA54" i="76"/>
  <c r="BZ54" i="76"/>
  <c r="BY54" i="76"/>
  <c r="BV54" i="76"/>
  <c r="BT54" i="76"/>
  <c r="AZ54" i="76"/>
  <c r="Q54" i="76"/>
  <c r="D54" i="76"/>
  <c r="CF53" i="76"/>
  <c r="BZ53" i="76"/>
  <c r="CA53" i="76" s="1"/>
  <c r="BY53" i="76"/>
  <c r="BV53" i="76"/>
  <c r="BT53" i="76"/>
  <c r="BL53" i="76"/>
  <c r="AZ53" i="76"/>
  <c r="Q53" i="76"/>
  <c r="D53" i="76"/>
  <c r="CF52" i="76"/>
  <c r="CA52" i="76"/>
  <c r="BZ52" i="76"/>
  <c r="BY52" i="76"/>
  <c r="BV52" i="76"/>
  <c r="BT52" i="76"/>
  <c r="BC52" i="76"/>
  <c r="BA52" i="76"/>
  <c r="AZ52" i="76"/>
  <c r="CD52" i="76" s="1"/>
  <c r="AX52" i="76"/>
  <c r="AW52" i="76"/>
  <c r="T52" i="76"/>
  <c r="Q52" i="76"/>
  <c r="I52" i="76"/>
  <c r="H52" i="76"/>
  <c r="E52" i="76" s="1"/>
  <c r="F52" i="76" s="1"/>
  <c r="D52" i="76"/>
  <c r="CF51" i="76"/>
  <c r="CD51" i="76"/>
  <c r="CC51" i="76"/>
  <c r="CB51" i="76"/>
  <c r="CA51" i="76"/>
  <c r="BZ51" i="76"/>
  <c r="BY51" i="76"/>
  <c r="BV51" i="76"/>
  <c r="BT51" i="76"/>
  <c r="BL51" i="76"/>
  <c r="BJ51" i="76"/>
  <c r="BF51" i="76"/>
  <c r="BC51" i="76"/>
  <c r="BA51" i="76"/>
  <c r="AW51" i="76"/>
  <c r="W51" i="76"/>
  <c r="Q51" i="76"/>
  <c r="I51" i="76"/>
  <c r="H51" i="76"/>
  <c r="D51" i="76"/>
  <c r="CF50" i="76"/>
  <c r="CD50" i="76"/>
  <c r="CB50" i="76"/>
  <c r="CA50" i="76"/>
  <c r="BZ50" i="76"/>
  <c r="BY50" i="76"/>
  <c r="BV50" i="76"/>
  <c r="BT50" i="76"/>
  <c r="BJ50" i="76"/>
  <c r="BF50" i="76"/>
  <c r="BC50" i="76"/>
  <c r="BA50" i="76"/>
  <c r="AX50" i="76"/>
  <c r="AW50" i="76"/>
  <c r="T50" i="76"/>
  <c r="Q50" i="76"/>
  <c r="H50" i="76" s="1"/>
  <c r="I50" i="76" s="1"/>
  <c r="F50" i="76"/>
  <c r="E50" i="76"/>
  <c r="D50" i="76"/>
  <c r="CF49" i="76"/>
  <c r="CD49" i="76"/>
  <c r="CB49" i="76"/>
  <c r="BZ49" i="76"/>
  <c r="BY49" i="76"/>
  <c r="CA49" i="76" s="1"/>
  <c r="BV49" i="76"/>
  <c r="BV46" i="76" s="1"/>
  <c r="BT49" i="76"/>
  <c r="BM49" i="76"/>
  <c r="BJ49" i="76"/>
  <c r="BF49" i="76"/>
  <c r="BC49" i="76"/>
  <c r="BA49" i="76"/>
  <c r="AW49" i="76"/>
  <c r="W49" i="76"/>
  <c r="R49" i="76"/>
  <c r="Q49" i="76"/>
  <c r="T49" i="76" s="1"/>
  <c r="I49" i="76"/>
  <c r="H49" i="76"/>
  <c r="D49" i="76"/>
  <c r="CD48" i="76"/>
  <c r="CA48" i="76"/>
  <c r="BZ48" i="76"/>
  <c r="BY48" i="76"/>
  <c r="BT48" i="76"/>
  <c r="AX48" i="76"/>
  <c r="AW48" i="76"/>
  <c r="I48" i="76"/>
  <c r="E48" i="76"/>
  <c r="F48" i="76" s="1"/>
  <c r="CD47" i="76"/>
  <c r="BZ47" i="76"/>
  <c r="BY47" i="76"/>
  <c r="CA47" i="76" s="1"/>
  <c r="BT47" i="76"/>
  <c r="AX47" i="76"/>
  <c r="AW47" i="76"/>
  <c r="I47" i="76"/>
  <c r="F47" i="76"/>
  <c r="E47" i="76"/>
  <c r="CE46" i="76"/>
  <c r="BY46" i="76"/>
  <c r="BU46" i="76"/>
  <c r="BU24" i="76" s="1"/>
  <c r="BU77" i="76" s="1"/>
  <c r="BS46" i="76"/>
  <c r="BH46" i="76"/>
  <c r="BG46" i="76"/>
  <c r="BE46" i="76"/>
  <c r="BF46" i="76" s="1"/>
  <c r="BD46" i="76"/>
  <c r="BB46" i="76"/>
  <c r="AY46" i="76"/>
  <c r="Y46" i="76"/>
  <c r="V46" i="76"/>
  <c r="W46" i="76" s="1"/>
  <c r="U46" i="76"/>
  <c r="S46" i="76"/>
  <c r="P46" i="76"/>
  <c r="CD45" i="76"/>
  <c r="CA45" i="76"/>
  <c r="BZ45" i="76"/>
  <c r="BY45" i="76"/>
  <c r="BT45" i="76"/>
  <c r="AX45" i="76"/>
  <c r="AW45" i="76"/>
  <c r="I45" i="76"/>
  <c r="F45" i="76"/>
  <c r="E45" i="76"/>
  <c r="CD44" i="76"/>
  <c r="BZ44" i="76"/>
  <c r="BY44" i="76"/>
  <c r="BT44" i="76"/>
  <c r="AW44" i="76"/>
  <c r="AX44" i="76" s="1"/>
  <c r="I44" i="76"/>
  <c r="E44" i="76"/>
  <c r="D44" i="76"/>
  <c r="F44" i="76" s="1"/>
  <c r="CD43" i="76"/>
  <c r="BZ43" i="76"/>
  <c r="BY43" i="76"/>
  <c r="CA43" i="76" s="1"/>
  <c r="BT43" i="76"/>
  <c r="BG43" i="76"/>
  <c r="AW43" i="76"/>
  <c r="AX43" i="76" s="1"/>
  <c r="I43" i="76"/>
  <c r="E43" i="76"/>
  <c r="D43" i="76"/>
  <c r="F43" i="76" s="1"/>
  <c r="CD42" i="76"/>
  <c r="BZ42" i="76"/>
  <c r="BY42" i="76"/>
  <c r="CA42" i="76" s="1"/>
  <c r="BT42" i="76"/>
  <c r="AX42" i="76"/>
  <c r="AW42" i="76"/>
  <c r="I42" i="76"/>
  <c r="F42" i="76"/>
  <c r="E42" i="76"/>
  <c r="D42" i="76"/>
  <c r="CF41" i="76"/>
  <c r="CD41" i="76"/>
  <c r="CC41" i="76"/>
  <c r="CB41" i="76"/>
  <c r="BZ41" i="76"/>
  <c r="CA41" i="76" s="1"/>
  <c r="BY41" i="76"/>
  <c r="BV41" i="76"/>
  <c r="BT41" i="76"/>
  <c r="BJ41" i="76"/>
  <c r="BF41" i="76"/>
  <c r="BA41" i="76"/>
  <c r="AZ41" i="76"/>
  <c r="H41" i="76"/>
  <c r="H37" i="76" s="1"/>
  <c r="I37" i="76" s="1"/>
  <c r="D41" i="76"/>
  <c r="CF40" i="76"/>
  <c r="CF37" i="76" s="1"/>
  <c r="CF34" i="76" s="1"/>
  <c r="CD40" i="76"/>
  <c r="CC40" i="76"/>
  <c r="CB40" i="76"/>
  <c r="CA40" i="76"/>
  <c r="BZ40" i="76"/>
  <c r="BY40" i="76"/>
  <c r="BV40" i="76"/>
  <c r="BT40" i="76"/>
  <c r="BJ40" i="76"/>
  <c r="BF40" i="76"/>
  <c r="BC40" i="76"/>
  <c r="BA40" i="76"/>
  <c r="AX40" i="76"/>
  <c r="AW40" i="76"/>
  <c r="R40" i="76"/>
  <c r="Q40" i="76"/>
  <c r="T40" i="76" s="1"/>
  <c r="H40" i="76"/>
  <c r="I40" i="76" s="1"/>
  <c r="E40" i="76"/>
  <c r="F40" i="76" s="1"/>
  <c r="D40" i="76"/>
  <c r="CF39" i="76"/>
  <c r="CD39" i="76"/>
  <c r="CB39" i="76"/>
  <c r="CB37" i="76" s="1"/>
  <c r="BZ39" i="76"/>
  <c r="BY39" i="76"/>
  <c r="CA39" i="76" s="1"/>
  <c r="BV39" i="76"/>
  <c r="BT39" i="76"/>
  <c r="BJ39" i="76"/>
  <c r="BF39" i="76"/>
  <c r="BC39" i="76"/>
  <c r="AZ39" i="76"/>
  <c r="BA39" i="76" s="1"/>
  <c r="AX39" i="76"/>
  <c r="AW39" i="76"/>
  <c r="W39" i="76"/>
  <c r="Q39" i="76"/>
  <c r="R39" i="76" s="1"/>
  <c r="H39" i="76"/>
  <c r="I39" i="76" s="1"/>
  <c r="E39" i="76"/>
  <c r="F39" i="76" s="1"/>
  <c r="D39" i="76"/>
  <c r="CD38" i="76"/>
  <c r="BZ38" i="76"/>
  <c r="CA38" i="76" s="1"/>
  <c r="BY38" i="76"/>
  <c r="BT38" i="76"/>
  <c r="AW38" i="76"/>
  <c r="AX38" i="76" s="1"/>
  <c r="I38" i="76"/>
  <c r="E38" i="76"/>
  <c r="F38" i="76" s="1"/>
  <c r="CE37" i="76"/>
  <c r="CC37" i="76"/>
  <c r="BZ37" i="76" s="1"/>
  <c r="BY37" i="76"/>
  <c r="BV37" i="76"/>
  <c r="BU37" i="76"/>
  <c r="BT37" i="76"/>
  <c r="BS37" i="76"/>
  <c r="BS34" i="76" s="1"/>
  <c r="BI37" i="76"/>
  <c r="BH37" i="76"/>
  <c r="BG37" i="76"/>
  <c r="BE37" i="76"/>
  <c r="BD37" i="76"/>
  <c r="BB37" i="76"/>
  <c r="AZ37" i="76"/>
  <c r="AW37" i="76" s="1"/>
  <c r="AX37" i="76" s="1"/>
  <c r="AY37" i="76"/>
  <c r="Y37" i="76"/>
  <c r="Y34" i="76" s="1"/>
  <c r="Y24" i="76" s="1"/>
  <c r="Y76" i="76" s="1"/>
  <c r="W37" i="76"/>
  <c r="V37" i="76"/>
  <c r="U37" i="76"/>
  <c r="S37" i="76"/>
  <c r="S34" i="76" s="1"/>
  <c r="P37" i="76"/>
  <c r="P34" i="76" s="1"/>
  <c r="P24" i="76" s="1"/>
  <c r="J37" i="76"/>
  <c r="J34" i="76" s="1"/>
  <c r="F37" i="76"/>
  <c r="E37" i="76"/>
  <c r="D37" i="76"/>
  <c r="CD36" i="76"/>
  <c r="CB36" i="76"/>
  <c r="CB35" i="76" s="1"/>
  <c r="CB34" i="76" s="1"/>
  <c r="CA36" i="76"/>
  <c r="BZ36" i="76"/>
  <c r="BY36" i="76"/>
  <c r="BT36" i="76"/>
  <c r="BT35" i="76" s="1"/>
  <c r="BT34" i="76" s="1"/>
  <c r="BC36" i="76"/>
  <c r="AZ36" i="76"/>
  <c r="AW36" i="76"/>
  <c r="I36" i="76"/>
  <c r="D36" i="76"/>
  <c r="CD35" i="76"/>
  <c r="CC35" i="76"/>
  <c r="CA35" i="76"/>
  <c r="BZ35" i="76"/>
  <c r="BY35" i="76"/>
  <c r="BG35" i="76"/>
  <c r="BC35" i="76"/>
  <c r="BB35" i="76"/>
  <c r="BA35" i="76"/>
  <c r="AZ35" i="76"/>
  <c r="AY35" i="76"/>
  <c r="AY34" i="76" s="1"/>
  <c r="AY24" i="76" s="1"/>
  <c r="I35" i="76"/>
  <c r="G35" i="76"/>
  <c r="CE34" i="76"/>
  <c r="CE24" i="76" s="1"/>
  <c r="CE77" i="76" s="1"/>
  <c r="BY34" i="76"/>
  <c r="BV34" i="76"/>
  <c r="BU34" i="76"/>
  <c r="BI34" i="76"/>
  <c r="BE34" i="76"/>
  <c r="BE24" i="76" s="1"/>
  <c r="BB34" i="76"/>
  <c r="V34" i="76"/>
  <c r="W34" i="76" s="1"/>
  <c r="U34" i="76"/>
  <c r="U24" i="76" s="1"/>
  <c r="I34" i="76"/>
  <c r="H34" i="76"/>
  <c r="D34" i="76"/>
  <c r="CD33" i="76"/>
  <c r="BZ33" i="76"/>
  <c r="BY33" i="76"/>
  <c r="CA33" i="76" s="1"/>
  <c r="BT33" i="76"/>
  <c r="AX33" i="76"/>
  <c r="AW33" i="76"/>
  <c r="I33" i="76"/>
  <c r="F33" i="76"/>
  <c r="E33" i="76"/>
  <c r="CD32" i="76"/>
  <c r="BZ32" i="76"/>
  <c r="CA32" i="76" s="1"/>
  <c r="BY32" i="76"/>
  <c r="BT32" i="76"/>
  <c r="AW32" i="76"/>
  <c r="AX32" i="76" s="1"/>
  <c r="I32" i="76"/>
  <c r="E32" i="76"/>
  <c r="F32" i="76" s="1"/>
  <c r="CD31" i="76"/>
  <c r="BZ31" i="76"/>
  <c r="BY31" i="76"/>
  <c r="CA31" i="76" s="1"/>
  <c r="BT31" i="76"/>
  <c r="AX31" i="76"/>
  <c r="AW31" i="76"/>
  <c r="I31" i="76"/>
  <c r="F31" i="76"/>
  <c r="E31" i="76"/>
  <c r="CA30" i="76"/>
  <c r="BZ30" i="76"/>
  <c r="BY30" i="76"/>
  <c r="BT30" i="76"/>
  <c r="BG30" i="76"/>
  <c r="BG24" i="76" s="1"/>
  <c r="AZ30" i="76"/>
  <c r="I30" i="76"/>
  <c r="G30" i="76"/>
  <c r="F30" i="76"/>
  <c r="E30" i="76"/>
  <c r="CF29" i="76"/>
  <c r="CD29" i="76"/>
  <c r="BZ29" i="76"/>
  <c r="BY29" i="76"/>
  <c r="BV29" i="76"/>
  <c r="BT29" i="76"/>
  <c r="BJ29" i="76"/>
  <c r="BF29" i="76"/>
  <c r="BC29" i="76"/>
  <c r="BA29" i="76"/>
  <c r="AX29" i="76"/>
  <c r="AW29" i="76"/>
  <c r="W29" i="76"/>
  <c r="Q29" i="76"/>
  <c r="D29" i="76"/>
  <c r="CF28" i="76"/>
  <c r="CD28" i="76"/>
  <c r="CC28" i="76"/>
  <c r="BZ28" i="76" s="1"/>
  <c r="CB28" i="76" s="1"/>
  <c r="BY28" i="76"/>
  <c r="BV28" i="76"/>
  <c r="BT28" i="76"/>
  <c r="BJ28" i="76"/>
  <c r="BF28" i="76"/>
  <c r="BC28" i="76"/>
  <c r="BA28" i="76"/>
  <c r="AW28" i="76"/>
  <c r="AX28" i="76" s="1"/>
  <c r="W28" i="76"/>
  <c r="R28" i="76"/>
  <c r="M28" i="76"/>
  <c r="M25" i="76" s="1"/>
  <c r="M24" i="76" s="1"/>
  <c r="M16" i="76" s="1"/>
  <c r="M15" i="76" s="1"/>
  <c r="M12" i="76" s="1"/>
  <c r="L28" i="76"/>
  <c r="L25" i="76" s="1"/>
  <c r="L24" i="76" s="1"/>
  <c r="K28" i="76"/>
  <c r="O28" i="76" s="1"/>
  <c r="H28" i="76"/>
  <c r="D28" i="76"/>
  <c r="CF27" i="76"/>
  <c r="CD27" i="76"/>
  <c r="BZ27" i="76"/>
  <c r="BY27" i="76"/>
  <c r="BV27" i="76"/>
  <c r="BT27" i="76"/>
  <c r="BJ27" i="76"/>
  <c r="BI27" i="76"/>
  <c r="BF27" i="76"/>
  <c r="BC27" i="76"/>
  <c r="BA27" i="76"/>
  <c r="Y27" i="76"/>
  <c r="W27" i="76"/>
  <c r="R27" i="76"/>
  <c r="O27" i="76"/>
  <c r="O25" i="76" s="1"/>
  <c r="O24" i="76" s="1"/>
  <c r="O76" i="76" s="1"/>
  <c r="N27" i="76"/>
  <c r="N28" i="76" s="1"/>
  <c r="M27" i="76"/>
  <c r="S27" i="76" s="1"/>
  <c r="T27" i="76" s="1"/>
  <c r="L27" i="76"/>
  <c r="I27" i="76"/>
  <c r="H27" i="76"/>
  <c r="D27" i="76"/>
  <c r="D25" i="76" s="1"/>
  <c r="CA26" i="76"/>
  <c r="BZ26" i="76"/>
  <c r="BY26" i="76"/>
  <c r="AX26" i="76"/>
  <c r="AW26" i="76"/>
  <c r="I26" i="76"/>
  <c r="E26" i="76"/>
  <c r="F26" i="76" s="1"/>
  <c r="CF25" i="76"/>
  <c r="CE25" i="76"/>
  <c r="CC25" i="76"/>
  <c r="BY25" i="76"/>
  <c r="BV25" i="76"/>
  <c r="BV24" i="76" s="1"/>
  <c r="BU25" i="76"/>
  <c r="BT25" i="76"/>
  <c r="BS25" i="76"/>
  <c r="BS24" i="76" s="1"/>
  <c r="BS77" i="76" s="1"/>
  <c r="BH25" i="76"/>
  <c r="BG25" i="76"/>
  <c r="BF25" i="76"/>
  <c r="BE25" i="76"/>
  <c r="BD25" i="76"/>
  <c r="BC25" i="76"/>
  <c r="BB25" i="76"/>
  <c r="BB24" i="76" s="1"/>
  <c r="AZ25" i="76"/>
  <c r="AY25" i="76"/>
  <c r="BA25" i="76" s="1"/>
  <c r="Y25" i="76"/>
  <c r="W25" i="76"/>
  <c r="V25" i="76"/>
  <c r="U25" i="76"/>
  <c r="P25" i="76"/>
  <c r="N25" i="76"/>
  <c r="N24" i="76" s="1"/>
  <c r="N16" i="76" s="1"/>
  <c r="N15" i="76" s="1"/>
  <c r="N12" i="76" s="1"/>
  <c r="K25" i="76"/>
  <c r="K24" i="76" s="1"/>
  <c r="K76" i="76" s="1"/>
  <c r="J25" i="76"/>
  <c r="J24" i="76" s="1"/>
  <c r="G25" i="76"/>
  <c r="BY24" i="76"/>
  <c r="W24" i="76"/>
  <c r="V24" i="76"/>
  <c r="G24" i="76"/>
  <c r="BJ23" i="76"/>
  <c r="BF23" i="76"/>
  <c r="AW23" i="76"/>
  <c r="I23" i="76"/>
  <c r="D23" i="76"/>
  <c r="BJ22" i="76"/>
  <c r="BI22" i="76"/>
  <c r="BF22" i="76"/>
  <c r="AZ22" i="76"/>
  <c r="AW22" i="76" s="1"/>
  <c r="AV22" i="76"/>
  <c r="D22" i="76" s="1"/>
  <c r="D12" i="76" s="1"/>
  <c r="I22" i="76"/>
  <c r="AX21" i="76"/>
  <c r="AW21" i="76"/>
  <c r="I21" i="76"/>
  <c r="E21" i="76"/>
  <c r="F21" i="76" s="1"/>
  <c r="D21" i="76"/>
  <c r="AW20" i="76"/>
  <c r="AX20" i="76" s="1"/>
  <c r="I20" i="76"/>
  <c r="E20" i="76"/>
  <c r="D20" i="76"/>
  <c r="F20" i="76" s="1"/>
  <c r="AX19" i="76"/>
  <c r="AW19" i="76"/>
  <c r="I19" i="76"/>
  <c r="F19" i="76"/>
  <c r="E19" i="76"/>
  <c r="D19" i="76"/>
  <c r="BA18" i="76"/>
  <c r="AZ18" i="76"/>
  <c r="AW18" i="76" s="1"/>
  <c r="I18" i="76"/>
  <c r="D18" i="76"/>
  <c r="AZ17" i="76"/>
  <c r="AW17" i="76" s="1"/>
  <c r="AX17" i="76" s="1"/>
  <c r="I17" i="76"/>
  <c r="F17" i="76"/>
  <c r="E17" i="76"/>
  <c r="D17" i="76"/>
  <c r="CC16" i="76"/>
  <c r="CC17" i="76" s="1"/>
  <c r="BJ16" i="76"/>
  <c r="BF16" i="76"/>
  <c r="BE16" i="76"/>
  <c r="BA16" i="76"/>
  <c r="AX16" i="76"/>
  <c r="AW16" i="76"/>
  <c r="V16" i="76"/>
  <c r="W16" i="76" s="1"/>
  <c r="L16" i="76"/>
  <c r="K16" i="76"/>
  <c r="J16" i="76"/>
  <c r="D16" i="76"/>
  <c r="CC15" i="76"/>
  <c r="BI15" i="76"/>
  <c r="BJ15" i="76" s="1"/>
  <c r="BF15" i="76"/>
  <c r="BE15" i="76"/>
  <c r="BE12" i="76" s="1"/>
  <c r="U15" i="76"/>
  <c r="U12" i="76" s="1"/>
  <c r="P15" i="76"/>
  <c r="L15" i="76"/>
  <c r="K15" i="76"/>
  <c r="J15" i="76"/>
  <c r="D15" i="76"/>
  <c r="BM14" i="76"/>
  <c r="AX14" i="76"/>
  <c r="E14" i="76"/>
  <c r="F14" i="76" s="1"/>
  <c r="AX13" i="76"/>
  <c r="F13" i="76"/>
  <c r="E13" i="76"/>
  <c r="CI12" i="76"/>
  <c r="CE12" i="76"/>
  <c r="CG13" i="76" s="1"/>
  <c r="CB12" i="76"/>
  <c r="BY12" i="76"/>
  <c r="CA12" i="76" s="1"/>
  <c r="BV12" i="76"/>
  <c r="BU12" i="76"/>
  <c r="BT12" i="76"/>
  <c r="BH12" i="76"/>
  <c r="BD12" i="76"/>
  <c r="BN14" i="76" s="1"/>
  <c r="AY12" i="76"/>
  <c r="P12" i="76"/>
  <c r="K12" i="76"/>
  <c r="L12" i="76" s="1"/>
  <c r="J12" i="76"/>
  <c r="G12" i="76"/>
  <c r="AB5" i="76"/>
  <c r="AA5" i="76"/>
  <c r="H5" i="76"/>
  <c r="P4" i="76"/>
  <c r="Y3" i="76"/>
  <c r="R3" i="76"/>
  <c r="E3" i="76"/>
  <c r="V1" i="76"/>
  <c r="Y16" i="76" s="1"/>
  <c r="Y15" i="76" s="1"/>
  <c r="Y12" i="76" s="1"/>
  <c r="AL107" i="76" l="1"/>
  <c r="AY88" i="76"/>
  <c r="AY79" i="76"/>
  <c r="AY80" i="76" s="1"/>
  <c r="AY81" i="76" s="1"/>
  <c r="CF12" i="76"/>
  <c r="BF12" i="76"/>
  <c r="J79" i="76"/>
  <c r="J76" i="76"/>
  <c r="BG79" i="76"/>
  <c r="BG80" i="76" s="1"/>
  <c r="BG81" i="76" s="1"/>
  <c r="BG77" i="76"/>
  <c r="AX22" i="76"/>
  <c r="E22" i="76"/>
  <c r="F22" i="76" s="1"/>
  <c r="Q25" i="76"/>
  <c r="T29" i="76"/>
  <c r="H29" i="76"/>
  <c r="BJ37" i="76"/>
  <c r="BH34" i="76"/>
  <c r="BJ34" i="76" s="1"/>
  <c r="AX49" i="76"/>
  <c r="E49" i="76"/>
  <c r="F49" i="76" s="1"/>
  <c r="BC59" i="76"/>
  <c r="AW59" i="76"/>
  <c r="CD59" i="76"/>
  <c r="BA59" i="76"/>
  <c r="V4" i="76"/>
  <c r="G77" i="76"/>
  <c r="V15" i="76"/>
  <c r="AZ15" i="76"/>
  <c r="BA22" i="76"/>
  <c r="H25" i="76"/>
  <c r="BT77" i="76"/>
  <c r="CD25" i="76"/>
  <c r="E28" i="76"/>
  <c r="F28" i="76" s="1"/>
  <c r="I28" i="76"/>
  <c r="R29" i="76"/>
  <c r="E34" i="76"/>
  <c r="F34" i="76" s="1"/>
  <c r="U76" i="76"/>
  <c r="U79" i="76"/>
  <c r="AZ34" i="76"/>
  <c r="AW34" i="76" s="1"/>
  <c r="AX34" i="76" s="1"/>
  <c r="AW35" i="76"/>
  <c r="BG34" i="76"/>
  <c r="CC34" i="76"/>
  <c r="BZ34" i="76" s="1"/>
  <c r="CA34" i="76" s="1"/>
  <c r="AX36" i="76"/>
  <c r="E36" i="76"/>
  <c r="F36" i="76" s="1"/>
  <c r="BF37" i="76"/>
  <c r="BD34" i="76"/>
  <c r="BA37" i="76"/>
  <c r="BA34" i="76" s="1"/>
  <c r="AX51" i="76"/>
  <c r="E51" i="76"/>
  <c r="F51" i="76" s="1"/>
  <c r="BC58" i="76"/>
  <c r="AW58" i="76"/>
  <c r="AX58" i="76" s="1"/>
  <c r="BA58" i="76"/>
  <c r="CD58" i="76"/>
  <c r="I66" i="76"/>
  <c r="E66" i="76"/>
  <c r="F66" i="76" s="1"/>
  <c r="G79" i="76"/>
  <c r="G80" i="76" s="1"/>
  <c r="G76" i="76"/>
  <c r="CA25" i="76"/>
  <c r="CA28" i="76"/>
  <c r="T39" i="76"/>
  <c r="BH24" i="76"/>
  <c r="BC53" i="76"/>
  <c r="AW53" i="76"/>
  <c r="AX53" i="76" s="1"/>
  <c r="CD53" i="76"/>
  <c r="BA53" i="76"/>
  <c r="BA46" i="76" s="1"/>
  <c r="AZ46" i="76"/>
  <c r="AW46" i="76" s="1"/>
  <c r="AX46" i="76" s="1"/>
  <c r="H61" i="76"/>
  <c r="T61" i="76"/>
  <c r="Y4" i="76"/>
  <c r="BZ25" i="76"/>
  <c r="S28" i="76"/>
  <c r="CD34" i="76"/>
  <c r="P79" i="76"/>
  <c r="P76" i="76"/>
  <c r="CA37" i="76"/>
  <c r="BT24" i="76"/>
  <c r="E56" i="76"/>
  <c r="F56" i="76" s="1"/>
  <c r="I56" i="76"/>
  <c r="AO104" i="76"/>
  <c r="P77" i="76"/>
  <c r="R6" i="76"/>
  <c r="U6" i="76" s="1"/>
  <c r="BI12" i="76"/>
  <c r="AX18" i="76"/>
  <c r="E18" i="76"/>
  <c r="F18" i="76" s="1"/>
  <c r="AX23" i="76"/>
  <c r="E23" i="76"/>
  <c r="F23" i="76" s="1"/>
  <c r="BY76" i="76"/>
  <c r="AW27" i="76"/>
  <c r="AX27" i="76" s="1"/>
  <c r="BI25" i="76"/>
  <c r="CB27" i="76"/>
  <c r="CA27" i="76"/>
  <c r="CB29" i="76"/>
  <c r="CA29" i="76"/>
  <c r="CD30" i="76"/>
  <c r="AW30" i="76"/>
  <c r="AX30" i="76" s="1"/>
  <c r="AZ24" i="76"/>
  <c r="BE88" i="76"/>
  <c r="BE79" i="76"/>
  <c r="BC54" i="76"/>
  <c r="AW54" i="76"/>
  <c r="AX54" i="76" s="1"/>
  <c r="BA54" i="76"/>
  <c r="CD54" i="76"/>
  <c r="I55" i="76"/>
  <c r="BZ60" i="76"/>
  <c r="CC46" i="76"/>
  <c r="BZ46" i="76" s="1"/>
  <c r="CA46" i="76" s="1"/>
  <c r="CD60" i="76"/>
  <c r="CD46" i="76" s="1"/>
  <c r="BJ67" i="76"/>
  <c r="AW67" i="76"/>
  <c r="BI46" i="76"/>
  <c r="BJ46" i="76" s="1"/>
  <c r="BE76" i="76"/>
  <c r="W110" i="76"/>
  <c r="U113" i="76"/>
  <c r="CD37" i="76"/>
  <c r="BC41" i="76"/>
  <c r="BC37" i="76" s="1"/>
  <c r="BC34" i="76" s="1"/>
  <c r="AW41" i="76"/>
  <c r="AX41" i="76" s="1"/>
  <c r="D46" i="76"/>
  <c r="D24" i="76" s="1"/>
  <c r="T51" i="76"/>
  <c r="R51" i="76"/>
  <c r="CF46" i="76"/>
  <c r="CF24" i="76" s="1"/>
  <c r="H53" i="76"/>
  <c r="T53" i="76"/>
  <c r="BC55" i="76"/>
  <c r="AW55" i="76"/>
  <c r="AX55" i="76" s="1"/>
  <c r="H58" i="76"/>
  <c r="T58" i="76"/>
  <c r="BC61" i="76"/>
  <c r="AW61" i="76"/>
  <c r="AX61" i="76" s="1"/>
  <c r="CD61" i="76"/>
  <c r="I62" i="76"/>
  <c r="E62" i="76"/>
  <c r="F62" i="76" s="1"/>
  <c r="E63" i="76"/>
  <c r="F63" i="76" s="1"/>
  <c r="AL106" i="76"/>
  <c r="V102" i="76"/>
  <c r="Q115" i="76"/>
  <c r="Q116" i="76" s="1"/>
  <c r="AH106" i="76"/>
  <c r="R101" i="76"/>
  <c r="BV77" i="76"/>
  <c r="Q41" i="76"/>
  <c r="Q37" i="76" s="1"/>
  <c r="I41" i="76"/>
  <c r="CA44" i="76"/>
  <c r="BC46" i="76"/>
  <c r="H54" i="76"/>
  <c r="T54" i="76"/>
  <c r="I60" i="76"/>
  <c r="E60" i="76"/>
  <c r="F60" i="76" s="1"/>
  <c r="Q60" i="76"/>
  <c r="AA80" i="76"/>
  <c r="AA81" i="76" s="1"/>
  <c r="AE80" i="76"/>
  <c r="AE81" i="76" s="1"/>
  <c r="AD80" i="76"/>
  <c r="AD81" i="76" s="1"/>
  <c r="CD67" i="76"/>
  <c r="BZ67" i="76"/>
  <c r="AG77" i="76"/>
  <c r="AB80" i="76"/>
  <c r="AB81" i="76" s="1"/>
  <c r="AF80" i="76"/>
  <c r="AF81" i="76" s="1"/>
  <c r="AJ80" i="76"/>
  <c r="AJ81" i="76" s="1"/>
  <c r="AT80" i="76"/>
  <c r="AT81" i="76" s="1"/>
  <c r="AL108" i="76"/>
  <c r="AL110" i="76" s="1"/>
  <c r="AH108" i="76"/>
  <c r="U103" i="76"/>
  <c r="BC63" i="76"/>
  <c r="AW63" i="76"/>
  <c r="AX63" i="76" s="1"/>
  <c r="CA72" i="76"/>
  <c r="CA74" i="76"/>
  <c r="U102" i="76"/>
  <c r="AL104" i="76"/>
  <c r="U115" i="76" l="1"/>
  <c r="AH110" i="76"/>
  <c r="AO110" i="76" s="1"/>
  <c r="R37" i="76"/>
  <c r="Q34" i="76"/>
  <c r="R34" i="76" s="1"/>
  <c r="CD77" i="76"/>
  <c r="D89" i="76"/>
  <c r="D79" i="76"/>
  <c r="BC24" i="76"/>
  <c r="BC76" i="76" s="1"/>
  <c r="T28" i="76"/>
  <c r="T25" i="76" s="1"/>
  <c r="S25" i="76"/>
  <c r="S24" i="76" s="1"/>
  <c r="AX59" i="76"/>
  <c r="E59" i="76"/>
  <c r="F59" i="76" s="1"/>
  <c r="CB25" i="76"/>
  <c r="CF77" i="76"/>
  <c r="Q16" i="76"/>
  <c r="Z4" i="76"/>
  <c r="X1" i="76"/>
  <c r="R25" i="76"/>
  <c r="J80" i="76"/>
  <c r="J81" i="76" s="1"/>
  <c r="AG80" i="76"/>
  <c r="AG81" i="76" s="1"/>
  <c r="AG100" i="76"/>
  <c r="AX35" i="76"/>
  <c r="E35" i="76"/>
  <c r="F35" i="76" s="1"/>
  <c r="CD24" i="76"/>
  <c r="E27" i="76"/>
  <c r="F27" i="76" s="1"/>
  <c r="BE77" i="76"/>
  <c r="BE80" i="76" s="1"/>
  <c r="BE81" i="76" s="1"/>
  <c r="CA67" i="76"/>
  <c r="CB67" i="76"/>
  <c r="R60" i="76"/>
  <c r="Q46" i="76"/>
  <c r="R46" i="76" s="1"/>
  <c r="T60" i="76"/>
  <c r="T46" i="76" s="1"/>
  <c r="I54" i="76"/>
  <c r="E54" i="76"/>
  <c r="F54" i="76" s="1"/>
  <c r="E41" i="76"/>
  <c r="F41" i="76" s="1"/>
  <c r="I58" i="76"/>
  <c r="E58" i="76"/>
  <c r="F58" i="76" s="1"/>
  <c r="I53" i="76"/>
  <c r="H46" i="76"/>
  <c r="E53" i="76"/>
  <c r="F53" i="76" s="1"/>
  <c r="AX67" i="76"/>
  <c r="E67" i="76"/>
  <c r="F67" i="76" s="1"/>
  <c r="CB60" i="76"/>
  <c r="CB46" i="76" s="1"/>
  <c r="CA60" i="76"/>
  <c r="AW25" i="76"/>
  <c r="AX25" i="76" s="1"/>
  <c r="BI24" i="76"/>
  <c r="BJ25" i="76"/>
  <c r="J77" i="76"/>
  <c r="P80" i="76"/>
  <c r="P81" i="76" s="1"/>
  <c r="CC24" i="76"/>
  <c r="E61" i="76"/>
  <c r="F61" i="76" s="1"/>
  <c r="I61" i="76"/>
  <c r="T37" i="76"/>
  <c r="T34" i="76" s="1"/>
  <c r="BD24" i="76"/>
  <c r="BF34" i="76"/>
  <c r="BA15" i="76"/>
  <c r="AZ12" i="76"/>
  <c r="AW15" i="76"/>
  <c r="AX15" i="76" s="1"/>
  <c r="T41" i="76"/>
  <c r="R41" i="76"/>
  <c r="E55" i="76"/>
  <c r="F55" i="76" s="1"/>
  <c r="AZ79" i="76"/>
  <c r="BA24" i="76"/>
  <c r="AW24" i="76"/>
  <c r="BM24" i="76"/>
  <c r="BJ3" i="76"/>
  <c r="BJ12" i="76"/>
  <c r="G81" i="76"/>
  <c r="D76" i="76"/>
  <c r="H101" i="76"/>
  <c r="H102" i="76" s="1"/>
  <c r="V103" i="76"/>
  <c r="I25" i="76"/>
  <c r="E25" i="76"/>
  <c r="F25" i="76" s="1"/>
  <c r="W15" i="76"/>
  <c r="V12" i="76"/>
  <c r="I29" i="76"/>
  <c r="E29" i="76"/>
  <c r="F29" i="76" s="1"/>
  <c r="U77" i="76"/>
  <c r="U80" i="76" s="1"/>
  <c r="U81" i="76" s="1"/>
  <c r="W12" i="76" l="1"/>
  <c r="V5" i="76"/>
  <c r="V3" i="76"/>
  <c r="V79" i="76"/>
  <c r="V76" i="76"/>
  <c r="D77" i="76"/>
  <c r="D80" i="76" s="1"/>
  <c r="D81" i="76" s="1"/>
  <c r="AW76" i="76"/>
  <c r="AX24" i="76"/>
  <c r="BA12" i="76"/>
  <c r="CD12" i="76"/>
  <c r="CC13" i="76"/>
  <c r="CC18" i="76" s="1"/>
  <c r="AW12" i="76"/>
  <c r="AW88" i="76" s="1"/>
  <c r="BD88" i="76"/>
  <c r="BD76" i="76"/>
  <c r="BD79" i="76"/>
  <c r="BD80" i="76" s="1"/>
  <c r="BF24" i="76"/>
  <c r="BZ24" i="76"/>
  <c r="CC77" i="76"/>
  <c r="CC102" i="76" s="1"/>
  <c r="BI76" i="76"/>
  <c r="BI77" i="76" s="1"/>
  <c r="BJ24" i="76"/>
  <c r="BJ76" i="76" s="1"/>
  <c r="P3" i="76"/>
  <c r="R16" i="76"/>
  <c r="Q15" i="76"/>
  <c r="Q4" i="76"/>
  <c r="L1" i="76"/>
  <c r="L3" i="76" s="1"/>
  <c r="H16" i="76"/>
  <c r="CB24" i="76"/>
  <c r="Q24" i="76"/>
  <c r="E46" i="76"/>
  <c r="I46" i="76"/>
  <c r="BA79" i="76"/>
  <c r="BA76" i="76"/>
  <c r="H24" i="76"/>
  <c r="AZ88" i="76"/>
  <c r="AZ76" i="76"/>
  <c r="T24" i="76"/>
  <c r="T76" i="76" s="1"/>
  <c r="H94" i="76" l="1"/>
  <c r="H96" i="76" s="1"/>
  <c r="I24" i="76"/>
  <c r="E24" i="76"/>
  <c r="E98" i="76"/>
  <c r="F46" i="76"/>
  <c r="E16" i="76"/>
  <c r="F16" i="76" s="1"/>
  <c r="I1" i="76"/>
  <c r="H3" i="76"/>
  <c r="I16" i="76"/>
  <c r="K4" i="76" s="1"/>
  <c r="H15" i="76"/>
  <c r="CF76" i="76"/>
  <c r="BD81" i="76"/>
  <c r="BE101" i="76"/>
  <c r="AX79" i="76"/>
  <c r="AX80" i="76" s="1"/>
  <c r="AX81" i="76" s="1"/>
  <c r="Q76" i="76"/>
  <c r="R24" i="76"/>
  <c r="BZ76" i="76"/>
  <c r="CA24" i="76"/>
  <c r="BA77" i="76"/>
  <c r="W79" i="76"/>
  <c r="W80" i="76" s="1"/>
  <c r="W76" i="76"/>
  <c r="W81" i="76" s="1"/>
  <c r="R15" i="76"/>
  <c r="Q12" i="76"/>
  <c r="Q79" i="76" s="1"/>
  <c r="AZ83" i="76"/>
  <c r="BA80" i="76"/>
  <c r="BA81" i="76" s="1"/>
  <c r="CB76" i="76"/>
  <c r="CB101" i="76" s="1"/>
  <c r="CB23" i="76"/>
  <c r="BF79" i="76"/>
  <c r="BF80" i="76" s="1"/>
  <c r="BF76" i="76"/>
  <c r="BF81" i="76" s="1"/>
  <c r="AW77" i="76"/>
  <c r="AX12" i="76"/>
  <c r="AX77" i="76" s="1"/>
  <c r="AZ77" i="76"/>
  <c r="AZ80" i="76" s="1"/>
  <c r="AZ81" i="76" s="1"/>
  <c r="AW79" i="76"/>
  <c r="AW80" i="76" s="1"/>
  <c r="AW81" i="76" s="1"/>
  <c r="V80" i="76"/>
  <c r="V81" i="76" s="1"/>
  <c r="V77" i="76"/>
  <c r="Q5" i="76" l="1"/>
  <c r="I15" i="76"/>
  <c r="E15" i="76"/>
  <c r="F15" i="76" s="1"/>
  <c r="H12" i="76"/>
  <c r="Q77" i="76"/>
  <c r="Q80" i="76" s="1"/>
  <c r="Q81" i="76" s="1"/>
  <c r="R12" i="76"/>
  <c r="V6" i="76"/>
  <c r="Q1" i="76"/>
  <c r="R1" i="76" s="1"/>
  <c r="R79" i="76"/>
  <c r="R76" i="76"/>
  <c r="F24" i="76"/>
  <c r="I12" i="76" l="1"/>
  <c r="E12" i="76"/>
  <c r="J3" i="76"/>
  <c r="I5" i="76"/>
  <c r="H125" i="76"/>
  <c r="H79" i="76"/>
  <c r="H76" i="76"/>
  <c r="H77" i="76" s="1"/>
  <c r="R77" i="76"/>
  <c r="R80" i="76" s="1"/>
  <c r="R81" i="76" s="1"/>
  <c r="G3" i="76"/>
  <c r="F12" i="76" l="1"/>
  <c r="E4" i="76"/>
  <c r="E82" i="76"/>
  <c r="E79" i="76"/>
  <c r="I77" i="76"/>
  <c r="I79" i="76"/>
  <c r="H80" i="76"/>
  <c r="H81" i="76" s="1"/>
  <c r="Q118" i="76"/>
  <c r="E76" i="76"/>
  <c r="I80" i="76" l="1"/>
  <c r="I81" i="76" s="1"/>
  <c r="E105" i="76"/>
  <c r="E77" i="76"/>
  <c r="F84" i="76"/>
  <c r="F4" i="76"/>
  <c r="F79" i="76"/>
  <c r="E103" i="76"/>
  <c r="F77" i="76" l="1"/>
  <c r="F85" i="76" s="1"/>
  <c r="E5" i="76"/>
  <c r="E80" i="76"/>
  <c r="E81" i="76" s="1"/>
  <c r="F80" i="76" l="1"/>
  <c r="F81" i="76" s="1"/>
  <c r="AU47" i="74" l="1"/>
  <c r="AU45" i="74"/>
  <c r="AJ33" i="74"/>
  <c r="AJ34" i="74"/>
  <c r="AM62" i="74" l="1"/>
  <c r="W27" i="74"/>
  <c r="AD27" i="74"/>
  <c r="AD73" i="74"/>
  <c r="AF82" i="74"/>
  <c r="AC82" i="74"/>
  <c r="AD82" i="74" s="1"/>
  <c r="AE82" i="74" s="1"/>
  <c r="AA73" i="74"/>
  <c r="AR22" i="74" l="1"/>
  <c r="AQ28" i="74"/>
  <c r="AR47" i="74" l="1"/>
  <c r="AR46" i="74"/>
  <c r="AR45" i="74"/>
  <c r="AS45" i="74" s="1"/>
  <c r="AR62" i="74"/>
  <c r="AR56" i="74"/>
  <c r="J135" i="74"/>
  <c r="J134" i="74" s="1"/>
  <c r="K134" i="74" s="1"/>
  <c r="L133" i="74"/>
  <c r="M133" i="74" s="1"/>
  <c r="N123" i="74"/>
  <c r="N120" i="74"/>
  <c r="P120" i="74" s="1"/>
  <c r="N119" i="74"/>
  <c r="N118" i="74"/>
  <c r="P118" i="74" s="1"/>
  <c r="N117" i="74"/>
  <c r="P117" i="74" s="1"/>
  <c r="N116" i="74"/>
  <c r="P116" i="74" s="1"/>
  <c r="N115" i="74"/>
  <c r="P115" i="74" s="1"/>
  <c r="N114" i="74"/>
  <c r="P114" i="74" s="1"/>
  <c r="N113" i="74"/>
  <c r="P113" i="74" s="1"/>
  <c r="N112" i="74"/>
  <c r="P112" i="74" s="1"/>
  <c r="N111" i="74"/>
  <c r="P111" i="74" s="1"/>
  <c r="Y110" i="74"/>
  <c r="N110" i="74"/>
  <c r="P110" i="74" s="1"/>
  <c r="AP109" i="74"/>
  <c r="AP110" i="74" s="1"/>
  <c r="AC109" i="74"/>
  <c r="N109" i="74"/>
  <c r="AP108" i="74"/>
  <c r="AG108" i="74"/>
  <c r="AC108" i="74"/>
  <c r="N108" i="74"/>
  <c r="AC113" i="74" s="1"/>
  <c r="AG107" i="74"/>
  <c r="AC107" i="74"/>
  <c r="N107" i="74"/>
  <c r="H101" i="74"/>
  <c r="I101" i="74" s="1"/>
  <c r="AT98" i="74"/>
  <c r="AP98" i="74"/>
  <c r="M97" i="74"/>
  <c r="M100" i="74" s="1"/>
  <c r="AQ94" i="74"/>
  <c r="AQ85" i="74"/>
  <c r="AQ86" i="74" s="1"/>
  <c r="AQ87" i="74" s="1"/>
  <c r="AF85" i="74"/>
  <c r="BR83" i="74"/>
  <c r="U82" i="74"/>
  <c r="S82" i="74"/>
  <c r="BY81" i="74"/>
  <c r="BW81" i="74"/>
  <c r="BS81" i="74"/>
  <c r="BT81" i="74" s="1"/>
  <c r="BR81" i="74"/>
  <c r="BO81" i="74"/>
  <c r="BM81" i="74"/>
  <c r="AS81" i="74"/>
  <c r="AR81" i="74"/>
  <c r="AB81" i="74"/>
  <c r="I81" i="74"/>
  <c r="E81" i="74"/>
  <c r="F81" i="74" s="1"/>
  <c r="BY80" i="74"/>
  <c r="BW80" i="74"/>
  <c r="BS80" i="74"/>
  <c r="BR80" i="74"/>
  <c r="BT80" i="74" s="1"/>
  <c r="BO80" i="74"/>
  <c r="BM80" i="74"/>
  <c r="AR80" i="74"/>
  <c r="AS80" i="74" s="1"/>
  <c r="AD80" i="74"/>
  <c r="AB80" i="74"/>
  <c r="AE80" i="74" s="1"/>
  <c r="I80" i="74"/>
  <c r="E80" i="74"/>
  <c r="F80" i="74" s="1"/>
  <c r="BY79" i="74"/>
  <c r="BW79" i="74"/>
  <c r="BS79" i="74"/>
  <c r="BR79" i="74"/>
  <c r="BT79" i="74" s="1"/>
  <c r="BO79" i="74"/>
  <c r="BM79" i="74"/>
  <c r="AR79" i="74"/>
  <c r="AS79" i="74" s="1"/>
  <c r="AE79" i="74"/>
  <c r="AB79" i="74"/>
  <c r="AD79" i="74" s="1"/>
  <c r="I79" i="74"/>
  <c r="F79" i="74"/>
  <c r="E79" i="74"/>
  <c r="BY78" i="74"/>
  <c r="BW78" i="74"/>
  <c r="BT78" i="74"/>
  <c r="BS78" i="74"/>
  <c r="BR78" i="74"/>
  <c r="BO78" i="74"/>
  <c r="BM78" i="74"/>
  <c r="AZ78" i="74"/>
  <c r="AR78" i="74"/>
  <c r="AS78" i="74" s="1"/>
  <c r="AO78" i="74"/>
  <c r="D78" i="74" s="1"/>
  <c r="F78" i="74" s="1"/>
  <c r="AA78" i="74"/>
  <c r="AB78" i="74" s="1"/>
  <c r="W78" i="74"/>
  <c r="V78" i="74"/>
  <c r="I78" i="74"/>
  <c r="E78" i="74"/>
  <c r="BY77" i="74"/>
  <c r="BW77" i="74"/>
  <c r="BS77" i="74"/>
  <c r="BR77" i="74"/>
  <c r="BO77" i="74"/>
  <c r="BM77" i="74"/>
  <c r="AS77" i="74"/>
  <c r="AR77" i="74"/>
  <c r="AB77" i="74"/>
  <c r="AD77" i="74" s="1"/>
  <c r="I77" i="74"/>
  <c r="F77" i="74"/>
  <c r="E77" i="74"/>
  <c r="BY76" i="74"/>
  <c r="BW76" i="74"/>
  <c r="BS76" i="74"/>
  <c r="BR76" i="74"/>
  <c r="BT76" i="74" s="1"/>
  <c r="BO76" i="74"/>
  <c r="BM76" i="74"/>
  <c r="AR76" i="74"/>
  <c r="AS76" i="74" s="1"/>
  <c r="AE76" i="74"/>
  <c r="AD76" i="74"/>
  <c r="AB76" i="74"/>
  <c r="I76" i="74"/>
  <c r="E76" i="74"/>
  <c r="F76" i="74" s="1"/>
  <c r="BY75" i="74"/>
  <c r="BW75" i="74"/>
  <c r="BS75" i="74"/>
  <c r="BT75" i="74" s="1"/>
  <c r="BR75" i="74"/>
  <c r="BO75" i="74"/>
  <c r="BM75" i="74"/>
  <c r="AS75" i="74"/>
  <c r="AR75" i="74"/>
  <c r="AB75" i="74"/>
  <c r="AE75" i="74" s="1"/>
  <c r="I75" i="74"/>
  <c r="E75" i="74"/>
  <c r="F75" i="74" s="1"/>
  <c r="BY74" i="74"/>
  <c r="BW74" i="74"/>
  <c r="BS74" i="74"/>
  <c r="BR74" i="74"/>
  <c r="BT74" i="74" s="1"/>
  <c r="BO74" i="74"/>
  <c r="BM74" i="74"/>
  <c r="AZ74" i="74"/>
  <c r="AV74" i="74"/>
  <c r="AR74" i="74"/>
  <c r="AS74" i="74" s="1"/>
  <c r="AP74" i="74"/>
  <c r="AO74" i="74"/>
  <c r="AD74" i="74"/>
  <c r="AB74" i="74"/>
  <c r="AE74" i="74" s="1"/>
  <c r="I74" i="74"/>
  <c r="E74" i="74"/>
  <c r="D74" i="74"/>
  <c r="BY73" i="74"/>
  <c r="BV73" i="74"/>
  <c r="BR73" i="74"/>
  <c r="BO73" i="74"/>
  <c r="BM73" i="74"/>
  <c r="BB73" i="74"/>
  <c r="AY73" i="74"/>
  <c r="AX73" i="74"/>
  <c r="AV73" i="74"/>
  <c r="AH73" i="74"/>
  <c r="AB73" i="74"/>
  <c r="Y73" i="74"/>
  <c r="X73" i="74" s="1"/>
  <c r="T73" i="74"/>
  <c r="R73" i="74"/>
  <c r="Q73" i="74"/>
  <c r="P73" i="74"/>
  <c r="N73" i="74"/>
  <c r="O73" i="74" s="1"/>
  <c r="I73" i="74"/>
  <c r="H73" i="74"/>
  <c r="D73" i="74"/>
  <c r="BY72" i="74"/>
  <c r="BW72" i="74"/>
  <c r="BT72" i="74"/>
  <c r="BS72" i="74"/>
  <c r="BR72" i="74"/>
  <c r="BO72" i="74"/>
  <c r="BM72" i="74"/>
  <c r="AV72" i="74"/>
  <c r="AU72" i="74"/>
  <c r="AR72" i="74"/>
  <c r="AS72" i="74" s="1"/>
  <c r="AE72" i="74"/>
  <c r="AD72" i="74" s="1"/>
  <c r="AB72" i="74"/>
  <c r="W72" i="74"/>
  <c r="N72" i="74"/>
  <c r="H72" i="74" s="1"/>
  <c r="I72" i="74" s="1"/>
  <c r="E72" i="74"/>
  <c r="F72" i="74" s="1"/>
  <c r="D72" i="74"/>
  <c r="BY71" i="74"/>
  <c r="BT71" i="74"/>
  <c r="BS71" i="74"/>
  <c r="BR71" i="74"/>
  <c r="BO71" i="74"/>
  <c r="BM71" i="74"/>
  <c r="AU71" i="74"/>
  <c r="AD71" i="74"/>
  <c r="W71" i="74" s="1"/>
  <c r="AB71" i="74"/>
  <c r="AE71" i="74" s="1"/>
  <c r="N71" i="74"/>
  <c r="H71" i="74"/>
  <c r="D71" i="74"/>
  <c r="BY70" i="74"/>
  <c r="BW70" i="74"/>
  <c r="BV70" i="74"/>
  <c r="BS70" i="74"/>
  <c r="BT70" i="74" s="1"/>
  <c r="BR70" i="74"/>
  <c r="BU70" i="74" s="1"/>
  <c r="BO70" i="74"/>
  <c r="BM70" i="74"/>
  <c r="BC70" i="74"/>
  <c r="AY70" i="74"/>
  <c r="AV70" i="74"/>
  <c r="AR70" i="74"/>
  <c r="AS70" i="74" s="1"/>
  <c r="AD70" i="74"/>
  <c r="AB70" i="74"/>
  <c r="Y70" i="74"/>
  <c r="W70" i="74" s="1"/>
  <c r="X70" i="74"/>
  <c r="R70" i="74"/>
  <c r="O70" i="74"/>
  <c r="N70" i="74"/>
  <c r="I70" i="74"/>
  <c r="H70" i="74"/>
  <c r="F70" i="74"/>
  <c r="E70" i="74"/>
  <c r="D70" i="74"/>
  <c r="BY69" i="74"/>
  <c r="BW69" i="74"/>
  <c r="BT69" i="74"/>
  <c r="BS69" i="74"/>
  <c r="BR69" i="74"/>
  <c r="BO69" i="74"/>
  <c r="BM69" i="74"/>
  <c r="AV69" i="74"/>
  <c r="AU69" i="74"/>
  <c r="AS69" i="74"/>
  <c r="AR69" i="74"/>
  <c r="AB69" i="74"/>
  <c r="AE69" i="74" s="1"/>
  <c r="AD69" i="74" s="1"/>
  <c r="Y69" i="74"/>
  <c r="W69" i="74" s="1"/>
  <c r="X69" i="74" s="1"/>
  <c r="N69" i="74"/>
  <c r="H69" i="74" s="1"/>
  <c r="D69" i="74"/>
  <c r="BY68" i="74"/>
  <c r="BU68" i="74"/>
  <c r="BT68" i="74"/>
  <c r="BS68" i="74"/>
  <c r="BR68" i="74"/>
  <c r="BO68" i="74"/>
  <c r="BM68" i="74"/>
  <c r="BC68" i="74"/>
  <c r="AZ68" i="74"/>
  <c r="AY68" i="74"/>
  <c r="AU68" i="74"/>
  <c r="AP68" i="74"/>
  <c r="AO68" i="74"/>
  <c r="AH68" i="74"/>
  <c r="AB68" i="74"/>
  <c r="AE68" i="74" s="1"/>
  <c r="AD68" i="74" s="1"/>
  <c r="W68" i="74" s="1"/>
  <c r="X68" i="74" s="1"/>
  <c r="R68" i="74"/>
  <c r="N68" i="74"/>
  <c r="J68" i="74"/>
  <c r="BY67" i="74"/>
  <c r="BS67" i="74"/>
  <c r="BR67" i="74"/>
  <c r="BO67" i="74"/>
  <c r="BM67" i="74"/>
  <c r="AV67" i="74"/>
  <c r="AU67" i="74"/>
  <c r="AR67" i="74" s="1"/>
  <c r="AS67" i="74" s="1"/>
  <c r="AB67" i="74"/>
  <c r="AE67" i="74" s="1"/>
  <c r="AD67" i="74" s="1"/>
  <c r="W67" i="74" s="1"/>
  <c r="N67" i="74"/>
  <c r="H67" i="74"/>
  <c r="D67" i="74"/>
  <c r="CA66" i="74"/>
  <c r="BY66" i="74"/>
  <c r="BW66" i="74"/>
  <c r="BV66" i="74"/>
  <c r="BS66" i="74"/>
  <c r="BU66" i="74" s="1"/>
  <c r="BR66" i="74"/>
  <c r="BO66" i="74"/>
  <c r="BM66" i="74"/>
  <c r="BC66" i="74"/>
  <c r="AY66" i="74"/>
  <c r="AV66" i="74"/>
  <c r="AR66" i="74"/>
  <c r="AS66" i="74" s="1"/>
  <c r="AH66" i="74"/>
  <c r="AB66" i="74"/>
  <c r="Y66" i="74"/>
  <c r="W66" i="74"/>
  <c r="X66" i="74" s="1"/>
  <c r="R66" i="74"/>
  <c r="H66" i="74"/>
  <c r="D66" i="74"/>
  <c r="BY65" i="74"/>
  <c r="BT65" i="74"/>
  <c r="BS65" i="74"/>
  <c r="BR65" i="74"/>
  <c r="BO65" i="74"/>
  <c r="BM65" i="74"/>
  <c r="AV65" i="74"/>
  <c r="AU65" i="74"/>
  <c r="BW65" i="74" s="1"/>
  <c r="AE65" i="74"/>
  <c r="AD65" i="74" s="1"/>
  <c r="W65" i="74" s="1"/>
  <c r="AB65" i="74"/>
  <c r="N65" i="74"/>
  <c r="H65" i="74" s="1"/>
  <c r="I65" i="74" s="1"/>
  <c r="D65" i="74"/>
  <c r="BY64" i="74"/>
  <c r="BT64" i="74"/>
  <c r="BS64" i="74"/>
  <c r="BR64" i="74"/>
  <c r="BO64" i="74"/>
  <c r="BM64" i="74"/>
  <c r="AU64" i="74"/>
  <c r="AV64" i="74" s="1"/>
  <c r="AD64" i="74"/>
  <c r="W64" i="74" s="1"/>
  <c r="X64" i="74" s="1"/>
  <c r="AB64" i="74"/>
  <c r="AE64" i="74" s="1"/>
  <c r="N64" i="74"/>
  <c r="I64" i="74"/>
  <c r="H64" i="74"/>
  <c r="D64" i="74"/>
  <c r="BY63" i="74"/>
  <c r="BT63" i="74"/>
  <c r="BS63" i="74"/>
  <c r="BR63" i="74"/>
  <c r="BO63" i="74"/>
  <c r="BM63" i="74"/>
  <c r="AU63" i="74"/>
  <c r="BW63" i="74" s="1"/>
  <c r="AR63" i="74"/>
  <c r="AS63" i="74" s="1"/>
  <c r="AB63" i="74"/>
  <c r="X63" i="74"/>
  <c r="W63" i="74"/>
  <c r="N63" i="74"/>
  <c r="H63" i="74" s="1"/>
  <c r="D63" i="74"/>
  <c r="BY62" i="74"/>
  <c r="BV62" i="74"/>
  <c r="BR62" i="74"/>
  <c r="BM62" i="74"/>
  <c r="BC62" i="74"/>
  <c r="AY62" i="74"/>
  <c r="AV62" i="74"/>
  <c r="AS62" i="74"/>
  <c r="AH62" i="74"/>
  <c r="AD62" i="74"/>
  <c r="AA62" i="74"/>
  <c r="AB62" i="74" s="1"/>
  <c r="R62" i="74"/>
  <c r="N62" i="74"/>
  <c r="O62" i="74" s="1"/>
  <c r="I62" i="74"/>
  <c r="H62" i="74"/>
  <c r="D62" i="74"/>
  <c r="BY61" i="74"/>
  <c r="BW61" i="74"/>
  <c r="BT61" i="74"/>
  <c r="BS61" i="74"/>
  <c r="BR61" i="74"/>
  <c r="BO61" i="74"/>
  <c r="BM61" i="74"/>
  <c r="AV61" i="74"/>
  <c r="AU61" i="74"/>
  <c r="AR61" i="74"/>
  <c r="AS61" i="74" s="1"/>
  <c r="AN61" i="74"/>
  <c r="AB61" i="74"/>
  <c r="AE61" i="74" s="1"/>
  <c r="AD61" i="74" s="1"/>
  <c r="W61" i="74" s="1"/>
  <c r="X61" i="74"/>
  <c r="N61" i="74"/>
  <c r="H61" i="74" s="1"/>
  <c r="I61" i="74" s="1"/>
  <c r="D61" i="74"/>
  <c r="BY60" i="74"/>
  <c r="BS60" i="74"/>
  <c r="BR60" i="74"/>
  <c r="BO60" i="74"/>
  <c r="BM60" i="74"/>
  <c r="AV60" i="74"/>
  <c r="AU60" i="74"/>
  <c r="BW60" i="74" s="1"/>
  <c r="AN60" i="74"/>
  <c r="AE60" i="74"/>
  <c r="AD60" i="74" s="1"/>
  <c r="W60" i="74" s="1"/>
  <c r="X60" i="74" s="1"/>
  <c r="AB60" i="74"/>
  <c r="N60" i="74"/>
  <c r="I60" i="74"/>
  <c r="H60" i="74"/>
  <c r="D60" i="74"/>
  <c r="BY59" i="74"/>
  <c r="BS59" i="74"/>
  <c r="BR59" i="74"/>
  <c r="BT59" i="74" s="1"/>
  <c r="BO59" i="74"/>
  <c r="BM59" i="74"/>
  <c r="BE59" i="74"/>
  <c r="AV59" i="74"/>
  <c r="AU59" i="74"/>
  <c r="BW59" i="74" s="1"/>
  <c r="AR59" i="74"/>
  <c r="AS59" i="74" s="1"/>
  <c r="AN59" i="74"/>
  <c r="AD59" i="74"/>
  <c r="AA59" i="74"/>
  <c r="N59" i="74"/>
  <c r="I59" i="74"/>
  <c r="H59" i="74"/>
  <c r="D59" i="74"/>
  <c r="BY58" i="74"/>
  <c r="BS58" i="74"/>
  <c r="BR58" i="74"/>
  <c r="BT58" i="74" s="1"/>
  <c r="BO58" i="74"/>
  <c r="BM58" i="74"/>
  <c r="AV58" i="74"/>
  <c r="AU58" i="74"/>
  <c r="BW58" i="74" s="1"/>
  <c r="AN58" i="74"/>
  <c r="AE58" i="74"/>
  <c r="AD58" i="74" s="1"/>
  <c r="AB58" i="74"/>
  <c r="N58" i="74"/>
  <c r="H58" i="74" s="1"/>
  <c r="I58" i="74" s="1"/>
  <c r="E58" i="74"/>
  <c r="F58" i="74" s="1"/>
  <c r="D58" i="74"/>
  <c r="BY57" i="74"/>
  <c r="BV57" i="74"/>
  <c r="BR57" i="74"/>
  <c r="BO57" i="74"/>
  <c r="BM57" i="74"/>
  <c r="BE57" i="74"/>
  <c r="BC57" i="74"/>
  <c r="AY57" i="74"/>
  <c r="AV57" i="74"/>
  <c r="AR57" i="74"/>
  <c r="AN57" i="74"/>
  <c r="AM57" i="74"/>
  <c r="AH57" i="74"/>
  <c r="AB57" i="74"/>
  <c r="W57" i="74"/>
  <c r="X57" i="74" s="1"/>
  <c r="R57" i="74"/>
  <c r="O57" i="74"/>
  <c r="N57" i="74"/>
  <c r="H57" i="74"/>
  <c r="I57" i="74" s="1"/>
  <c r="D57" i="74"/>
  <c r="BY56" i="74"/>
  <c r="BW56" i="74"/>
  <c r="BU56" i="74"/>
  <c r="BS56" i="74"/>
  <c r="BR56" i="74"/>
  <c r="BT56" i="74" s="1"/>
  <c r="BO56" i="74"/>
  <c r="BM56" i="74"/>
  <c r="BC56" i="74"/>
  <c r="AY56" i="74"/>
  <c r="AV56" i="74"/>
  <c r="AS56" i="74"/>
  <c r="AB56" i="74"/>
  <c r="AE56" i="74" s="1"/>
  <c r="AE52" i="74" s="1"/>
  <c r="N56" i="74"/>
  <c r="H56" i="74"/>
  <c r="D56" i="74"/>
  <c r="BY55" i="74"/>
  <c r="BY52" i="74" s="1"/>
  <c r="BW55" i="74"/>
  <c r="BS55" i="74"/>
  <c r="BR55" i="74"/>
  <c r="BU55" i="74" s="1"/>
  <c r="BO55" i="74"/>
  <c r="BM55" i="74"/>
  <c r="BF55" i="74"/>
  <c r="BC55" i="74"/>
  <c r="AY55" i="74"/>
  <c r="AV55" i="74"/>
  <c r="AS55" i="74"/>
  <c r="AR55" i="74"/>
  <c r="AH55" i="74"/>
  <c r="AB55" i="74"/>
  <c r="W55" i="74"/>
  <c r="E55" i="74" s="1"/>
  <c r="F55" i="74" s="1"/>
  <c r="R55" i="74"/>
  <c r="N55" i="74"/>
  <c r="O55" i="74" s="1"/>
  <c r="I55" i="74"/>
  <c r="H55" i="74"/>
  <c r="D55" i="74"/>
  <c r="BW54" i="74"/>
  <c r="BS54" i="74"/>
  <c r="BR54" i="74"/>
  <c r="BT54" i="74" s="1"/>
  <c r="BM54" i="74"/>
  <c r="AR54" i="74"/>
  <c r="AS54" i="74" s="1"/>
  <c r="AD54" i="74"/>
  <c r="AB54" i="74"/>
  <c r="I54" i="74"/>
  <c r="F54" i="74"/>
  <c r="E54" i="74"/>
  <c r="BW53" i="74"/>
  <c r="BS53" i="74"/>
  <c r="BR53" i="74"/>
  <c r="BT53" i="74" s="1"/>
  <c r="BM53" i="74"/>
  <c r="AR53" i="74"/>
  <c r="AS53" i="74" s="1"/>
  <c r="AE53" i="74"/>
  <c r="AB53" i="74"/>
  <c r="AD53" i="74" s="1"/>
  <c r="I53" i="74"/>
  <c r="F53" i="74"/>
  <c r="E53" i="74"/>
  <c r="BX52" i="74"/>
  <c r="BR52" i="74"/>
  <c r="BN52" i="74"/>
  <c r="BM52" i="74"/>
  <c r="BL52" i="74"/>
  <c r="BB52" i="74"/>
  <c r="BA52" i="74"/>
  <c r="AZ52" i="74"/>
  <c r="AX52" i="74"/>
  <c r="AW52" i="74"/>
  <c r="AU52" i="74"/>
  <c r="AT52" i="74"/>
  <c r="AV52" i="74" s="1"/>
  <c r="AO52" i="74"/>
  <c r="AG52" i="74"/>
  <c r="AH52" i="74" s="1"/>
  <c r="AC52" i="74"/>
  <c r="Z52" i="74"/>
  <c r="Y52" i="74"/>
  <c r="V52" i="74"/>
  <c r="T52" i="74"/>
  <c r="R52" i="74"/>
  <c r="Q52" i="74"/>
  <c r="P52" i="74"/>
  <c r="M52" i="74"/>
  <c r="J52" i="74"/>
  <c r="BW51" i="74"/>
  <c r="BT51" i="74"/>
  <c r="BS51" i="74"/>
  <c r="BR51" i="74"/>
  <c r="BM51" i="74"/>
  <c r="AS51" i="74"/>
  <c r="AR51" i="74"/>
  <c r="AD51" i="74"/>
  <c r="AB51" i="74"/>
  <c r="AE51" i="74" s="1"/>
  <c r="I51" i="74"/>
  <c r="E51" i="74"/>
  <c r="F51" i="74" s="1"/>
  <c r="BW50" i="74"/>
  <c r="BS50" i="74"/>
  <c r="BR50" i="74"/>
  <c r="BT50" i="74" s="1"/>
  <c r="BM50" i="74"/>
  <c r="AR50" i="74"/>
  <c r="AS50" i="74" s="1"/>
  <c r="AE50" i="74"/>
  <c r="AD50" i="74"/>
  <c r="AB50" i="74"/>
  <c r="I50" i="74"/>
  <c r="F50" i="74"/>
  <c r="E50" i="74"/>
  <c r="D50" i="74"/>
  <c r="BW49" i="74"/>
  <c r="BT49" i="74"/>
  <c r="BS49" i="74"/>
  <c r="BR49" i="74"/>
  <c r="BM49" i="74"/>
  <c r="AZ49" i="74"/>
  <c r="AS49" i="74"/>
  <c r="AR49" i="74"/>
  <c r="AD49" i="74"/>
  <c r="AB49" i="74"/>
  <c r="AE49" i="74" s="1"/>
  <c r="I49" i="74"/>
  <c r="E49" i="74"/>
  <c r="F49" i="74" s="1"/>
  <c r="D49" i="74"/>
  <c r="BW48" i="74"/>
  <c r="BS48" i="74"/>
  <c r="BR48" i="74"/>
  <c r="BM48" i="74"/>
  <c r="AR48" i="74"/>
  <c r="AS48" i="74" s="1"/>
  <c r="AE48" i="74"/>
  <c r="AD48" i="74"/>
  <c r="AB48" i="74"/>
  <c r="I48" i="74"/>
  <c r="E48" i="74"/>
  <c r="F48" i="74" s="1"/>
  <c r="D48" i="74"/>
  <c r="BY47" i="74"/>
  <c r="BY43" i="74" s="1"/>
  <c r="BY40" i="74" s="1"/>
  <c r="BV47" i="74"/>
  <c r="BW47" i="74" s="1"/>
  <c r="BT47" i="74"/>
  <c r="BS47" i="74"/>
  <c r="BR47" i="74"/>
  <c r="BU47" i="74" s="1"/>
  <c r="BO47" i="74"/>
  <c r="BM47" i="74"/>
  <c r="BM43" i="74" s="1"/>
  <c r="BM40" i="74" s="1"/>
  <c r="BC47" i="74"/>
  <c r="AY47" i="74"/>
  <c r="AV47" i="74"/>
  <c r="AS47" i="74"/>
  <c r="AE47" i="74"/>
  <c r="AD47" i="74"/>
  <c r="AB47" i="74"/>
  <c r="O47" i="74"/>
  <c r="N47" i="74"/>
  <c r="I47" i="74"/>
  <c r="H47" i="74"/>
  <c r="E47" i="74"/>
  <c r="F47" i="74" s="1"/>
  <c r="D47" i="74"/>
  <c r="BY46" i="74"/>
  <c r="BW46" i="74"/>
  <c r="BW43" i="74" s="1"/>
  <c r="BV46" i="74"/>
  <c r="BS46" i="74"/>
  <c r="BR46" i="74"/>
  <c r="BU46" i="74" s="1"/>
  <c r="BO46" i="74"/>
  <c r="BM46" i="74"/>
  <c r="BC46" i="74"/>
  <c r="AY46" i="74"/>
  <c r="AV46" i="74"/>
  <c r="AS46" i="74"/>
  <c r="AH46" i="74"/>
  <c r="AE46" i="74"/>
  <c r="AD46" i="74"/>
  <c r="AB46" i="74"/>
  <c r="X46" i="74"/>
  <c r="W46" i="74"/>
  <c r="I46" i="74"/>
  <c r="H46" i="74"/>
  <c r="N46" i="74" s="1"/>
  <c r="O46" i="74" s="1"/>
  <c r="D46" i="74"/>
  <c r="BY45" i="74"/>
  <c r="BW45" i="74"/>
  <c r="BT45" i="74"/>
  <c r="BS45" i="74"/>
  <c r="BU45" i="74" s="1"/>
  <c r="BR45" i="74"/>
  <c r="BO45" i="74"/>
  <c r="BM45" i="74"/>
  <c r="BC45" i="74"/>
  <c r="AY45" i="74"/>
  <c r="AV45" i="74"/>
  <c r="AH45" i="74"/>
  <c r="AB45" i="74"/>
  <c r="W45" i="74"/>
  <c r="R45" i="74"/>
  <c r="I45" i="74"/>
  <c r="H45" i="74"/>
  <c r="N45" i="74" s="1"/>
  <c r="O45" i="74" s="1"/>
  <c r="D45" i="74"/>
  <c r="D43" i="74" s="1"/>
  <c r="BW44" i="74"/>
  <c r="BS44" i="74"/>
  <c r="BR44" i="74"/>
  <c r="BT44" i="74" s="1"/>
  <c r="BM44" i="74"/>
  <c r="AR44" i="74"/>
  <c r="AS44" i="74" s="1"/>
  <c r="AE44" i="74"/>
  <c r="AD44" i="74"/>
  <c r="AB44" i="74"/>
  <c r="I44" i="74"/>
  <c r="F44" i="74"/>
  <c r="E44" i="74"/>
  <c r="BX43" i="74"/>
  <c r="BV43" i="74"/>
  <c r="BS43" i="74"/>
  <c r="BR43" i="74"/>
  <c r="BT43" i="74" s="1"/>
  <c r="BO43" i="74"/>
  <c r="BN43" i="74"/>
  <c r="BL43" i="74"/>
  <c r="BB43" i="74"/>
  <c r="BA43" i="74"/>
  <c r="BA40" i="74" s="1"/>
  <c r="AZ43" i="74"/>
  <c r="AX43" i="74"/>
  <c r="AY43" i="74" s="1"/>
  <c r="AW43" i="74"/>
  <c r="AW40" i="74" s="1"/>
  <c r="AU43" i="74"/>
  <c r="AT43" i="74"/>
  <c r="AV43" i="74" s="1"/>
  <c r="AR43" i="74"/>
  <c r="AS43" i="74" s="1"/>
  <c r="AP43" i="74"/>
  <c r="AO43" i="74"/>
  <c r="AH43" i="74"/>
  <c r="AG43" i="74"/>
  <c r="AE43" i="74"/>
  <c r="AD43" i="74"/>
  <c r="AC43" i="74"/>
  <c r="AA43" i="74"/>
  <c r="AB43" i="74" s="1"/>
  <c r="Y43" i="74"/>
  <c r="V43" i="74"/>
  <c r="T43" i="74"/>
  <c r="R43" i="74"/>
  <c r="Q43" i="74"/>
  <c r="P43" i="74"/>
  <c r="M43" i="74"/>
  <c r="J43" i="74"/>
  <c r="H43" i="74"/>
  <c r="BW42" i="74"/>
  <c r="BS42" i="74"/>
  <c r="BU42" i="74" s="1"/>
  <c r="BU41" i="74" s="1"/>
  <c r="BR42" i="74"/>
  <c r="BT42" i="74" s="1"/>
  <c r="BM42" i="74"/>
  <c r="AU42" i="74"/>
  <c r="AR42" i="74"/>
  <c r="AD42" i="74"/>
  <c r="AB42" i="74"/>
  <c r="AE42" i="74" s="1"/>
  <c r="I42" i="74"/>
  <c r="D42" i="74"/>
  <c r="BW41" i="74"/>
  <c r="BV41" i="74"/>
  <c r="BS41" i="74"/>
  <c r="BT41" i="74" s="1"/>
  <c r="BR41" i="74"/>
  <c r="BM41" i="74"/>
  <c r="AZ41" i="74"/>
  <c r="AU41" i="74"/>
  <c r="AT41" i="74"/>
  <c r="AP41" i="74"/>
  <c r="AP40" i="74" s="1"/>
  <c r="AO41" i="74"/>
  <c r="AC41" i="74"/>
  <c r="AA41" i="74"/>
  <c r="AB41" i="74" s="1"/>
  <c r="G41" i="74"/>
  <c r="I41" i="74" s="1"/>
  <c r="BX40" i="74"/>
  <c r="BX30" i="74" s="1"/>
  <c r="BX83" i="74" s="1"/>
  <c r="BV40" i="74"/>
  <c r="BR40" i="74"/>
  <c r="BO40" i="74"/>
  <c r="BN40" i="74"/>
  <c r="BL40" i="74"/>
  <c r="BB40" i="74"/>
  <c r="BC40" i="74" s="1"/>
  <c r="AZ40" i="74"/>
  <c r="AX40" i="74"/>
  <c r="AY40" i="74" s="1"/>
  <c r="AT40" i="74"/>
  <c r="AO40" i="74"/>
  <c r="AG40" i="74"/>
  <c r="AH40" i="74" s="1"/>
  <c r="AA40" i="74"/>
  <c r="AB40" i="74" s="1"/>
  <c r="Y40" i="74"/>
  <c r="Y30" i="74" s="1"/>
  <c r="Y85" i="74" s="1"/>
  <c r="V40" i="74"/>
  <c r="T40" i="74"/>
  <c r="Q40" i="74"/>
  <c r="R40" i="74" s="1"/>
  <c r="P40" i="74"/>
  <c r="M40" i="74"/>
  <c r="J40" i="74"/>
  <c r="D40" i="74"/>
  <c r="BW39" i="74"/>
  <c r="BS39" i="74"/>
  <c r="BR39" i="74"/>
  <c r="BT39" i="74" s="1"/>
  <c r="BM39" i="74"/>
  <c r="AR39" i="74"/>
  <c r="AS39" i="74" s="1"/>
  <c r="AE39" i="74"/>
  <c r="AB39" i="74"/>
  <c r="AD39" i="74" s="1"/>
  <c r="I39" i="74"/>
  <c r="F39" i="74"/>
  <c r="E39" i="74"/>
  <c r="BW38" i="74"/>
  <c r="BS38" i="74"/>
  <c r="BT38" i="74" s="1"/>
  <c r="BR38" i="74"/>
  <c r="BM38" i="74"/>
  <c r="AR38" i="74"/>
  <c r="AS38" i="74" s="1"/>
  <c r="AB38" i="74"/>
  <c r="AE38" i="74" s="1"/>
  <c r="I38" i="74"/>
  <c r="E38" i="74"/>
  <c r="F38" i="74" s="1"/>
  <c r="BW37" i="74"/>
  <c r="BT37" i="74"/>
  <c r="BS37" i="74"/>
  <c r="BR37" i="74"/>
  <c r="BM37" i="74"/>
  <c r="AS37" i="74"/>
  <c r="AR37" i="74"/>
  <c r="AB37" i="74"/>
  <c r="I37" i="74"/>
  <c r="E37" i="74"/>
  <c r="F37" i="74" s="1"/>
  <c r="BW36" i="74"/>
  <c r="BS36" i="74"/>
  <c r="BR36" i="74"/>
  <c r="BT36" i="74" s="1"/>
  <c r="BM36" i="74"/>
  <c r="AZ36" i="74"/>
  <c r="AU36" i="74"/>
  <c r="AR36" i="74"/>
  <c r="AS36" i="74" s="1"/>
  <c r="AO36" i="74"/>
  <c r="AB36" i="74"/>
  <c r="G36" i="74"/>
  <c r="I36" i="74" s="1"/>
  <c r="E36" i="74"/>
  <c r="F36" i="74" s="1"/>
  <c r="BY35" i="74"/>
  <c r="BW35" i="74"/>
  <c r="BT35" i="74"/>
  <c r="BS35" i="74"/>
  <c r="BR35" i="74"/>
  <c r="BU35" i="74" s="1"/>
  <c r="BO35" i="74"/>
  <c r="BM35" i="74"/>
  <c r="BC35" i="74"/>
  <c r="AY35" i="74"/>
  <c r="AV35" i="74"/>
  <c r="AS35" i="74"/>
  <c r="AR35" i="74"/>
  <c r="R35" i="74"/>
  <c r="N35" i="74"/>
  <c r="D35" i="74"/>
  <c r="BY34" i="74"/>
  <c r="BV34" i="74"/>
  <c r="BR34" i="74"/>
  <c r="BO34" i="74"/>
  <c r="BC34" i="74"/>
  <c r="AY34" i="74"/>
  <c r="AV34" i="74"/>
  <c r="AR34" i="74"/>
  <c r="AS34" i="74" s="1"/>
  <c r="AN34" i="74"/>
  <c r="AH34" i="74"/>
  <c r="AB34" i="74"/>
  <c r="R34" i="74"/>
  <c r="O34" i="74"/>
  <c r="K34" i="74"/>
  <c r="L34" i="74" s="1"/>
  <c r="L31" i="74" s="1"/>
  <c r="H34" i="74"/>
  <c r="D34" i="74"/>
  <c r="BY33" i="74"/>
  <c r="BW33" i="74"/>
  <c r="BS33" i="74"/>
  <c r="BR33" i="74"/>
  <c r="BU33" i="74" s="1"/>
  <c r="BO33" i="74"/>
  <c r="BC33" i="74"/>
  <c r="BB33" i="74"/>
  <c r="AY33" i="74"/>
  <c r="AV33" i="74"/>
  <c r="AS33" i="74"/>
  <c r="AR33" i="74"/>
  <c r="AN33" i="74"/>
  <c r="AH33" i="74"/>
  <c r="AB33" i="74"/>
  <c r="T33" i="74"/>
  <c r="R33" i="74"/>
  <c r="N33" i="74"/>
  <c r="L33" i="74"/>
  <c r="D33" i="74"/>
  <c r="BS32" i="74"/>
  <c r="BR32" i="74"/>
  <c r="BT32" i="74" s="1"/>
  <c r="AS32" i="74"/>
  <c r="AR32" i="74"/>
  <c r="AE32" i="74"/>
  <c r="AB32" i="74"/>
  <c r="AD32" i="74" s="1"/>
  <c r="I32" i="74"/>
  <c r="F32" i="74"/>
  <c r="E32" i="74"/>
  <c r="BX31" i="74"/>
  <c r="BR31" i="74"/>
  <c r="BO31" i="74"/>
  <c r="BN31" i="74"/>
  <c r="BL31" i="74"/>
  <c r="BB31" i="74"/>
  <c r="BA31" i="74"/>
  <c r="BC31" i="74" s="1"/>
  <c r="AZ31" i="74"/>
  <c r="AX31" i="74"/>
  <c r="AW31" i="74"/>
  <c r="AY31" i="74" s="1"/>
  <c r="AU31" i="74"/>
  <c r="AV31" i="74" s="1"/>
  <c r="AT31" i="74"/>
  <c r="AP31" i="74"/>
  <c r="AO31" i="74"/>
  <c r="AN31" i="74"/>
  <c r="AM31" i="74"/>
  <c r="AH31" i="74"/>
  <c r="AG31" i="74"/>
  <c r="AE31" i="74"/>
  <c r="AD31" i="74"/>
  <c r="AC31" i="74"/>
  <c r="AA31" i="74"/>
  <c r="AB31" i="74" s="1"/>
  <c r="Y31" i="74"/>
  <c r="V31" i="74"/>
  <c r="T31" i="74"/>
  <c r="R31" i="74"/>
  <c r="Q31" i="74"/>
  <c r="P31" i="74"/>
  <c r="N31" i="74"/>
  <c r="O31" i="74" s="1"/>
  <c r="M31" i="74"/>
  <c r="K31" i="74"/>
  <c r="J31" i="74"/>
  <c r="J30" i="74" s="1"/>
  <c r="G31" i="74"/>
  <c r="D31" i="74"/>
  <c r="BR30" i="74"/>
  <c r="BN30" i="74"/>
  <c r="BN83" i="74" s="1"/>
  <c r="BL30" i="74"/>
  <c r="BL83" i="74" s="1"/>
  <c r="AZ30" i="74"/>
  <c r="AT30" i="74"/>
  <c r="AO30" i="74"/>
  <c r="Z30" i="74"/>
  <c r="Z85" i="74" s="1"/>
  <c r="V30" i="74"/>
  <c r="T30" i="74"/>
  <c r="Q30" i="74"/>
  <c r="R30" i="74" s="1"/>
  <c r="P30" i="74"/>
  <c r="M30" i="74"/>
  <c r="L30" i="74"/>
  <c r="K30" i="74"/>
  <c r="G30" i="74"/>
  <c r="BC29" i="74"/>
  <c r="AY29" i="74"/>
  <c r="AS29" i="74"/>
  <c r="AR29" i="74"/>
  <c r="AB29" i="74"/>
  <c r="AD29" i="74" s="1"/>
  <c r="I29" i="74"/>
  <c r="E29" i="74"/>
  <c r="F29" i="74" s="1"/>
  <c r="D29" i="74"/>
  <c r="BB28" i="74"/>
  <c r="BC28" i="74" s="1"/>
  <c r="AY28" i="74"/>
  <c r="AV28" i="74"/>
  <c r="AU28" i="74"/>
  <c r="AR28" i="74"/>
  <c r="AS28" i="74" s="1"/>
  <c r="AE28" i="74"/>
  <c r="AD28" i="74"/>
  <c r="I28" i="74"/>
  <c r="E28" i="74"/>
  <c r="D28" i="74"/>
  <c r="AR27" i="74"/>
  <c r="AS27" i="74" s="1"/>
  <c r="AN27" i="74"/>
  <c r="AK27" i="74"/>
  <c r="AH27" i="74"/>
  <c r="AB27" i="74"/>
  <c r="X27" i="74"/>
  <c r="I27" i="74"/>
  <c r="E27" i="74"/>
  <c r="F27" i="74" s="1"/>
  <c r="D27" i="74"/>
  <c r="AR26" i="74"/>
  <c r="AS26" i="74" s="1"/>
  <c r="AE26" i="74"/>
  <c r="AB26" i="74"/>
  <c r="AD26" i="74" s="1"/>
  <c r="I26" i="74"/>
  <c r="F26" i="74"/>
  <c r="E26" i="74"/>
  <c r="D26" i="74"/>
  <c r="AR25" i="74"/>
  <c r="AS25" i="74" s="1"/>
  <c r="AB25" i="74"/>
  <c r="AE25" i="74" s="1"/>
  <c r="I25" i="74"/>
  <c r="E25" i="74"/>
  <c r="F25" i="74" s="1"/>
  <c r="D25" i="74"/>
  <c r="AU24" i="74"/>
  <c r="AV24" i="74" s="1"/>
  <c r="AR24" i="74"/>
  <c r="E24" i="74" s="1"/>
  <c r="F24" i="74" s="1"/>
  <c r="AB24" i="74"/>
  <c r="AE24" i="74" s="1"/>
  <c r="I24" i="74"/>
  <c r="D24" i="74"/>
  <c r="BV23" i="74"/>
  <c r="AU23" i="74"/>
  <c r="AR23" i="74"/>
  <c r="AS23" i="74" s="1"/>
  <c r="AE23" i="74"/>
  <c r="AB23" i="74"/>
  <c r="AD23" i="74" s="1"/>
  <c r="I23" i="74"/>
  <c r="F23" i="74"/>
  <c r="E23" i="74"/>
  <c r="D23" i="74"/>
  <c r="BV22" i="74"/>
  <c r="BC22" i="74"/>
  <c r="AX22" i="74"/>
  <c r="AY22" i="74" s="1"/>
  <c r="AV22" i="74"/>
  <c r="AB22" i="74"/>
  <c r="AE22" i="74" s="1"/>
  <c r="Q22" i="74"/>
  <c r="Q21" i="74" s="1"/>
  <c r="K22" i="74"/>
  <c r="L22" i="74" s="1"/>
  <c r="J22" i="74"/>
  <c r="D22" i="74"/>
  <c r="BV21" i="74"/>
  <c r="BB21" i="74"/>
  <c r="BB18" i="74" s="1"/>
  <c r="AX21" i="74"/>
  <c r="AY21" i="74" s="1"/>
  <c r="AU21" i="74"/>
  <c r="AV21" i="74" s="1"/>
  <c r="AP21" i="74"/>
  <c r="D21" i="74" s="1"/>
  <c r="AE21" i="74"/>
  <c r="AB21" i="74"/>
  <c r="AD21" i="74" s="1"/>
  <c r="P21" i="74"/>
  <c r="M21" i="74"/>
  <c r="K21" i="74"/>
  <c r="L21" i="74" s="1"/>
  <c r="J21" i="74"/>
  <c r="J18" i="74" s="1"/>
  <c r="AS20" i="74"/>
  <c r="AB20" i="74"/>
  <c r="AE20" i="74" s="1"/>
  <c r="F20" i="74"/>
  <c r="E20" i="74"/>
  <c r="AS19" i="74"/>
  <c r="AB19" i="74"/>
  <c r="AE19" i="74" s="1"/>
  <c r="F19" i="74"/>
  <c r="E19" i="74"/>
  <c r="CB18" i="74"/>
  <c r="BX18" i="74"/>
  <c r="BZ19" i="74" s="1"/>
  <c r="BU18" i="74"/>
  <c r="BR18" i="74"/>
  <c r="BT18" i="74" s="1"/>
  <c r="BN18" i="74"/>
  <c r="BA18" i="74"/>
  <c r="AX18" i="74"/>
  <c r="AW18" i="74"/>
  <c r="BG20" i="74" s="1"/>
  <c r="AT18" i="74"/>
  <c r="BF20" i="74" s="1"/>
  <c r="AP18" i="74"/>
  <c r="AM18" i="74"/>
  <c r="AN18" i="74" s="1"/>
  <c r="BO18" i="74" s="1"/>
  <c r="AJ18" i="74"/>
  <c r="AK18" i="74" s="1"/>
  <c r="BM18" i="74" s="1"/>
  <c r="AH18" i="74"/>
  <c r="AG18" i="74"/>
  <c r="AE18" i="74"/>
  <c r="AD18" i="74"/>
  <c r="AC18" i="74"/>
  <c r="AA18" i="74"/>
  <c r="Z18" i="74"/>
  <c r="Y18" i="74"/>
  <c r="W18" i="74"/>
  <c r="X18" i="74" s="1"/>
  <c r="V18" i="74"/>
  <c r="P18" i="74"/>
  <c r="M18" i="74"/>
  <c r="K18" i="74"/>
  <c r="L18" i="74" s="1"/>
  <c r="G18" i="74"/>
  <c r="V11" i="74"/>
  <c r="H11" i="74"/>
  <c r="Q10" i="74"/>
  <c r="N22" i="74" s="1"/>
  <c r="T3" i="74"/>
  <c r="O3" i="74"/>
  <c r="E3" i="74"/>
  <c r="S1" i="74"/>
  <c r="Q1" i="74"/>
  <c r="T22" i="74" s="1"/>
  <c r="Q108" i="74" l="1"/>
  <c r="AC110" i="74"/>
  <c r="AG113" i="74"/>
  <c r="AG112" i="74"/>
  <c r="D18" i="74"/>
  <c r="F28" i="74"/>
  <c r="X55" i="74"/>
  <c r="N10" i="74"/>
  <c r="M3" i="74"/>
  <c r="O22" i="74"/>
  <c r="N21" i="74"/>
  <c r="L1" i="74"/>
  <c r="L3" i="74" s="1"/>
  <c r="Q18" i="74"/>
  <c r="R21" i="74"/>
  <c r="X65" i="74"/>
  <c r="E65" i="74"/>
  <c r="F65" i="74" s="1"/>
  <c r="M83" i="74"/>
  <c r="J82" i="74"/>
  <c r="J85" i="74"/>
  <c r="T21" i="74"/>
  <c r="T18" i="74" s="1"/>
  <c r="T10" i="74"/>
  <c r="BC18" i="74"/>
  <c r="BC3" i="74"/>
  <c r="Y86" i="74"/>
  <c r="Y87" i="74" s="1"/>
  <c r="P85" i="74"/>
  <c r="P82" i="74"/>
  <c r="V85" i="74"/>
  <c r="V82" i="74"/>
  <c r="AO85" i="74"/>
  <c r="AO83" i="74"/>
  <c r="BM33" i="74"/>
  <c r="AK33" i="74"/>
  <c r="BY83" i="74"/>
  <c r="BY31" i="74"/>
  <c r="BY30" i="74" s="1"/>
  <c r="BB30" i="74"/>
  <c r="BC52" i="74"/>
  <c r="P83" i="74"/>
  <c r="Z83" i="74"/>
  <c r="Z82" i="74"/>
  <c r="AY18" i="74"/>
  <c r="AD22" i="74"/>
  <c r="AS24" i="74"/>
  <c r="M85" i="74"/>
  <c r="M82" i="74"/>
  <c r="W33" i="74"/>
  <c r="AX30" i="74"/>
  <c r="AR52" i="74"/>
  <c r="AS52" i="74" s="1"/>
  <c r="AY52" i="74"/>
  <c r="AD56" i="74"/>
  <c r="AD52" i="74" s="1"/>
  <c r="M10" i="74"/>
  <c r="U10" i="74"/>
  <c r="O12" i="74"/>
  <c r="P12" i="74" s="1"/>
  <c r="Z120" i="74"/>
  <c r="AD19" i="74"/>
  <c r="AD20" i="74"/>
  <c r="AR21" i="74"/>
  <c r="AS21" i="74" s="1"/>
  <c r="H22" i="74"/>
  <c r="R22" i="74"/>
  <c r="AD24" i="74"/>
  <c r="AD25" i="74"/>
  <c r="AE29" i="74"/>
  <c r="AG30" i="74"/>
  <c r="AG82" i="74" s="1"/>
  <c r="BA30" i="74"/>
  <c r="O33" i="74"/>
  <c r="H33" i="74"/>
  <c r="I34" i="74"/>
  <c r="AE37" i="74"/>
  <c r="AD37" i="74"/>
  <c r="E42" i="74"/>
  <c r="F42" i="74" s="1"/>
  <c r="AS42" i="74"/>
  <c r="BU43" i="74"/>
  <c r="BU40" i="74" s="1"/>
  <c r="H52" i="74"/>
  <c r="E56" i="74"/>
  <c r="F56" i="74" s="1"/>
  <c r="I56" i="74"/>
  <c r="E67" i="74"/>
  <c r="F67" i="74" s="1"/>
  <c r="I67" i="74"/>
  <c r="BC73" i="74"/>
  <c r="AR73" i="74"/>
  <c r="Y83" i="74"/>
  <c r="Y95" i="74" s="1"/>
  <c r="AA90" i="74"/>
  <c r="Z86" i="74"/>
  <c r="AT94" i="74"/>
  <c r="AT85" i="74"/>
  <c r="AT86" i="74" s="1"/>
  <c r="AT87" i="74" s="1"/>
  <c r="H40" i="74"/>
  <c r="E43" i="74"/>
  <c r="F43" i="74" s="1"/>
  <c r="I43" i="74"/>
  <c r="W43" i="74"/>
  <c r="X45" i="74"/>
  <c r="BT57" i="74"/>
  <c r="AA52" i="74"/>
  <c r="W59" i="74"/>
  <c r="X59" i="74" s="1"/>
  <c r="AB59" i="74"/>
  <c r="AN62" i="74"/>
  <c r="W62" i="74"/>
  <c r="BO62" i="74"/>
  <c r="BO52" i="74" s="1"/>
  <c r="BO30" i="74" s="1"/>
  <c r="AM52" i="74"/>
  <c r="D68" i="74"/>
  <c r="D52" i="74" s="1"/>
  <c r="D30" i="74" s="1"/>
  <c r="AP52" i="74"/>
  <c r="AP30" i="74" s="1"/>
  <c r="AP85" i="74" s="1"/>
  <c r="AU18" i="74"/>
  <c r="BY18" i="74"/>
  <c r="BC21" i="74"/>
  <c r="Q85" i="74"/>
  <c r="AZ85" i="74"/>
  <c r="AZ83" i="74"/>
  <c r="BW40" i="74"/>
  <c r="E57" i="74"/>
  <c r="F57" i="74" s="1"/>
  <c r="AS57" i="74"/>
  <c r="BV52" i="74"/>
  <c r="BS52" i="74" s="1"/>
  <c r="BT52" i="74" s="1"/>
  <c r="BW57" i="74"/>
  <c r="BS57" i="74"/>
  <c r="BU57" i="74" s="1"/>
  <c r="E59" i="74"/>
  <c r="F59" i="74" s="1"/>
  <c r="I69" i="74"/>
  <c r="E69" i="74"/>
  <c r="F69" i="74" s="1"/>
  <c r="AB18" i="74"/>
  <c r="AS22" i="74"/>
  <c r="G85" i="74"/>
  <c r="G82" i="74"/>
  <c r="K82" i="74"/>
  <c r="T82" i="74"/>
  <c r="AW30" i="74"/>
  <c r="BR82" i="74"/>
  <c r="BV31" i="74"/>
  <c r="BW34" i="74"/>
  <c r="BW31" i="74" s="1"/>
  <c r="BS34" i="74"/>
  <c r="BU34" i="74" s="1"/>
  <c r="BU31" i="74" s="1"/>
  <c r="H35" i="74"/>
  <c r="O35" i="74"/>
  <c r="AE36" i="74"/>
  <c r="AD36" i="74"/>
  <c r="BS40" i="74"/>
  <c r="BT40" i="74" s="1"/>
  <c r="AC40" i="74"/>
  <c r="AC30" i="74" s="1"/>
  <c r="AE41" i="74"/>
  <c r="AE40" i="74" s="1"/>
  <c r="AD41" i="74"/>
  <c r="AD40" i="74" s="1"/>
  <c r="AR41" i="74"/>
  <c r="AU40" i="74"/>
  <c r="N43" i="74"/>
  <c r="BC43" i="74"/>
  <c r="BT48" i="74"/>
  <c r="BT60" i="74"/>
  <c r="E61" i="74"/>
  <c r="F61" i="74" s="1"/>
  <c r="I63" i="74"/>
  <c r="E63" i="74"/>
  <c r="F63" i="74" s="1"/>
  <c r="E66" i="74"/>
  <c r="F66" i="74" s="1"/>
  <c r="N66" i="74"/>
  <c r="I66" i="74"/>
  <c r="O68" i="74"/>
  <c r="H68" i="74"/>
  <c r="E71" i="74"/>
  <c r="F71" i="74" s="1"/>
  <c r="I71" i="74"/>
  <c r="BT33" i="74"/>
  <c r="E45" i="74"/>
  <c r="F45" i="74" s="1"/>
  <c r="E46" i="74"/>
  <c r="F46" i="74" s="1"/>
  <c r="BT46" i="74"/>
  <c r="BT55" i="74"/>
  <c r="AR58" i="74"/>
  <c r="AS58" i="74" s="1"/>
  <c r="AR64" i="74"/>
  <c r="AS64" i="74" s="1"/>
  <c r="BW64" i="74"/>
  <c r="AR65" i="74"/>
  <c r="AS65" i="74" s="1"/>
  <c r="BW67" i="74"/>
  <c r="AV71" i="74"/>
  <c r="BW71" i="74"/>
  <c r="AR71" i="74"/>
  <c r="AS71" i="74" s="1"/>
  <c r="F74" i="74"/>
  <c r="AD38" i="74"/>
  <c r="AR60" i="74"/>
  <c r="AS60" i="74" s="1"/>
  <c r="BW62" i="74"/>
  <c r="BW52" i="74" s="1"/>
  <c r="BW83" i="74" s="1"/>
  <c r="BS62" i="74"/>
  <c r="AV63" i="74"/>
  <c r="BW68" i="74"/>
  <c r="AR68" i="74"/>
  <c r="AS68" i="74" s="1"/>
  <c r="AE78" i="74"/>
  <c r="AD78" i="74"/>
  <c r="AE81" i="74"/>
  <c r="AD81" i="74"/>
  <c r="AR31" i="74"/>
  <c r="AS31" i="74" s="1"/>
  <c r="BT66" i="74"/>
  <c r="BT67" i="74"/>
  <c r="AD75" i="74"/>
  <c r="R116" i="74"/>
  <c r="P119" i="74"/>
  <c r="BW73" i="74"/>
  <c r="BS73" i="74"/>
  <c r="AE77" i="74"/>
  <c r="N121" i="74"/>
  <c r="N122" i="74" s="1"/>
  <c r="AC112" i="74"/>
  <c r="O107" i="74"/>
  <c r="AC114" i="74"/>
  <c r="P109" i="74"/>
  <c r="AG114" i="74"/>
  <c r="BT77" i="74"/>
  <c r="AF83" i="74"/>
  <c r="AF86" i="74" s="1"/>
  <c r="AF87" i="74" s="1"/>
  <c r="AG110" i="74"/>
  <c r="AG116" i="74" l="1"/>
  <c r="AC116" i="74"/>
  <c r="AC85" i="74"/>
  <c r="AC83" i="74"/>
  <c r="AS41" i="74"/>
  <c r="E41" i="74"/>
  <c r="F41" i="74" s="1"/>
  <c r="I35" i="74"/>
  <c r="E35" i="74"/>
  <c r="F35" i="74" s="1"/>
  <c r="D82" i="74"/>
  <c r="E64" i="74"/>
  <c r="F64" i="74" s="1"/>
  <c r="I22" i="74"/>
  <c r="K10" i="74" s="1"/>
  <c r="H3" i="74"/>
  <c r="I1" i="74"/>
  <c r="H21" i="74"/>
  <c r="E22" i="74"/>
  <c r="F22" i="74" s="1"/>
  <c r="X33" i="74"/>
  <c r="BU73" i="74"/>
  <c r="BU52" i="74" s="1"/>
  <c r="BU30" i="74" s="1"/>
  <c r="BT73" i="74"/>
  <c r="E60" i="74"/>
  <c r="F60" i="74" s="1"/>
  <c r="O66" i="74"/>
  <c r="N52" i="74"/>
  <c r="O52" i="74" s="1"/>
  <c r="AD30" i="74"/>
  <c r="AW94" i="74"/>
  <c r="AW82" i="74"/>
  <c r="AW85" i="74"/>
  <c r="AW86" i="74" s="1"/>
  <c r="I40" i="74"/>
  <c r="M87" i="74"/>
  <c r="AK34" i="74"/>
  <c r="BM34" i="74"/>
  <c r="BM83" i="74" s="1"/>
  <c r="W34" i="74"/>
  <c r="J87" i="74"/>
  <c r="R18" i="74"/>
  <c r="Q11" i="74"/>
  <c r="Q3" i="74"/>
  <c r="AJ110" i="74"/>
  <c r="BU62" i="74"/>
  <c r="BT62" i="74"/>
  <c r="E68" i="74"/>
  <c r="F68" i="74" s="1"/>
  <c r="I68" i="74"/>
  <c r="N40" i="74"/>
  <c r="O43" i="74"/>
  <c r="AE30" i="74"/>
  <c r="BW30" i="74"/>
  <c r="AZ86" i="74"/>
  <c r="AZ87" i="74" s="1"/>
  <c r="W40" i="74"/>
  <c r="X40" i="74" s="1"/>
  <c r="X43" i="74"/>
  <c r="E73" i="74"/>
  <c r="F73" i="74" s="1"/>
  <c r="AS73" i="74"/>
  <c r="E33" i="74"/>
  <c r="F33" i="74" s="1"/>
  <c r="I33" i="74"/>
  <c r="H31" i="74"/>
  <c r="AG85" i="74"/>
  <c r="AH30" i="74"/>
  <c r="AX85" i="74"/>
  <c r="AX94" i="74"/>
  <c r="AX82" i="74"/>
  <c r="AY30" i="74"/>
  <c r="M86" i="74"/>
  <c r="AP83" i="74"/>
  <c r="AP86" i="74" s="1"/>
  <c r="AP87" i="74" s="1"/>
  <c r="AJ31" i="74"/>
  <c r="N18" i="74"/>
  <c r="O21" i="74"/>
  <c r="BO83" i="74"/>
  <c r="AV40" i="74"/>
  <c r="AR40" i="74"/>
  <c r="AS40" i="74" s="1"/>
  <c r="AU30" i="74"/>
  <c r="BV30" i="74"/>
  <c r="BS31" i="74"/>
  <c r="BT31" i="74" s="1"/>
  <c r="Q82" i="74"/>
  <c r="BW18" i="74"/>
  <c r="BV19" i="74"/>
  <c r="BV24" i="74" s="1"/>
  <c r="AV18" i="74"/>
  <c r="AR18" i="74"/>
  <c r="D95" i="74"/>
  <c r="D85" i="74"/>
  <c r="W52" i="74"/>
  <c r="X52" i="74" s="1"/>
  <c r="E62" i="74"/>
  <c r="F62" i="74" s="1"/>
  <c r="X62" i="74"/>
  <c r="AB52" i="74"/>
  <c r="AA30" i="74"/>
  <c r="BT34" i="74"/>
  <c r="Z87" i="74"/>
  <c r="BB82" i="74"/>
  <c r="BB83" i="74" s="1"/>
  <c r="BC30" i="74"/>
  <c r="BC82" i="74" s="1"/>
  <c r="AO86" i="74"/>
  <c r="AO87" i="74" s="1"/>
  <c r="P86" i="74"/>
  <c r="P87" i="74" s="1"/>
  <c r="J83" i="74"/>
  <c r="I52" i="74"/>
  <c r="V83" i="74"/>
  <c r="V86" i="74" s="1"/>
  <c r="V87" i="74" s="1"/>
  <c r="W11" i="74"/>
  <c r="G83" i="74"/>
  <c r="G86" i="74" s="1"/>
  <c r="G87" i="74" s="1"/>
  <c r="J86" i="74"/>
  <c r="AN52" i="74"/>
  <c r="AM30" i="74"/>
  <c r="AJ116" i="74" l="1"/>
  <c r="BU82" i="74"/>
  <c r="BU107" i="74" s="1"/>
  <c r="BU29" i="74"/>
  <c r="N1" i="74"/>
  <c r="O1" i="74" s="1"/>
  <c r="O18" i="74"/>
  <c r="Q12" i="74"/>
  <c r="AX86" i="74"/>
  <c r="H107" i="74"/>
  <c r="H108" i="74" s="1"/>
  <c r="Q109" i="74"/>
  <c r="I31" i="74"/>
  <c r="H30" i="74"/>
  <c r="O40" i="74"/>
  <c r="N30" i="74"/>
  <c r="R85" i="74"/>
  <c r="R86" i="74" s="1"/>
  <c r="R82" i="74"/>
  <c r="R87" i="74" s="1"/>
  <c r="X34" i="74"/>
  <c r="E34" i="74"/>
  <c r="F34" i="74" s="1"/>
  <c r="BY82" i="74"/>
  <c r="AW87" i="74"/>
  <c r="W31" i="74"/>
  <c r="E31" i="74" s="1"/>
  <c r="F31" i="74" s="1"/>
  <c r="AC86" i="74"/>
  <c r="AC87" i="74" s="1"/>
  <c r="AY82" i="74"/>
  <c r="AY85" i="74"/>
  <c r="AY86" i="74" s="1"/>
  <c r="AH85" i="74"/>
  <c r="AH82" i="74"/>
  <c r="AI82" i="74" s="1"/>
  <c r="AJ82" i="74" s="1"/>
  <c r="AK82" i="74" s="1"/>
  <c r="AL82" i="74" s="1"/>
  <c r="AM82" i="74" s="1"/>
  <c r="Q83" i="74"/>
  <c r="Q86" i="74" s="1"/>
  <c r="Q87" i="74" s="1"/>
  <c r="E40" i="74"/>
  <c r="F40" i="74" s="1"/>
  <c r="BM31" i="74"/>
  <c r="BM30" i="74" s="1"/>
  <c r="AA85" i="74"/>
  <c r="AB30" i="74"/>
  <c r="AB85" i="74" s="1"/>
  <c r="AA82" i="74"/>
  <c r="AU85" i="74"/>
  <c r="AU82" i="74"/>
  <c r="AU94" i="74"/>
  <c r="BF30" i="74"/>
  <c r="AV30" i="74"/>
  <c r="AR30" i="74"/>
  <c r="D83" i="74"/>
  <c r="D86" i="74" s="1"/>
  <c r="D87" i="74" s="1"/>
  <c r="AN30" i="74"/>
  <c r="E52" i="74"/>
  <c r="AS18" i="74"/>
  <c r="BV83" i="74"/>
  <c r="BV108" i="74" s="1"/>
  <c r="BS30" i="74"/>
  <c r="AK31" i="74"/>
  <c r="AJ30" i="74"/>
  <c r="AX87" i="74"/>
  <c r="AX107" i="74"/>
  <c r="AX83" i="74"/>
  <c r="AG83" i="74"/>
  <c r="AG86" i="74" s="1"/>
  <c r="AG87" i="74" s="1"/>
  <c r="AE85" i="74"/>
  <c r="AE83" i="74"/>
  <c r="AD85" i="74"/>
  <c r="AD83" i="74"/>
  <c r="I21" i="74"/>
  <c r="H18" i="74"/>
  <c r="E21" i="74"/>
  <c r="F21" i="74" s="1"/>
  <c r="G3" i="74" s="1"/>
  <c r="BO82" i="74" l="1"/>
  <c r="AN82" i="74"/>
  <c r="AM83" i="74"/>
  <c r="AN83" i="74" s="1"/>
  <c r="AB82" i="74"/>
  <c r="AA83" i="74"/>
  <c r="AB83" i="74" s="1"/>
  <c r="AB86" i="74" s="1"/>
  <c r="H85" i="74"/>
  <c r="H82" i="74"/>
  <c r="H100" i="74"/>
  <c r="H102" i="74" s="1"/>
  <c r="I30" i="74"/>
  <c r="AD86" i="74"/>
  <c r="AD87" i="74" s="1"/>
  <c r="AJ83" i="74"/>
  <c r="AK83" i="74" s="1"/>
  <c r="AK30" i="74"/>
  <c r="AR85" i="74"/>
  <c r="AR82" i="74"/>
  <c r="AR94" i="74"/>
  <c r="AS30" i="74"/>
  <c r="AS85" i="74" s="1"/>
  <c r="AU89" i="74"/>
  <c r="AU83" i="74"/>
  <c r="AY87" i="74"/>
  <c r="H83" i="74"/>
  <c r="I11" i="74"/>
  <c r="I18" i="74"/>
  <c r="E18" i="74"/>
  <c r="J3" i="74"/>
  <c r="H131" i="74"/>
  <c r="AV85" i="74"/>
  <c r="AV82" i="74"/>
  <c r="AU86" i="74"/>
  <c r="AU87" i="74" s="1"/>
  <c r="AA86" i="74"/>
  <c r="AA87" i="74" s="1"/>
  <c r="AH83" i="74"/>
  <c r="AH86" i="74" s="1"/>
  <c r="AH87" i="74" s="1"/>
  <c r="N85" i="74"/>
  <c r="N82" i="74"/>
  <c r="O30" i="74"/>
  <c r="O85" i="74" s="1"/>
  <c r="AE86" i="74"/>
  <c r="AE87" i="74" s="1"/>
  <c r="BS82" i="74"/>
  <c r="BT30" i="74"/>
  <c r="E104" i="74"/>
  <c r="F52" i="74"/>
  <c r="W30" i="74"/>
  <c r="E30" i="74" s="1"/>
  <c r="X31" i="74"/>
  <c r="AV83" i="74" l="1"/>
  <c r="AV86" i="74" s="1"/>
  <c r="AV87" i="74" s="1"/>
  <c r="AR83" i="74"/>
  <c r="AR86" i="74" s="1"/>
  <c r="AR87" i="74" s="1"/>
  <c r="N124" i="74"/>
  <c r="H87" i="74"/>
  <c r="AB87" i="74"/>
  <c r="AB106" i="74" s="1"/>
  <c r="F18" i="74"/>
  <c r="E10" i="74"/>
  <c r="E85" i="74"/>
  <c r="E88" i="74"/>
  <c r="F30" i="74"/>
  <c r="H86" i="74"/>
  <c r="W82" i="74"/>
  <c r="W85" i="74"/>
  <c r="X30" i="74"/>
  <c r="X85" i="74" s="1"/>
  <c r="O82" i="74"/>
  <c r="N11" i="74"/>
  <c r="N83" i="74"/>
  <c r="N86" i="74" s="1"/>
  <c r="N87" i="74" s="1"/>
  <c r="I83" i="74"/>
  <c r="I85" i="74"/>
  <c r="W83" i="74" l="1"/>
  <c r="W86" i="74" s="1"/>
  <c r="W87" i="74" s="1"/>
  <c r="X82" i="74"/>
  <c r="F90" i="74"/>
  <c r="F10" i="74"/>
  <c r="O83" i="74"/>
  <c r="O86" i="74" s="1"/>
  <c r="O87" i="74" s="1"/>
  <c r="F85" i="74"/>
  <c r="I87" i="74"/>
  <c r="I86" i="74"/>
  <c r="E82" i="74"/>
  <c r="AS83" i="74"/>
  <c r="AS86" i="74" s="1"/>
  <c r="AS87" i="74" s="1"/>
  <c r="X83" i="74" l="1"/>
  <c r="X86" i="74" s="1"/>
  <c r="X87" i="74" s="1"/>
  <c r="E111" i="74"/>
  <c r="E83" i="74"/>
  <c r="E109" i="74"/>
  <c r="W118" i="74"/>
  <c r="F83" i="74" l="1"/>
  <c r="E11" i="74"/>
  <c r="E86" i="74"/>
  <c r="E87" i="74" s="1"/>
  <c r="F91" i="74" l="1"/>
  <c r="F86" i="74"/>
  <c r="F87" i="74" s="1"/>
  <c r="G83" i="66" l="1"/>
  <c r="AH84" i="66" l="1"/>
  <c r="Q2" i="72"/>
  <c r="P2" i="72"/>
  <c r="O2" i="72"/>
  <c r="N2" i="72"/>
  <c r="O66" i="72"/>
  <c r="O55" i="72"/>
  <c r="L55" i="68" l="1"/>
  <c r="H55" i="68"/>
  <c r="M2" i="68"/>
  <c r="L59" i="72"/>
  <c r="H66" i="72"/>
  <c r="I66" i="72" s="1"/>
  <c r="L116" i="72"/>
  <c r="L113" i="72"/>
  <c r="N113" i="72" s="1"/>
  <c r="L112" i="72"/>
  <c r="N112" i="72" s="1"/>
  <c r="N111" i="72"/>
  <c r="L111" i="72"/>
  <c r="P109" i="72" s="1"/>
  <c r="N110" i="72"/>
  <c r="L110" i="72"/>
  <c r="N109" i="72"/>
  <c r="L109" i="72"/>
  <c r="N108" i="72"/>
  <c r="L108" i="72"/>
  <c r="AB107" i="72"/>
  <c r="N107" i="72"/>
  <c r="L107" i="72"/>
  <c r="AB106" i="72"/>
  <c r="X106" i="72"/>
  <c r="N106" i="72"/>
  <c r="L106" i="72"/>
  <c r="AB105" i="72"/>
  <c r="N105" i="72"/>
  <c r="L105" i="72"/>
  <c r="N104" i="72"/>
  <c r="L104" i="72"/>
  <c r="T103" i="72"/>
  <c r="N103" i="72"/>
  <c r="L103" i="72"/>
  <c r="AK102" i="72"/>
  <c r="X102" i="72"/>
  <c r="L102" i="72"/>
  <c r="X107" i="72" s="1"/>
  <c r="AK101" i="72"/>
  <c r="AK103" i="72" s="1"/>
  <c r="AB101" i="72"/>
  <c r="AB109" i="72" s="1"/>
  <c r="X101" i="72"/>
  <c r="O101" i="72"/>
  <c r="L101" i="72"/>
  <c r="AB100" i="72"/>
  <c r="X100" i="72"/>
  <c r="L100" i="72"/>
  <c r="L114" i="72" s="1"/>
  <c r="L115" i="72" s="1"/>
  <c r="H94" i="72"/>
  <c r="AO91" i="72"/>
  <c r="AK91" i="72"/>
  <c r="K90" i="72"/>
  <c r="K93" i="72" s="1"/>
  <c r="AO87" i="72"/>
  <c r="AL87" i="72"/>
  <c r="AO78" i="72"/>
  <c r="AO79" i="72" s="1"/>
  <c r="AO80" i="72" s="1"/>
  <c r="AL78" i="72"/>
  <c r="AL79" i="72" s="1"/>
  <c r="AL80" i="72" s="1"/>
  <c r="AA78" i="72"/>
  <c r="BM76" i="72"/>
  <c r="AG75" i="72"/>
  <c r="AA75" i="72"/>
  <c r="S75" i="72"/>
  <c r="R111" i="72" s="1"/>
  <c r="BT74" i="72"/>
  <c r="BR74" i="72"/>
  <c r="BN74" i="72"/>
  <c r="BM74" i="72"/>
  <c r="BO74" i="72" s="1"/>
  <c r="BJ74" i="72"/>
  <c r="BH74" i="72"/>
  <c r="AM74" i="72"/>
  <c r="AN74" i="72" s="1"/>
  <c r="Z74" i="72"/>
  <c r="Y74" i="72"/>
  <c r="W74" i="72"/>
  <c r="I74" i="72"/>
  <c r="E74" i="72"/>
  <c r="F74" i="72" s="1"/>
  <c r="BT73" i="72"/>
  <c r="BR73" i="72"/>
  <c r="BN73" i="72"/>
  <c r="BO73" i="72" s="1"/>
  <c r="BM73" i="72"/>
  <c r="BJ73" i="72"/>
  <c r="BH73" i="72"/>
  <c r="AN73" i="72"/>
  <c r="AM73" i="72"/>
  <c r="Z73" i="72"/>
  <c r="W73" i="72"/>
  <c r="Y73" i="72" s="1"/>
  <c r="I73" i="72"/>
  <c r="F73" i="72"/>
  <c r="E73" i="72"/>
  <c r="BT72" i="72"/>
  <c r="BR72" i="72"/>
  <c r="BN72" i="72"/>
  <c r="BM72" i="72"/>
  <c r="BO72" i="72" s="1"/>
  <c r="BJ72" i="72"/>
  <c r="BH72" i="72"/>
  <c r="AM72" i="72"/>
  <c r="AN72" i="72" s="1"/>
  <c r="Y72" i="72"/>
  <c r="W72" i="72"/>
  <c r="Z72" i="72" s="1"/>
  <c r="I72" i="72"/>
  <c r="E72" i="72"/>
  <c r="F72" i="72" s="1"/>
  <c r="BT71" i="72"/>
  <c r="BR71" i="72"/>
  <c r="BN71" i="72"/>
  <c r="BM71" i="72"/>
  <c r="BO71" i="72" s="1"/>
  <c r="BJ71" i="72"/>
  <c r="BH71" i="72"/>
  <c r="AU71" i="72"/>
  <c r="AM71" i="72"/>
  <c r="AN71" i="72" s="1"/>
  <c r="AJ71" i="72"/>
  <c r="Z71" i="72"/>
  <c r="W71" i="72"/>
  <c r="Y71" i="72" s="1"/>
  <c r="V71" i="72"/>
  <c r="R71" i="72"/>
  <c r="Q71" i="72"/>
  <c r="I71" i="72"/>
  <c r="E71" i="72"/>
  <c r="F71" i="72" s="1"/>
  <c r="BT70" i="72"/>
  <c r="BR70" i="72"/>
  <c r="BN70" i="72"/>
  <c r="BM70" i="72"/>
  <c r="BO70" i="72" s="1"/>
  <c r="BJ70" i="72"/>
  <c r="BH70" i="72"/>
  <c r="AN70" i="72"/>
  <c r="AM70" i="72"/>
  <c r="W70" i="72"/>
  <c r="Y70" i="72" s="1"/>
  <c r="I70" i="72"/>
  <c r="F70" i="72"/>
  <c r="E70" i="72"/>
  <c r="BT69" i="72"/>
  <c r="BR69" i="72"/>
  <c r="BO69" i="72"/>
  <c r="BN69" i="72"/>
  <c r="BM69" i="72"/>
  <c r="BJ69" i="72"/>
  <c r="BH69" i="72"/>
  <c r="AM69" i="72"/>
  <c r="AN69" i="72" s="1"/>
  <c r="Z69" i="72"/>
  <c r="Y69" i="72"/>
  <c r="W69" i="72"/>
  <c r="I69" i="72"/>
  <c r="E69" i="72"/>
  <c r="F69" i="72" s="1"/>
  <c r="BT68" i="72"/>
  <c r="BR68" i="72"/>
  <c r="BN68" i="72"/>
  <c r="BO68" i="72" s="1"/>
  <c r="BM68" i="72"/>
  <c r="BJ68" i="72"/>
  <c r="BH68" i="72"/>
  <c r="AN68" i="72"/>
  <c r="AM68" i="72"/>
  <c r="W68" i="72"/>
  <c r="I68" i="72"/>
  <c r="F68" i="72"/>
  <c r="E68" i="72"/>
  <c r="BT67" i="72"/>
  <c r="BR67" i="72"/>
  <c r="BN67" i="72"/>
  <c r="BM67" i="72"/>
  <c r="BO67" i="72" s="1"/>
  <c r="BJ67" i="72"/>
  <c r="BH67" i="72"/>
  <c r="AU67" i="72"/>
  <c r="AQ67" i="72"/>
  <c r="AM67" i="72"/>
  <c r="AN67" i="72" s="1"/>
  <c r="AK67" i="72"/>
  <c r="AJ67" i="72"/>
  <c r="Y67" i="72"/>
  <c r="W67" i="72"/>
  <c r="Z67" i="72" s="1"/>
  <c r="I67" i="72"/>
  <c r="E67" i="72"/>
  <c r="F67" i="72" s="1"/>
  <c r="BT66" i="72"/>
  <c r="BR66" i="72"/>
  <c r="BQ66" i="72"/>
  <c r="BN66" i="72"/>
  <c r="BM66" i="72"/>
  <c r="BJ66" i="72"/>
  <c r="BH66" i="72"/>
  <c r="AX66" i="72"/>
  <c r="AS66" i="72"/>
  <c r="AT66" i="72" s="1"/>
  <c r="AP66" i="72"/>
  <c r="AQ66" i="72" s="1"/>
  <c r="AC66" i="72"/>
  <c r="Y66" i="72"/>
  <c r="W66" i="72"/>
  <c r="T66" i="72"/>
  <c r="R66" i="72"/>
  <c r="S66" i="72" s="1"/>
  <c r="P66" i="72"/>
  <c r="M66" i="72"/>
  <c r="BT65" i="72"/>
  <c r="BN65" i="72"/>
  <c r="BM65" i="72"/>
  <c r="BO65" i="72" s="1"/>
  <c r="BJ65" i="72"/>
  <c r="BH65" i="72"/>
  <c r="AP65" i="72"/>
  <c r="Z65" i="72"/>
  <c r="Y65" i="72"/>
  <c r="W65" i="72"/>
  <c r="R65" i="72"/>
  <c r="L65" i="72"/>
  <c r="I65" i="72"/>
  <c r="E65" i="72"/>
  <c r="F65" i="72" s="1"/>
  <c r="BT64" i="72"/>
  <c r="BN64" i="72"/>
  <c r="BM64" i="72"/>
  <c r="BO64" i="72" s="1"/>
  <c r="BJ64" i="72"/>
  <c r="BH64" i="72"/>
  <c r="AP64" i="72"/>
  <c r="W64" i="72"/>
  <c r="Z64" i="72" s="1"/>
  <c r="Y64" i="72" s="1"/>
  <c r="R64" i="72" s="1"/>
  <c r="E64" i="72" s="1"/>
  <c r="F64" i="72" s="1"/>
  <c r="L64" i="72"/>
  <c r="I64" i="72"/>
  <c r="BT63" i="72"/>
  <c r="BQ63" i="72"/>
  <c r="BR63" i="72" s="1"/>
  <c r="BN63" i="72"/>
  <c r="BM63" i="72"/>
  <c r="BP63" i="72" s="1"/>
  <c r="BJ63" i="72"/>
  <c r="BH63" i="72"/>
  <c r="AX63" i="72"/>
  <c r="AT63" i="72"/>
  <c r="AP63" i="72"/>
  <c r="AQ63" i="72" s="1"/>
  <c r="AM63" i="72"/>
  <c r="AN63" i="72" s="1"/>
  <c r="Y63" i="72"/>
  <c r="W63" i="72"/>
  <c r="T63" i="72"/>
  <c r="R63" i="72" s="1"/>
  <c r="S63" i="72"/>
  <c r="P63" i="72"/>
  <c r="L63" i="72"/>
  <c r="H63" i="72" s="1"/>
  <c r="BT62" i="72"/>
  <c r="BR62" i="72"/>
  <c r="BN62" i="72"/>
  <c r="BO62" i="72" s="1"/>
  <c r="BM62" i="72"/>
  <c r="BJ62" i="72"/>
  <c r="BH62" i="72"/>
  <c r="AQ62" i="72"/>
  <c r="AP62" i="72"/>
  <c r="AN62" i="72"/>
  <c r="AM62" i="72"/>
  <c r="Z62" i="72"/>
  <c r="Y62" i="72" s="1"/>
  <c r="W62" i="72"/>
  <c r="T62" i="72"/>
  <c r="L62" i="72"/>
  <c r="I62" i="72"/>
  <c r="BT61" i="72"/>
  <c r="BR61" i="72"/>
  <c r="BP61" i="72"/>
  <c r="BN61" i="72"/>
  <c r="BM61" i="72"/>
  <c r="BO61" i="72" s="1"/>
  <c r="BJ61" i="72"/>
  <c r="BH61" i="72"/>
  <c r="AX61" i="72"/>
  <c r="AU61" i="72"/>
  <c r="AU45" i="72" s="1"/>
  <c r="AT61" i="72"/>
  <c r="AP61" i="72"/>
  <c r="AM61" i="72"/>
  <c r="AN61" i="72" s="1"/>
  <c r="AK61" i="72"/>
  <c r="AJ61" i="72"/>
  <c r="AJ45" i="72" s="1"/>
  <c r="AJ23" i="72" s="1"/>
  <c r="AC61" i="72"/>
  <c r="Z61" i="72"/>
  <c r="Y61" i="72" s="1"/>
  <c r="W61" i="72"/>
  <c r="R61" i="72"/>
  <c r="S61" i="72" s="1"/>
  <c r="P61" i="72"/>
  <c r="M61" i="72"/>
  <c r="L61" i="72"/>
  <c r="J61" i="72"/>
  <c r="H61" i="72" s="1"/>
  <c r="I61" i="72" s="1"/>
  <c r="BT60" i="72"/>
  <c r="BR60" i="72"/>
  <c r="BN60" i="72"/>
  <c r="BM60" i="72"/>
  <c r="BJ60" i="72"/>
  <c r="BH60" i="72"/>
  <c r="AQ60" i="72"/>
  <c r="AP60" i="72"/>
  <c r="AM60" i="72" s="1"/>
  <c r="AN60" i="72" s="1"/>
  <c r="Z60" i="72"/>
  <c r="Y60" i="72" s="1"/>
  <c r="R60" i="72" s="1"/>
  <c r="E60" i="72" s="1"/>
  <c r="F60" i="72" s="1"/>
  <c r="W60" i="72"/>
  <c r="L60" i="72"/>
  <c r="I60" i="72"/>
  <c r="BV59" i="72"/>
  <c r="BT59" i="72"/>
  <c r="BR59" i="72"/>
  <c r="BQ59" i="72"/>
  <c r="BP59" i="72"/>
  <c r="BN59" i="72"/>
  <c r="BO59" i="72" s="1"/>
  <c r="BM59" i="72"/>
  <c r="BJ59" i="72"/>
  <c r="BH59" i="72"/>
  <c r="AX59" i="72"/>
  <c r="AT59" i="72"/>
  <c r="AQ59" i="72"/>
  <c r="AP59" i="72"/>
  <c r="AM59" i="72" s="1"/>
  <c r="AN59" i="72" s="1"/>
  <c r="AC59" i="72"/>
  <c r="W59" i="72"/>
  <c r="T59" i="72"/>
  <c r="R59" i="72"/>
  <c r="S59" i="72" s="1"/>
  <c r="P59" i="72"/>
  <c r="BT58" i="72"/>
  <c r="BN58" i="72"/>
  <c r="BM58" i="72"/>
  <c r="BO58" i="72" s="1"/>
  <c r="BJ58" i="72"/>
  <c r="BH58" i="72"/>
  <c r="AP58" i="72"/>
  <c r="Y58" i="72"/>
  <c r="R58" i="72" s="1"/>
  <c r="W58" i="72"/>
  <c r="Z58" i="72" s="1"/>
  <c r="L58" i="72"/>
  <c r="I58" i="72"/>
  <c r="BT57" i="72"/>
  <c r="BN57" i="72"/>
  <c r="BM57" i="72"/>
  <c r="BO57" i="72" s="1"/>
  <c r="BJ57" i="72"/>
  <c r="BH57" i="72"/>
  <c r="AP57" i="72"/>
  <c r="Y57" i="72"/>
  <c r="R57" i="72" s="1"/>
  <c r="W57" i="72"/>
  <c r="Z57" i="72" s="1"/>
  <c r="L57" i="72"/>
  <c r="I57" i="72"/>
  <c r="BT56" i="72"/>
  <c r="BN56" i="72"/>
  <c r="BM56" i="72"/>
  <c r="BO56" i="72" s="1"/>
  <c r="BJ56" i="72"/>
  <c r="BH56" i="72"/>
  <c r="AP56" i="72"/>
  <c r="W56" i="72"/>
  <c r="S56" i="72"/>
  <c r="R56" i="72"/>
  <c r="L56" i="72"/>
  <c r="I56" i="72"/>
  <c r="BT55" i="72"/>
  <c r="BQ55" i="72"/>
  <c r="BM55" i="72"/>
  <c r="BH55" i="72"/>
  <c r="AX55" i="72"/>
  <c r="AT55" i="72"/>
  <c r="AP55" i="72"/>
  <c r="AQ55" i="72" s="1"/>
  <c r="AM55" i="72"/>
  <c r="AN55" i="72" s="1"/>
  <c r="AH55" i="72"/>
  <c r="BJ55" i="72" s="1"/>
  <c r="AC55" i="72"/>
  <c r="Y55" i="72"/>
  <c r="V55" i="72"/>
  <c r="W55" i="72" s="1"/>
  <c r="R55" i="72"/>
  <c r="S55" i="72" s="1"/>
  <c r="BT54" i="72"/>
  <c r="BN54" i="72"/>
  <c r="BM54" i="72"/>
  <c r="BO54" i="72" s="1"/>
  <c r="BJ54" i="72"/>
  <c r="BH54" i="72"/>
  <c r="AP54" i="72"/>
  <c r="AI54" i="72"/>
  <c r="Z54" i="72"/>
  <c r="Y54" i="72" s="1"/>
  <c r="W54" i="72"/>
  <c r="R54" i="72"/>
  <c r="S54" i="72" s="1"/>
  <c r="L54" i="72"/>
  <c r="I54" i="72"/>
  <c r="BT53" i="72"/>
  <c r="BR53" i="72"/>
  <c r="BN53" i="72"/>
  <c r="BM53" i="72"/>
  <c r="BO53" i="72" s="1"/>
  <c r="BJ53" i="72"/>
  <c r="BH53" i="72"/>
  <c r="AQ53" i="72"/>
  <c r="AP53" i="72"/>
  <c r="AM53" i="72" s="1"/>
  <c r="AN53" i="72" s="1"/>
  <c r="AI53" i="72"/>
  <c r="Z53" i="72"/>
  <c r="Y53" i="72"/>
  <c r="R53" i="72" s="1"/>
  <c r="W53" i="72"/>
  <c r="S53" i="72"/>
  <c r="L53" i="72"/>
  <c r="I53" i="72"/>
  <c r="BT52" i="72"/>
  <c r="BO52" i="72"/>
  <c r="BN52" i="72"/>
  <c r="BM52" i="72"/>
  <c r="BJ52" i="72"/>
  <c r="BH52" i="72"/>
  <c r="AZ52" i="72"/>
  <c r="AQ52" i="72"/>
  <c r="AP52" i="72"/>
  <c r="BR52" i="72" s="1"/>
  <c r="AN52" i="72"/>
  <c r="AM52" i="72"/>
  <c r="AI52" i="72"/>
  <c r="Y52" i="72"/>
  <c r="W52" i="72"/>
  <c r="R52" i="72"/>
  <c r="S52" i="72" s="1"/>
  <c r="L52" i="72"/>
  <c r="I52" i="72"/>
  <c r="E52" i="72"/>
  <c r="F52" i="72" s="1"/>
  <c r="BT51" i="72"/>
  <c r="BR51" i="72"/>
  <c r="BN51" i="72"/>
  <c r="BO51" i="72" s="1"/>
  <c r="BM51" i="72"/>
  <c r="BJ51" i="72"/>
  <c r="BH51" i="72"/>
  <c r="AQ51" i="72"/>
  <c r="AP51" i="72"/>
  <c r="AN51" i="72"/>
  <c r="AM51" i="72"/>
  <c r="AI51" i="72"/>
  <c r="W51" i="72"/>
  <c r="L51" i="72"/>
  <c r="I51" i="72"/>
  <c r="F51" i="72"/>
  <c r="E51" i="72"/>
  <c r="BT50" i="72"/>
  <c r="BQ50" i="72"/>
  <c r="BM50" i="72"/>
  <c r="BJ50" i="72"/>
  <c r="BH50" i="72"/>
  <c r="AZ50" i="72"/>
  <c r="AX50" i="72"/>
  <c r="AT50" i="72"/>
  <c r="AQ50" i="72"/>
  <c r="AP50" i="72"/>
  <c r="AN50" i="72"/>
  <c r="AM50" i="72"/>
  <c r="AI50" i="72"/>
  <c r="AH50" i="72"/>
  <c r="AC50" i="72"/>
  <c r="W50" i="72"/>
  <c r="S50" i="72"/>
  <c r="R50" i="72"/>
  <c r="P50" i="72"/>
  <c r="L50" i="72"/>
  <c r="M50" i="72" s="1"/>
  <c r="H50" i="72"/>
  <c r="BT49" i="72"/>
  <c r="BR49" i="72"/>
  <c r="BP49" i="72"/>
  <c r="BN49" i="72"/>
  <c r="BM49" i="72"/>
  <c r="BO49" i="72" s="1"/>
  <c r="BJ49" i="72"/>
  <c r="BH49" i="72"/>
  <c r="AX49" i="72"/>
  <c r="AT49" i="72"/>
  <c r="AP49" i="72"/>
  <c r="AQ49" i="72" s="1"/>
  <c r="AM49" i="72"/>
  <c r="Z49" i="72"/>
  <c r="Y49" i="72"/>
  <c r="W49" i="72"/>
  <c r="L49" i="72"/>
  <c r="I49" i="72"/>
  <c r="BT48" i="72"/>
  <c r="BR48" i="72"/>
  <c r="BP48" i="72"/>
  <c r="BN48" i="72"/>
  <c r="BM48" i="72"/>
  <c r="BJ48" i="72"/>
  <c r="BH48" i="72"/>
  <c r="BA48" i="72"/>
  <c r="AX48" i="72"/>
  <c r="AT48" i="72"/>
  <c r="AP48" i="72"/>
  <c r="AC48" i="72"/>
  <c r="W48" i="72"/>
  <c r="R48" i="72"/>
  <c r="S48" i="72" s="1"/>
  <c r="P48" i="72"/>
  <c r="M48" i="72"/>
  <c r="L48" i="72"/>
  <c r="H48" i="72" s="1"/>
  <c r="BR47" i="72"/>
  <c r="BN47" i="72"/>
  <c r="BM47" i="72"/>
  <c r="BH47" i="72"/>
  <c r="BH45" i="72" s="1"/>
  <c r="AM47" i="72"/>
  <c r="AN47" i="72" s="1"/>
  <c r="W47" i="72"/>
  <c r="Y47" i="72" s="1"/>
  <c r="I47" i="72"/>
  <c r="F47" i="72"/>
  <c r="E47" i="72"/>
  <c r="BR46" i="72"/>
  <c r="BN46" i="72"/>
  <c r="BM46" i="72"/>
  <c r="BO46" i="72" s="1"/>
  <c r="BH46" i="72"/>
  <c r="AM46" i="72"/>
  <c r="AN46" i="72" s="1"/>
  <c r="Z46" i="72"/>
  <c r="Y46" i="72"/>
  <c r="W46" i="72"/>
  <c r="I46" i="72"/>
  <c r="E46" i="72"/>
  <c r="F46" i="72" s="1"/>
  <c r="BS45" i="72"/>
  <c r="BM45" i="72"/>
  <c r="BI45" i="72"/>
  <c r="BG45" i="72"/>
  <c r="AW45" i="72"/>
  <c r="AX45" i="72" s="1"/>
  <c r="AV45" i="72"/>
  <c r="AS45" i="72"/>
  <c r="AT45" i="72" s="1"/>
  <c r="AR45" i="72"/>
  <c r="AK45" i="72"/>
  <c r="AI45" i="72"/>
  <c r="AH45" i="72"/>
  <c r="AC45" i="72"/>
  <c r="AB45" i="72"/>
  <c r="X45" i="72"/>
  <c r="V45" i="72"/>
  <c r="W45" i="72" s="1"/>
  <c r="U45" i="72"/>
  <c r="Q45" i="72"/>
  <c r="N45" i="72"/>
  <c r="K45" i="72"/>
  <c r="D45" i="72"/>
  <c r="BR44" i="72"/>
  <c r="BN44" i="72"/>
  <c r="BM44" i="72"/>
  <c r="BH44" i="72"/>
  <c r="AM44" i="72"/>
  <c r="AN44" i="72" s="1"/>
  <c r="Z44" i="72"/>
  <c r="Y44" i="72"/>
  <c r="W44" i="72"/>
  <c r="I44" i="72"/>
  <c r="E44" i="72"/>
  <c r="F44" i="72" s="1"/>
  <c r="BR43" i="72"/>
  <c r="BO43" i="72"/>
  <c r="BN43" i="72"/>
  <c r="BM43" i="72"/>
  <c r="BH43" i="72"/>
  <c r="AN43" i="72"/>
  <c r="AM43" i="72"/>
  <c r="W43" i="72"/>
  <c r="I43" i="72"/>
  <c r="F43" i="72"/>
  <c r="E43" i="72"/>
  <c r="BR42" i="72"/>
  <c r="BN42" i="72"/>
  <c r="BO42" i="72" s="1"/>
  <c r="BM42" i="72"/>
  <c r="BH42" i="72"/>
  <c r="AU42" i="72"/>
  <c r="AN42" i="72"/>
  <c r="AM42" i="72"/>
  <c r="Z42" i="72"/>
  <c r="W42" i="72"/>
  <c r="Y42" i="72" s="1"/>
  <c r="I42" i="72"/>
  <c r="F42" i="72"/>
  <c r="E42" i="72"/>
  <c r="D42" i="72"/>
  <c r="BR41" i="72"/>
  <c r="BO41" i="72"/>
  <c r="BN41" i="72"/>
  <c r="BM41" i="72"/>
  <c r="BH41" i="72"/>
  <c r="AN41" i="72"/>
  <c r="AM41" i="72"/>
  <c r="W41" i="72"/>
  <c r="I41" i="72"/>
  <c r="F41" i="72"/>
  <c r="E41" i="72"/>
  <c r="BT40" i="72"/>
  <c r="BQ40" i="72"/>
  <c r="BR40" i="72" s="1"/>
  <c r="BM40" i="72"/>
  <c r="BP40" i="72" s="1"/>
  <c r="BJ40" i="72"/>
  <c r="BH40" i="72"/>
  <c r="AX40" i="72"/>
  <c r="AT40" i="72"/>
  <c r="AP40" i="72"/>
  <c r="Y40" i="72"/>
  <c r="W40" i="72"/>
  <c r="Z40" i="72" s="1"/>
  <c r="M40" i="72"/>
  <c r="L40" i="72"/>
  <c r="I40" i="72"/>
  <c r="H40" i="72"/>
  <c r="BT39" i="72"/>
  <c r="BT36" i="72" s="1"/>
  <c r="BT33" i="72" s="1"/>
  <c r="BQ39" i="72"/>
  <c r="BM39" i="72"/>
  <c r="BP39" i="72" s="1"/>
  <c r="BP36" i="72" s="1"/>
  <c r="BJ39" i="72"/>
  <c r="BH39" i="72"/>
  <c r="AX39" i="72"/>
  <c r="AT39" i="72"/>
  <c r="AP39" i="72"/>
  <c r="AQ39" i="72" s="1"/>
  <c r="AC39" i="72"/>
  <c r="W39" i="72"/>
  <c r="Y39" i="72" s="1"/>
  <c r="Y36" i="72" s="1"/>
  <c r="R39" i="72"/>
  <c r="S39" i="72" s="1"/>
  <c r="L39" i="72"/>
  <c r="M39" i="72" s="1"/>
  <c r="BT38" i="72"/>
  <c r="BR38" i="72"/>
  <c r="BP38" i="72"/>
  <c r="BN38" i="72"/>
  <c r="BM38" i="72"/>
  <c r="BO38" i="72" s="1"/>
  <c r="BJ38" i="72"/>
  <c r="BH38" i="72"/>
  <c r="BH36" i="72" s="1"/>
  <c r="AX38" i="72"/>
  <c r="AT38" i="72"/>
  <c r="AP38" i="72"/>
  <c r="AM38" i="72"/>
  <c r="AN38" i="72" s="1"/>
  <c r="AC38" i="72"/>
  <c r="W38" i="72"/>
  <c r="R38" i="72"/>
  <c r="S38" i="72" s="1"/>
  <c r="P38" i="72"/>
  <c r="M38" i="72"/>
  <c r="L38" i="72"/>
  <c r="I38" i="72"/>
  <c r="H38" i="72"/>
  <c r="E38" i="72" s="1"/>
  <c r="F38" i="72" s="1"/>
  <c r="BR37" i="72"/>
  <c r="BN37" i="72"/>
  <c r="BO37" i="72" s="1"/>
  <c r="BM37" i="72"/>
  <c r="BH37" i="72"/>
  <c r="AM37" i="72"/>
  <c r="AN37" i="72" s="1"/>
  <c r="Y37" i="72"/>
  <c r="W37" i="72"/>
  <c r="Z37" i="72" s="1"/>
  <c r="I37" i="72"/>
  <c r="E37" i="72"/>
  <c r="F37" i="72" s="1"/>
  <c r="BS36" i="72"/>
  <c r="BS33" i="72" s="1"/>
  <c r="BS23" i="72" s="1"/>
  <c r="BS76" i="72" s="1"/>
  <c r="BQ36" i="72"/>
  <c r="BN36" i="72" s="1"/>
  <c r="BM36" i="72"/>
  <c r="BO36" i="72" s="1"/>
  <c r="BJ36" i="72"/>
  <c r="BJ33" i="72" s="1"/>
  <c r="BI36" i="72"/>
  <c r="BI33" i="72" s="1"/>
  <c r="BI23" i="72" s="1"/>
  <c r="BI76" i="72" s="1"/>
  <c r="BG36" i="72"/>
  <c r="AW36" i="72"/>
  <c r="AX36" i="72" s="1"/>
  <c r="AV36" i="72"/>
  <c r="AU36" i="72"/>
  <c r="AS36" i="72"/>
  <c r="AT36" i="72" s="1"/>
  <c r="AR36" i="72"/>
  <c r="AO36" i="72"/>
  <c r="AK36" i="72"/>
  <c r="AJ36" i="72"/>
  <c r="AB36" i="72"/>
  <c r="AC36" i="72" s="1"/>
  <c r="X36" i="72"/>
  <c r="V36" i="72"/>
  <c r="W36" i="72" s="1"/>
  <c r="T36" i="72"/>
  <c r="R36" i="72"/>
  <c r="S36" i="72" s="1"/>
  <c r="Q36" i="72"/>
  <c r="Q33" i="72" s="1"/>
  <c r="O36" i="72"/>
  <c r="N36" i="72"/>
  <c r="P36" i="72" s="1"/>
  <c r="K36" i="72"/>
  <c r="J36" i="72"/>
  <c r="J33" i="72" s="1"/>
  <c r="D36" i="72"/>
  <c r="D33" i="72" s="1"/>
  <c r="BR35" i="72"/>
  <c r="BN35" i="72"/>
  <c r="BP35" i="72" s="1"/>
  <c r="BP34" i="72" s="1"/>
  <c r="BM35" i="72"/>
  <c r="BO35" i="72" s="1"/>
  <c r="BH35" i="72"/>
  <c r="AP35" i="72"/>
  <c r="AM35" i="72"/>
  <c r="AN35" i="72" s="1"/>
  <c r="W35" i="72"/>
  <c r="Z35" i="72" s="1"/>
  <c r="I35" i="72"/>
  <c r="E35" i="72"/>
  <c r="F35" i="72" s="1"/>
  <c r="BR34" i="72"/>
  <c r="BQ34" i="72"/>
  <c r="BQ33" i="72" s="1"/>
  <c r="BN34" i="72"/>
  <c r="BM34" i="72"/>
  <c r="BO34" i="72" s="1"/>
  <c r="BH34" i="72"/>
  <c r="AU34" i="72"/>
  <c r="AP34" i="72"/>
  <c r="AK34" i="72"/>
  <c r="AK33" i="72" s="1"/>
  <c r="AJ34" i="72"/>
  <c r="Z34" i="72"/>
  <c r="X34" i="72"/>
  <c r="W34" i="72"/>
  <c r="V34" i="72"/>
  <c r="G34" i="72"/>
  <c r="I34" i="72" s="1"/>
  <c r="BM33" i="72"/>
  <c r="BH33" i="72"/>
  <c r="BG33" i="72"/>
  <c r="AW33" i="72"/>
  <c r="AX33" i="72" s="1"/>
  <c r="AV33" i="72"/>
  <c r="AU33" i="72"/>
  <c r="AS33" i="72"/>
  <c r="AR33" i="72"/>
  <c r="AR23" i="72" s="1"/>
  <c r="AO33" i="72"/>
  <c r="AJ33" i="72"/>
  <c r="X33" i="72"/>
  <c r="T33" i="72"/>
  <c r="O33" i="72"/>
  <c r="N33" i="72"/>
  <c r="P33" i="72" s="1"/>
  <c r="K33" i="72"/>
  <c r="BR32" i="72"/>
  <c r="BO32" i="72"/>
  <c r="BN32" i="72"/>
  <c r="BM32" i="72"/>
  <c r="BH32" i="72"/>
  <c r="AN32" i="72"/>
  <c r="AM32" i="72"/>
  <c r="Y32" i="72"/>
  <c r="W32" i="72"/>
  <c r="Z32" i="72" s="1"/>
  <c r="I32" i="72"/>
  <c r="E32" i="72"/>
  <c r="F32" i="72" s="1"/>
  <c r="BR31" i="72"/>
  <c r="BN31" i="72"/>
  <c r="BM31" i="72"/>
  <c r="BO31" i="72" s="1"/>
  <c r="BH31" i="72"/>
  <c r="AN31" i="72"/>
  <c r="AM31" i="72"/>
  <c r="Z31" i="72"/>
  <c r="Y31" i="72"/>
  <c r="W31" i="72"/>
  <c r="I31" i="72"/>
  <c r="E31" i="72"/>
  <c r="F31" i="72" s="1"/>
  <c r="BR30" i="72"/>
  <c r="BN30" i="72"/>
  <c r="BM30" i="72"/>
  <c r="BH30" i="72"/>
  <c r="AM30" i="72"/>
  <c r="AN30" i="72" s="1"/>
  <c r="Z30" i="72"/>
  <c r="Y30" i="72"/>
  <c r="W30" i="72"/>
  <c r="I30" i="72"/>
  <c r="F30" i="72"/>
  <c r="E30" i="72"/>
  <c r="BN29" i="72"/>
  <c r="BM29" i="72"/>
  <c r="BO29" i="72" s="1"/>
  <c r="BH29" i="72"/>
  <c r="AU29" i="72"/>
  <c r="AU23" i="72" s="1"/>
  <c r="AP29" i="72"/>
  <c r="AJ29" i="72"/>
  <c r="Z29" i="72"/>
  <c r="Y29" i="72"/>
  <c r="W29" i="72"/>
  <c r="G29" i="72"/>
  <c r="I29" i="72" s="1"/>
  <c r="F29" i="72"/>
  <c r="E29" i="72"/>
  <c r="BT28" i="72"/>
  <c r="BR28" i="72"/>
  <c r="BN28" i="72"/>
  <c r="BM28" i="72"/>
  <c r="BP28" i="72" s="1"/>
  <c r="BJ28" i="72"/>
  <c r="BH28" i="72"/>
  <c r="AX28" i="72"/>
  <c r="AT28" i="72"/>
  <c r="AQ28" i="72"/>
  <c r="AP28" i="72"/>
  <c r="AN28" i="72"/>
  <c r="AM28" i="72"/>
  <c r="P28" i="72"/>
  <c r="L28" i="72"/>
  <c r="M28" i="72" s="1"/>
  <c r="I28" i="72"/>
  <c r="H28" i="72"/>
  <c r="H24" i="72" s="1"/>
  <c r="E28" i="72"/>
  <c r="F28" i="72" s="1"/>
  <c r="BT27" i="72"/>
  <c r="BR27" i="72"/>
  <c r="BR24" i="72" s="1"/>
  <c r="BQ27" i="72"/>
  <c r="BN27" i="72"/>
  <c r="BP27" i="72" s="1"/>
  <c r="BM27" i="72"/>
  <c r="BJ27" i="72"/>
  <c r="AX27" i="72"/>
  <c r="AT27" i="72"/>
  <c r="AQ27" i="72"/>
  <c r="AP27" i="72"/>
  <c r="AM27" i="72" s="1"/>
  <c r="AN27" i="72"/>
  <c r="AI27" i="72"/>
  <c r="AF27" i="72"/>
  <c r="AE27" i="72"/>
  <c r="BH27" i="72" s="1"/>
  <c r="BH24" i="72" s="1"/>
  <c r="BH23" i="72" s="1"/>
  <c r="AC27" i="72"/>
  <c r="W27" i="72"/>
  <c r="S27" i="72"/>
  <c r="R27" i="72"/>
  <c r="Q27" i="72"/>
  <c r="P27" i="72"/>
  <c r="I27" i="72"/>
  <c r="F27" i="72"/>
  <c r="E27" i="72"/>
  <c r="BT26" i="72"/>
  <c r="BR26" i="72"/>
  <c r="BP26" i="72"/>
  <c r="BN26" i="72"/>
  <c r="BM26" i="72"/>
  <c r="BO26" i="72" s="1"/>
  <c r="BJ26" i="72"/>
  <c r="BH26" i="72"/>
  <c r="AX26" i="72"/>
  <c r="AT26" i="72"/>
  <c r="AQ26" i="72"/>
  <c r="AP26" i="72"/>
  <c r="AP24" i="72" s="1"/>
  <c r="AM26" i="72"/>
  <c r="AI26" i="72"/>
  <c r="AF26" i="72"/>
  <c r="AE26" i="72"/>
  <c r="AC26" i="72"/>
  <c r="W26" i="72"/>
  <c r="R26" i="72"/>
  <c r="Q26" i="72"/>
  <c r="Q24" i="72" s="1"/>
  <c r="Q23" i="72" s="1"/>
  <c r="P26" i="72"/>
  <c r="M26" i="72"/>
  <c r="J26" i="72"/>
  <c r="L26" i="72" s="1"/>
  <c r="I26" i="72"/>
  <c r="BN25" i="72"/>
  <c r="BM25" i="72"/>
  <c r="BO25" i="72" s="1"/>
  <c r="AM25" i="72"/>
  <c r="AN25" i="72" s="1"/>
  <c r="Z25" i="72"/>
  <c r="Y25" i="72"/>
  <c r="W25" i="72"/>
  <c r="I25" i="72"/>
  <c r="F25" i="72"/>
  <c r="E25" i="72"/>
  <c r="BS24" i="72"/>
  <c r="BQ24" i="72"/>
  <c r="BN24" i="72"/>
  <c r="BM24" i="72"/>
  <c r="BO24" i="72" s="1"/>
  <c r="BI24" i="72"/>
  <c r="BG24" i="72"/>
  <c r="BG23" i="72" s="1"/>
  <c r="BG76" i="72" s="1"/>
  <c r="AW24" i="72"/>
  <c r="AV24" i="72"/>
  <c r="AU24" i="72"/>
  <c r="AS24" i="72"/>
  <c r="AR24" i="72"/>
  <c r="AQ24" i="72"/>
  <c r="AO24" i="72"/>
  <c r="AK24" i="72"/>
  <c r="AJ24" i="72"/>
  <c r="AI24" i="72"/>
  <c r="AH24" i="72"/>
  <c r="AH23" i="72" s="1"/>
  <c r="AI23" i="72" s="1"/>
  <c r="AE24" i="72"/>
  <c r="AF24" i="72" s="1"/>
  <c r="AB24" i="72"/>
  <c r="Z24" i="72"/>
  <c r="Y24" i="72"/>
  <c r="X24" i="72"/>
  <c r="W24" i="72"/>
  <c r="V24" i="72"/>
  <c r="T24" i="72"/>
  <c r="R24" i="72"/>
  <c r="O24" i="72"/>
  <c r="P24" i="72" s="1"/>
  <c r="N24" i="72"/>
  <c r="K24" i="72"/>
  <c r="G24" i="72"/>
  <c r="G23" i="72" s="1"/>
  <c r="D24" i="72"/>
  <c r="BM23" i="72"/>
  <c r="BM75" i="72" s="1"/>
  <c r="AV23" i="72"/>
  <c r="AK23" i="72"/>
  <c r="U23" i="72"/>
  <c r="N23" i="72"/>
  <c r="K23" i="72"/>
  <c r="D23" i="72"/>
  <c r="AX22" i="72"/>
  <c r="AT22" i="72"/>
  <c r="AN22" i="72"/>
  <c r="AM22" i="72"/>
  <c r="E22" i="72" s="1"/>
  <c r="F22" i="72" s="1"/>
  <c r="W22" i="72"/>
  <c r="Z22" i="72" s="1"/>
  <c r="I22" i="72"/>
  <c r="D22" i="72"/>
  <c r="AX21" i="72"/>
  <c r="AT21" i="72"/>
  <c r="AP21" i="72"/>
  <c r="AM21" i="72" s="1"/>
  <c r="Z21" i="72"/>
  <c r="Y21" i="72"/>
  <c r="I21" i="72"/>
  <c r="D21" i="72"/>
  <c r="AM20" i="72"/>
  <c r="AN20" i="72" s="1"/>
  <c r="AI20" i="72"/>
  <c r="AF20" i="72"/>
  <c r="AC20" i="72"/>
  <c r="Y20" i="72"/>
  <c r="Y11" i="72" s="1"/>
  <c r="V20" i="72"/>
  <c r="R20" i="72" s="1"/>
  <c r="I20" i="72"/>
  <c r="D20" i="72"/>
  <c r="AM19" i="72"/>
  <c r="AN19" i="72" s="1"/>
  <c r="Z19" i="72"/>
  <c r="Y19" i="72"/>
  <c r="W19" i="72"/>
  <c r="I19" i="72"/>
  <c r="E19" i="72"/>
  <c r="F19" i="72" s="1"/>
  <c r="AM18" i="72"/>
  <c r="AN18" i="72" s="1"/>
  <c r="Z18" i="72"/>
  <c r="Y18" i="72"/>
  <c r="W18" i="72"/>
  <c r="I18" i="72"/>
  <c r="E18" i="72"/>
  <c r="F18" i="72" s="1"/>
  <c r="AQ17" i="72"/>
  <c r="AP17" i="72"/>
  <c r="AM17" i="72" s="1"/>
  <c r="Z17" i="72"/>
  <c r="W17" i="72"/>
  <c r="Y17" i="72" s="1"/>
  <c r="I17" i="72"/>
  <c r="D17" i="72"/>
  <c r="AP16" i="72"/>
  <c r="AM16" i="72" s="1"/>
  <c r="AN16" i="72" s="1"/>
  <c r="Y16" i="72"/>
  <c r="W16" i="72"/>
  <c r="Z16" i="72" s="1"/>
  <c r="I16" i="72"/>
  <c r="E16" i="72"/>
  <c r="F16" i="72" s="1"/>
  <c r="D16" i="72"/>
  <c r="BQ15" i="72"/>
  <c r="AX15" i="72"/>
  <c r="AT15" i="72"/>
  <c r="AP15" i="72"/>
  <c r="AQ15" i="72" s="1"/>
  <c r="AM15" i="72"/>
  <c r="AN15" i="72" s="1"/>
  <c r="Z15" i="72"/>
  <c r="Y15" i="72"/>
  <c r="W15" i="72"/>
  <c r="J15" i="72"/>
  <c r="D15" i="72"/>
  <c r="BQ14" i="72"/>
  <c r="BQ16" i="72" s="1"/>
  <c r="AW14" i="72"/>
  <c r="AX14" i="72" s="1"/>
  <c r="AS14" i="72"/>
  <c r="AT14" i="72" s="1"/>
  <c r="AP14" i="72"/>
  <c r="AM14" i="72" s="1"/>
  <c r="AN14" i="72" s="1"/>
  <c r="AK14" i="72"/>
  <c r="Z14" i="72"/>
  <c r="W14" i="72"/>
  <c r="Y14" i="72" s="1"/>
  <c r="D14" i="72"/>
  <c r="BA13" i="72"/>
  <c r="AN13" i="72"/>
  <c r="Z13" i="72"/>
  <c r="W13" i="72"/>
  <c r="Y13" i="72" s="1"/>
  <c r="E13" i="72"/>
  <c r="F13" i="72" s="1"/>
  <c r="AN12" i="72"/>
  <c r="Z12" i="72"/>
  <c r="W12" i="72"/>
  <c r="Y12" i="72" s="1"/>
  <c r="E12" i="72"/>
  <c r="F12" i="72" s="1"/>
  <c r="BW11" i="72"/>
  <c r="BU12" i="72" s="1"/>
  <c r="BS11" i="72"/>
  <c r="BP11" i="72"/>
  <c r="BO11" i="72"/>
  <c r="BM11" i="72"/>
  <c r="BJ11" i="72"/>
  <c r="BI11" i="72"/>
  <c r="AW11" i="72"/>
  <c r="AX11" i="72" s="1"/>
  <c r="AV11" i="72"/>
  <c r="AR11" i="72"/>
  <c r="BB13" i="72" s="1"/>
  <c r="AK11" i="72"/>
  <c r="AK76" i="72" s="1"/>
  <c r="AI11" i="72"/>
  <c r="AH11" i="72"/>
  <c r="AF11" i="72"/>
  <c r="BH11" i="72" s="1"/>
  <c r="AE11" i="72"/>
  <c r="AC11" i="72"/>
  <c r="AB11" i="72"/>
  <c r="Z11" i="72"/>
  <c r="X11" i="72"/>
  <c r="V11" i="72"/>
  <c r="T11" i="72"/>
  <c r="N11" i="72"/>
  <c r="K11" i="72"/>
  <c r="M5" i="72" s="1"/>
  <c r="N5" i="72" s="1"/>
  <c r="G11" i="72"/>
  <c r="D11" i="72"/>
  <c r="D76" i="72" s="1"/>
  <c r="H4" i="72"/>
  <c r="L2" i="68"/>
  <c r="L66" i="68"/>
  <c r="AG75" i="68"/>
  <c r="AA75" i="68"/>
  <c r="S75" i="68"/>
  <c r="W74" i="68"/>
  <c r="Z74" i="68" s="1"/>
  <c r="Z73" i="68"/>
  <c r="Y73" i="68"/>
  <c r="W73" i="68"/>
  <c r="Z72" i="68"/>
  <c r="Y72" i="68"/>
  <c r="W72" i="68"/>
  <c r="AJ71" i="68"/>
  <c r="Z71" i="68"/>
  <c r="Y71" i="68"/>
  <c r="W71" i="68"/>
  <c r="V71" i="68"/>
  <c r="R71" i="68"/>
  <c r="Q71" i="68"/>
  <c r="W70" i="68"/>
  <c r="Z70" i="68" s="1"/>
  <c r="Z69" i="68"/>
  <c r="Y69" i="68"/>
  <c r="W69" i="68"/>
  <c r="Z68" i="68"/>
  <c r="Y68" i="68"/>
  <c r="W68" i="68"/>
  <c r="AK67" i="68"/>
  <c r="AJ67" i="68"/>
  <c r="Z67" i="68"/>
  <c r="Y67" i="68"/>
  <c r="W67" i="68"/>
  <c r="AC66" i="68"/>
  <c r="Y66" i="68"/>
  <c r="W66" i="68"/>
  <c r="T66" i="68"/>
  <c r="R66" i="68"/>
  <c r="S66" i="68" s="1"/>
  <c r="W65" i="68"/>
  <c r="Z65" i="68" s="1"/>
  <c r="Y65" i="68" s="1"/>
  <c r="R65" i="68" s="1"/>
  <c r="W64" i="68"/>
  <c r="Z64" i="68" s="1"/>
  <c r="Y64" i="68" s="1"/>
  <c r="R64" i="68" s="1"/>
  <c r="Y63" i="68"/>
  <c r="W63" i="68"/>
  <c r="T63" i="68"/>
  <c r="R63" i="68" s="1"/>
  <c r="S63" i="68" s="1"/>
  <c r="W62" i="68"/>
  <c r="Z62" i="68" s="1"/>
  <c r="Y62" i="68" s="1"/>
  <c r="R62" i="68" s="1"/>
  <c r="S62" i="68" s="1"/>
  <c r="T62" i="68"/>
  <c r="AK61" i="68"/>
  <c r="AK45" i="68" s="1"/>
  <c r="AK23" i="68" s="1"/>
  <c r="AJ61" i="68"/>
  <c r="AC61" i="68"/>
  <c r="Z61" i="68"/>
  <c r="Y61" i="68"/>
  <c r="R61" i="68" s="1"/>
  <c r="S61" i="68" s="1"/>
  <c r="W61" i="68"/>
  <c r="Z60" i="68"/>
  <c r="Y60" i="68" s="1"/>
  <c r="R60" i="68" s="1"/>
  <c r="W60" i="68"/>
  <c r="AC59" i="68"/>
  <c r="W59" i="68"/>
  <c r="T59" i="68"/>
  <c r="R59" i="68"/>
  <c r="S59" i="68" s="1"/>
  <c r="W58" i="68"/>
  <c r="Z58" i="68" s="1"/>
  <c r="Y58" i="68" s="1"/>
  <c r="R58" i="68" s="1"/>
  <c r="S58" i="68" s="1"/>
  <c r="W57" i="68"/>
  <c r="Z57" i="68" s="1"/>
  <c r="Y57" i="68" s="1"/>
  <c r="R57" i="68" s="1"/>
  <c r="S57" i="68" s="1"/>
  <c r="W56" i="68"/>
  <c r="S56" i="68"/>
  <c r="R56" i="68"/>
  <c r="AH55" i="68"/>
  <c r="AI55" i="68" s="1"/>
  <c r="AC55" i="68"/>
  <c r="Y55" i="68"/>
  <c r="V55" i="68"/>
  <c r="R55" i="68" s="1"/>
  <c r="S55" i="68" s="1"/>
  <c r="AI54" i="68"/>
  <c r="Z54" i="68"/>
  <c r="Y54" i="68"/>
  <c r="R54" i="68" s="1"/>
  <c r="S54" i="68" s="1"/>
  <c r="W54" i="68"/>
  <c r="AI53" i="68"/>
  <c r="W53" i="68"/>
  <c r="Z53" i="68" s="1"/>
  <c r="Y53" i="68" s="1"/>
  <c r="R53" i="68" s="1"/>
  <c r="S53" i="68" s="1"/>
  <c r="AI52" i="68"/>
  <c r="Y52" i="68"/>
  <c r="R52" i="68" s="1"/>
  <c r="S52" i="68" s="1"/>
  <c r="W52" i="68"/>
  <c r="AI51" i="68"/>
  <c r="Z51" i="68"/>
  <c r="Y51" i="68" s="1"/>
  <c r="W51" i="68"/>
  <c r="AH50" i="68"/>
  <c r="AI50" i="68" s="1"/>
  <c r="AC50" i="68"/>
  <c r="W50" i="68"/>
  <c r="R50" i="68"/>
  <c r="W49" i="68"/>
  <c r="Z49" i="68" s="1"/>
  <c r="AC48" i="68"/>
  <c r="W48" i="68"/>
  <c r="R48" i="68"/>
  <c r="S48" i="68" s="1"/>
  <c r="Y47" i="68"/>
  <c r="W47" i="68"/>
  <c r="W46" i="68"/>
  <c r="Y46" i="68" s="1"/>
  <c r="AJ45" i="68"/>
  <c r="AH45" i="68"/>
  <c r="AI45" i="68" s="1"/>
  <c r="AC45" i="68"/>
  <c r="AB45" i="68"/>
  <c r="X45" i="68"/>
  <c r="V45" i="68"/>
  <c r="W45" i="68" s="1"/>
  <c r="U45" i="68"/>
  <c r="U23" i="68" s="1"/>
  <c r="Q45" i="68"/>
  <c r="Q23" i="68" s="1"/>
  <c r="W44" i="68"/>
  <c r="Z44" i="68" s="1"/>
  <c r="Z43" i="68"/>
  <c r="Y43" i="68"/>
  <c r="W43" i="68"/>
  <c r="Z42" i="68"/>
  <c r="Y42" i="68"/>
  <c r="W42" i="68"/>
  <c r="W41" i="68"/>
  <c r="Y41" i="68" s="1"/>
  <c r="W40" i="68"/>
  <c r="Z40" i="68" s="1"/>
  <c r="AC39" i="68"/>
  <c r="W39" i="68"/>
  <c r="Z39" i="68" s="1"/>
  <c r="Z36" i="68" s="1"/>
  <c r="S39" i="68"/>
  <c r="R39" i="68"/>
  <c r="AC38" i="68"/>
  <c r="W38" i="68"/>
  <c r="S38" i="68"/>
  <c r="R38" i="68"/>
  <c r="W37" i="68"/>
  <c r="Y37" i="68" s="1"/>
  <c r="AK36" i="68"/>
  <c r="AJ36" i="68"/>
  <c r="AB36" i="68"/>
  <c r="AC36" i="68" s="1"/>
  <c r="X36" i="68"/>
  <c r="X33" i="68" s="1"/>
  <c r="X23" i="68" s="1"/>
  <c r="W36" i="68"/>
  <c r="V36" i="68"/>
  <c r="T36" i="68"/>
  <c r="R36" i="68"/>
  <c r="S36" i="68" s="1"/>
  <c r="Q36" i="68"/>
  <c r="W35" i="68"/>
  <c r="Y35" i="68" s="1"/>
  <c r="AK34" i="68"/>
  <c r="AJ34" i="68"/>
  <c r="X34" i="68"/>
  <c r="V34" i="68"/>
  <c r="W34" i="68" s="1"/>
  <c r="AK33" i="68"/>
  <c r="AJ33" i="68"/>
  <c r="V33" i="68"/>
  <c r="W33" i="68" s="1"/>
  <c r="T33" i="68"/>
  <c r="Q33" i="68"/>
  <c r="W32" i="68"/>
  <c r="Z32" i="68" s="1"/>
  <c r="Z31" i="68"/>
  <c r="W31" i="68"/>
  <c r="Y31" i="68" s="1"/>
  <c r="Z30" i="68"/>
  <c r="Y30" i="68"/>
  <c r="W30" i="68"/>
  <c r="AJ29" i="68"/>
  <c r="Z29" i="68"/>
  <c r="Y29" i="68"/>
  <c r="W29" i="68"/>
  <c r="AI27" i="68"/>
  <c r="AC27" i="68"/>
  <c r="W27" i="68"/>
  <c r="Q27" i="68"/>
  <c r="AI26" i="68"/>
  <c r="AE26" i="68"/>
  <c r="AC26" i="68"/>
  <c r="W26" i="68"/>
  <c r="Q26" i="68"/>
  <c r="W25" i="68"/>
  <c r="Z25" i="68" s="1"/>
  <c r="AK24" i="68"/>
  <c r="AJ24" i="68"/>
  <c r="AH24" i="68"/>
  <c r="AH23" i="68" s="1"/>
  <c r="AI23" i="68" s="1"/>
  <c r="AB24" i="68"/>
  <c r="Z24" i="68"/>
  <c r="Y24" i="68"/>
  <c r="X24" i="68"/>
  <c r="W24" i="68"/>
  <c r="V24" i="68"/>
  <c r="T24" i="68"/>
  <c r="Q24" i="68"/>
  <c r="AJ23" i="68"/>
  <c r="Z22" i="68"/>
  <c r="Y22" i="68"/>
  <c r="W22" i="68"/>
  <c r="Z21" i="68"/>
  <c r="Y21" i="68"/>
  <c r="AI20" i="68"/>
  <c r="AF20" i="68"/>
  <c r="AC20" i="68"/>
  <c r="Y20" i="68"/>
  <c r="V20" i="68" s="1"/>
  <c r="W19" i="68"/>
  <c r="Z19" i="68" s="1"/>
  <c r="Z18" i="68"/>
  <c r="W18" i="68"/>
  <c r="Y18" i="68" s="1"/>
  <c r="Z17" i="68"/>
  <c r="Y17" i="68"/>
  <c r="W17" i="68"/>
  <c r="W16" i="68"/>
  <c r="Y16" i="68" s="1"/>
  <c r="W15" i="68"/>
  <c r="Z15" i="68" s="1"/>
  <c r="AK14" i="68"/>
  <c r="AK11" i="68" s="1"/>
  <c r="W14" i="68"/>
  <c r="Z14" i="68" s="1"/>
  <c r="Z13" i="68"/>
  <c r="W13" i="68"/>
  <c r="Y13" i="68" s="1"/>
  <c r="Z12" i="68"/>
  <c r="Y12" i="68"/>
  <c r="W12" i="68"/>
  <c r="AH11" i="68"/>
  <c r="AI11" i="68" s="1"/>
  <c r="AE11" i="68"/>
  <c r="AF11" i="68" s="1"/>
  <c r="AB11" i="68"/>
  <c r="AC11" i="68" s="1"/>
  <c r="Z11" i="68"/>
  <c r="X11" i="68"/>
  <c r="T11" i="68"/>
  <c r="M59" i="72" l="1"/>
  <c r="H59" i="72"/>
  <c r="I59" i="72" s="1"/>
  <c r="M63" i="72"/>
  <c r="H100" i="72"/>
  <c r="I24" i="72"/>
  <c r="O102" i="72"/>
  <c r="AU78" i="72"/>
  <c r="AU79" i="72" s="1"/>
  <c r="AU80" i="72" s="1"/>
  <c r="AU76" i="72"/>
  <c r="AR87" i="72"/>
  <c r="AR75" i="72"/>
  <c r="AR78" i="72"/>
  <c r="AR79" i="72" s="1"/>
  <c r="BN33" i="72"/>
  <c r="E17" i="72"/>
  <c r="F17" i="72" s="1"/>
  <c r="AN17" i="72"/>
  <c r="S20" i="72"/>
  <c r="E20" i="72"/>
  <c r="F20" i="72" s="1"/>
  <c r="R11" i="72"/>
  <c r="G78" i="72"/>
  <c r="G75" i="72"/>
  <c r="Q78" i="72"/>
  <c r="Q76" i="72"/>
  <c r="Q4" i="72"/>
  <c r="R4" i="72" s="1"/>
  <c r="BH76" i="72"/>
  <c r="BO33" i="72"/>
  <c r="AJ78" i="72"/>
  <c r="AJ76" i="72"/>
  <c r="AN21" i="72"/>
  <c r="E21" i="72"/>
  <c r="F21" i="72" s="1"/>
  <c r="U113" i="72"/>
  <c r="N78" i="72"/>
  <c r="N75" i="72"/>
  <c r="E50" i="72"/>
  <c r="F50" i="72" s="1"/>
  <c r="I50" i="72"/>
  <c r="S57" i="72"/>
  <c r="R62" i="72"/>
  <c r="T45" i="72"/>
  <c r="BO66" i="72"/>
  <c r="BP66" i="72"/>
  <c r="W11" i="72"/>
  <c r="AH75" i="72"/>
  <c r="AH76" i="72"/>
  <c r="AI76" i="72" s="1"/>
  <c r="AS11" i="72"/>
  <c r="J14" i="72"/>
  <c r="AQ14" i="72"/>
  <c r="W20" i="72"/>
  <c r="AQ21" i="72"/>
  <c r="Y22" i="72"/>
  <c r="U78" i="72"/>
  <c r="U76" i="72"/>
  <c r="S24" i="72"/>
  <c r="X23" i="72"/>
  <c r="X78" i="72" s="1"/>
  <c r="AC24" i="72"/>
  <c r="BO27" i="72"/>
  <c r="BT24" i="72"/>
  <c r="BR29" i="72"/>
  <c r="AM29" i="72"/>
  <c r="AN29" i="72" s="1"/>
  <c r="AB33" i="72"/>
  <c r="AC33" i="72" s="1"/>
  <c r="AT33" i="72"/>
  <c r="V33" i="72"/>
  <c r="BP33" i="72"/>
  <c r="AM39" i="72"/>
  <c r="AN39" i="72" s="1"/>
  <c r="BR39" i="72"/>
  <c r="BR36" i="72" s="1"/>
  <c r="BR33" i="72" s="1"/>
  <c r="BN39" i="72"/>
  <c r="BO39" i="72" s="1"/>
  <c r="BO44" i="72"/>
  <c r="AM48" i="72"/>
  <c r="AN48" i="72" s="1"/>
  <c r="AQ48" i="72"/>
  <c r="AP45" i="72"/>
  <c r="AN49" i="72"/>
  <c r="E49" i="72"/>
  <c r="F49" i="72" s="1"/>
  <c r="E53" i="72"/>
  <c r="F53" i="72" s="1"/>
  <c r="BR57" i="72"/>
  <c r="AM57" i="72"/>
  <c r="AN57" i="72" s="1"/>
  <c r="AQ57" i="72"/>
  <c r="E59" i="72"/>
  <c r="F59" i="72" s="1"/>
  <c r="I63" i="72"/>
  <c r="E63" i="72"/>
  <c r="F63" i="72" s="1"/>
  <c r="N76" i="72"/>
  <c r="V83" i="72"/>
  <c r="X76" i="72"/>
  <c r="AP11" i="72"/>
  <c r="K78" i="72"/>
  <c r="K75" i="72"/>
  <c r="K76" i="72" s="1"/>
  <c r="T23" i="72"/>
  <c r="T78" i="72" s="1"/>
  <c r="S26" i="72"/>
  <c r="BJ76" i="72"/>
  <c r="BJ24" i="72"/>
  <c r="BJ23" i="72" s="1"/>
  <c r="BP24" i="72"/>
  <c r="L36" i="72"/>
  <c r="AM40" i="72"/>
  <c r="AN40" i="72" s="1"/>
  <c r="AQ40" i="72"/>
  <c r="Z41" i="72"/>
  <c r="Y41" i="72"/>
  <c r="Z43" i="72"/>
  <c r="Y43" i="72"/>
  <c r="J45" i="72"/>
  <c r="BJ45" i="72"/>
  <c r="S58" i="72"/>
  <c r="AM64" i="72"/>
  <c r="AN64" i="72" s="1"/>
  <c r="BR64" i="72"/>
  <c r="AQ64" i="72"/>
  <c r="Y68" i="72"/>
  <c r="Z68" i="72"/>
  <c r="D88" i="72"/>
  <c r="D78" i="72"/>
  <c r="D79" i="72" s="1"/>
  <c r="D80" i="72" s="1"/>
  <c r="AT24" i="72"/>
  <c r="AS23" i="72"/>
  <c r="AN26" i="72"/>
  <c r="E26" i="72"/>
  <c r="F26" i="72" s="1"/>
  <c r="Z33" i="72"/>
  <c r="AM34" i="72"/>
  <c r="G76" i="72"/>
  <c r="T76" i="72"/>
  <c r="T88" i="72" s="1"/>
  <c r="AE23" i="72"/>
  <c r="AK78" i="72"/>
  <c r="AK79" i="72" s="1"/>
  <c r="AK80" i="72" s="1"/>
  <c r="AM24" i="72"/>
  <c r="AN24" i="72" s="1"/>
  <c r="AX24" i="72"/>
  <c r="AW23" i="72"/>
  <c r="BO28" i="72"/>
  <c r="BO30" i="72"/>
  <c r="R33" i="72"/>
  <c r="S33" i="72" s="1"/>
  <c r="Y34" i="72"/>
  <c r="Y33" i="72" s="1"/>
  <c r="Y35" i="72"/>
  <c r="AQ38" i="72"/>
  <c r="AP36" i="72"/>
  <c r="AP33" i="72" s="1"/>
  <c r="H39" i="72"/>
  <c r="Z39" i="72"/>
  <c r="Z36" i="72" s="1"/>
  <c r="R45" i="72"/>
  <c r="S45" i="72" s="1"/>
  <c r="BO47" i="72"/>
  <c r="E48" i="72"/>
  <c r="F48" i="72" s="1"/>
  <c r="I48" i="72"/>
  <c r="BO48" i="72"/>
  <c r="BT45" i="72"/>
  <c r="BQ45" i="72"/>
  <c r="BN45" i="72" s="1"/>
  <c r="BO45" i="72" s="1"/>
  <c r="BR50" i="72"/>
  <c r="BR45" i="72" s="1"/>
  <c r="BN50" i="72"/>
  <c r="BP50" i="72" s="1"/>
  <c r="BP45" i="72" s="1"/>
  <c r="BR54" i="72"/>
  <c r="AM54" i="72"/>
  <c r="AQ54" i="72"/>
  <c r="BR55" i="72"/>
  <c r="BN55" i="72"/>
  <c r="BP55" i="72" s="1"/>
  <c r="BR56" i="72"/>
  <c r="AM56" i="72"/>
  <c r="AQ56" i="72"/>
  <c r="BR58" i="72"/>
  <c r="AM58" i="72"/>
  <c r="AN58" i="72" s="1"/>
  <c r="AQ58" i="72"/>
  <c r="BO60" i="72"/>
  <c r="E61" i="72"/>
  <c r="F61" i="72" s="1"/>
  <c r="AQ65" i="72"/>
  <c r="BR65" i="72"/>
  <c r="AM65" i="72"/>
  <c r="AN65" i="72" s="1"/>
  <c r="BT76" i="72"/>
  <c r="Z51" i="72"/>
  <c r="BO63" i="72"/>
  <c r="E66" i="72"/>
  <c r="F66" i="72" s="1"/>
  <c r="AM66" i="72"/>
  <c r="AN66" i="72" s="1"/>
  <c r="AA76" i="72"/>
  <c r="AA79" i="72"/>
  <c r="AA80" i="72" s="1"/>
  <c r="X103" i="72"/>
  <c r="I94" i="72"/>
  <c r="BN40" i="72"/>
  <c r="BO40" i="72" s="1"/>
  <c r="AI55" i="72"/>
  <c r="Z70" i="72"/>
  <c r="M100" i="72"/>
  <c r="N102" i="72"/>
  <c r="AB103" i="72"/>
  <c r="H101" i="72" s="1"/>
  <c r="X105" i="72"/>
  <c r="X109" i="72" s="1"/>
  <c r="AE109" i="72" s="1"/>
  <c r="W20" i="68"/>
  <c r="V11" i="68"/>
  <c r="R20" i="68"/>
  <c r="Y45" i="68"/>
  <c r="Z45" i="68"/>
  <c r="Y49" i="68"/>
  <c r="R45" i="68"/>
  <c r="S45" i="68" s="1"/>
  <c r="Z34" i="68"/>
  <c r="Z33" i="68" s="1"/>
  <c r="Z23" i="68" s="1"/>
  <c r="Y34" i="68"/>
  <c r="R26" i="68"/>
  <c r="AE27" i="68"/>
  <c r="AH75" i="68"/>
  <c r="AI75" i="68" s="1"/>
  <c r="AC24" i="68"/>
  <c r="Y25" i="68"/>
  <c r="AF26" i="68"/>
  <c r="R33" i="68"/>
  <c r="S33" i="68" s="1"/>
  <c r="AB33" i="68"/>
  <c r="AC33" i="68" s="1"/>
  <c r="S50" i="68"/>
  <c r="Y11" i="68"/>
  <c r="Y14" i="68"/>
  <c r="Y15" i="68"/>
  <c r="Z16" i="68"/>
  <c r="Y19" i="68"/>
  <c r="V23" i="68"/>
  <c r="W23" i="68" s="1"/>
  <c r="Y32" i="68"/>
  <c r="Z35" i="68"/>
  <c r="Z37" i="68"/>
  <c r="Y39" i="68"/>
  <c r="Y40" i="68"/>
  <c r="Z41" i="68"/>
  <c r="Y44" i="68"/>
  <c r="Z46" i="68"/>
  <c r="W55" i="68"/>
  <c r="Y70" i="68"/>
  <c r="Y74" i="68"/>
  <c r="AI24" i="68"/>
  <c r="T45" i="68"/>
  <c r="T23" i="68" s="1"/>
  <c r="AQ33" i="72" l="1"/>
  <c r="AM33" i="72"/>
  <c r="AN33" i="72" s="1"/>
  <c r="BR76" i="72"/>
  <c r="Z23" i="72"/>
  <c r="BR23" i="72"/>
  <c r="AE103" i="72"/>
  <c r="Z45" i="72"/>
  <c r="Y51" i="72"/>
  <c r="Y45" i="72" s="1"/>
  <c r="AN54" i="72"/>
  <c r="E54" i="72"/>
  <c r="F54" i="72" s="1"/>
  <c r="E58" i="72"/>
  <c r="F58" i="72" s="1"/>
  <c r="Y23" i="72"/>
  <c r="M36" i="72"/>
  <c r="L33" i="72"/>
  <c r="AQ11" i="72"/>
  <c r="BR11" i="72"/>
  <c r="BQ12" i="72"/>
  <c r="BQ17" i="72" s="1"/>
  <c r="AM11" i="72"/>
  <c r="E40" i="72"/>
  <c r="F40" i="72" s="1"/>
  <c r="W33" i="72"/>
  <c r="V23" i="72"/>
  <c r="X79" i="72"/>
  <c r="X80" i="72" s="1"/>
  <c r="U79" i="72"/>
  <c r="U80" i="72" s="1"/>
  <c r="AT11" i="72"/>
  <c r="BT11" i="72"/>
  <c r="S62" i="72"/>
  <c r="E62" i="72"/>
  <c r="F62" i="72" s="1"/>
  <c r="N79" i="72"/>
  <c r="AJ79" i="72"/>
  <c r="AJ80" i="72" s="1"/>
  <c r="E24" i="72"/>
  <c r="F24" i="72" s="1"/>
  <c r="I39" i="72"/>
  <c r="E39" i="72"/>
  <c r="F39" i="72" s="1"/>
  <c r="H36" i="72"/>
  <c r="AN34" i="72"/>
  <c r="E34" i="72"/>
  <c r="F34" i="72" s="1"/>
  <c r="AS78" i="72"/>
  <c r="AS87" i="72"/>
  <c r="AS75" i="72"/>
  <c r="AS76" i="72" s="1"/>
  <c r="AT23" i="72"/>
  <c r="BP23" i="72"/>
  <c r="T79" i="72"/>
  <c r="T80" i="72" s="1"/>
  <c r="BT23" i="72"/>
  <c r="E57" i="72"/>
  <c r="F57" i="72" s="1"/>
  <c r="AQ36" i="72"/>
  <c r="AM36" i="72"/>
  <c r="AN36" i="72" s="1"/>
  <c r="AW75" i="72"/>
  <c r="AW76" i="72" s="1"/>
  <c r="AX23" i="72"/>
  <c r="AX75" i="72" s="1"/>
  <c r="AE75" i="72"/>
  <c r="AE76" i="72" s="1"/>
  <c r="AF76" i="72" s="1"/>
  <c r="AF23" i="72"/>
  <c r="BO55" i="72"/>
  <c r="AI75" i="72"/>
  <c r="BJ75" i="72"/>
  <c r="BQ23" i="72"/>
  <c r="Q79" i="72"/>
  <c r="Q80" i="72" s="1"/>
  <c r="G79" i="72"/>
  <c r="G80" i="72" s="1"/>
  <c r="AR80" i="72"/>
  <c r="BT75" i="72"/>
  <c r="AN56" i="72"/>
  <c r="E56" i="72"/>
  <c r="F56" i="72" s="1"/>
  <c r="BO50" i="72"/>
  <c r="K79" i="72"/>
  <c r="K80" i="72" s="1"/>
  <c r="AM45" i="72"/>
  <c r="AN45" i="72" s="1"/>
  <c r="AQ45" i="72"/>
  <c r="AP23" i="72"/>
  <c r="J11" i="72"/>
  <c r="N80" i="72"/>
  <c r="AB23" i="72"/>
  <c r="R76" i="72"/>
  <c r="S11" i="72"/>
  <c r="R23" i="72"/>
  <c r="Y36" i="68"/>
  <c r="AF27" i="68"/>
  <c r="R27" i="68"/>
  <c r="S27" i="68" s="1"/>
  <c r="AE24" i="68"/>
  <c r="S20" i="68"/>
  <c r="R11" i="68"/>
  <c r="S11" i="68" s="1"/>
  <c r="S26" i="68"/>
  <c r="AB23" i="68"/>
  <c r="V75" i="68"/>
  <c r="W75" i="68" s="1"/>
  <c r="W11" i="68"/>
  <c r="Y33" i="68"/>
  <c r="Y23" i="68" s="1"/>
  <c r="AF87" i="70"/>
  <c r="W87" i="70"/>
  <c r="N87" i="70"/>
  <c r="E87" i="70"/>
  <c r="Q83" i="70"/>
  <c r="H83" i="70"/>
  <c r="AI81" i="70"/>
  <c r="Z81" i="70"/>
  <c r="Q80" i="70"/>
  <c r="AP80" i="70" s="1"/>
  <c r="I80" i="70"/>
  <c r="G80" i="70"/>
  <c r="E80" i="70"/>
  <c r="C80" i="70"/>
  <c r="L80" i="70" s="1"/>
  <c r="AD76" i="70"/>
  <c r="M76" i="70"/>
  <c r="N76" i="70" s="1"/>
  <c r="AP75" i="70"/>
  <c r="AN75" i="70"/>
  <c r="AK75" i="70"/>
  <c r="AE75" i="70"/>
  <c r="AF75" i="70" s="1"/>
  <c r="AD75" i="70"/>
  <c r="U75" i="70"/>
  <c r="U76" i="70" s="1"/>
  <c r="L75" i="70"/>
  <c r="M75" i="70" s="1"/>
  <c r="N75" i="70" s="1"/>
  <c r="I75" i="70"/>
  <c r="G75" i="70"/>
  <c r="C75" i="70"/>
  <c r="C76" i="70" s="1"/>
  <c r="AH74" i="70"/>
  <c r="AE74" i="70"/>
  <c r="Y74" i="70"/>
  <c r="W74" i="70"/>
  <c r="V74" i="70"/>
  <c r="Q74" i="70"/>
  <c r="AP74" i="70" s="1"/>
  <c r="P74" i="70"/>
  <c r="AN74" i="70" s="1"/>
  <c r="N74" i="70"/>
  <c r="M74" i="70"/>
  <c r="D74" i="70"/>
  <c r="G74" i="70" s="1"/>
  <c r="AD72" i="70"/>
  <c r="AD77" i="70" s="1"/>
  <c r="V72" i="70"/>
  <c r="W72" i="70" s="1"/>
  <c r="U72" i="70"/>
  <c r="L72" i="70"/>
  <c r="D72" i="70"/>
  <c r="E72" i="70" s="1"/>
  <c r="C72" i="70"/>
  <c r="AE71" i="70"/>
  <c r="AF71" i="70" s="1"/>
  <c r="W71" i="70"/>
  <c r="V71" i="70"/>
  <c r="M71" i="70"/>
  <c r="N71" i="70" s="1"/>
  <c r="D71" i="70"/>
  <c r="E71" i="70" s="1"/>
  <c r="AE70" i="70"/>
  <c r="AH9" i="70" s="1"/>
  <c r="W70" i="70"/>
  <c r="V70" i="70"/>
  <c r="M70" i="70"/>
  <c r="E70" i="70"/>
  <c r="D70" i="70"/>
  <c r="W68" i="70"/>
  <c r="M68" i="70"/>
  <c r="N68" i="70" s="1"/>
  <c r="AE67" i="70"/>
  <c r="V67" i="70"/>
  <c r="V68" i="70" s="1"/>
  <c r="Y67" i="70" s="1"/>
  <c r="Q67" i="70"/>
  <c r="AP67" i="70" s="1"/>
  <c r="P67" i="70"/>
  <c r="M67" i="70"/>
  <c r="N67" i="70" s="1"/>
  <c r="D67" i="70"/>
  <c r="D68" i="70" s="1"/>
  <c r="AF66" i="70"/>
  <c r="W66" i="70"/>
  <c r="N66" i="70"/>
  <c r="E66" i="70"/>
  <c r="AE65" i="70"/>
  <c r="AF65" i="70" s="1"/>
  <c r="V65" i="70"/>
  <c r="W65" i="70" s="1"/>
  <c r="N65" i="70"/>
  <c r="M65" i="70"/>
  <c r="D65" i="70"/>
  <c r="E65" i="70" s="1"/>
  <c r="AE60" i="70"/>
  <c r="AF60" i="70" s="1"/>
  <c r="AF63" i="70" s="1"/>
  <c r="V60" i="70"/>
  <c r="W60" i="70" s="1"/>
  <c r="W63" i="70" s="1"/>
  <c r="M60" i="70"/>
  <c r="M63" i="70" s="1"/>
  <c r="D60" i="70"/>
  <c r="E60" i="70" s="1"/>
  <c r="E63" i="70" s="1"/>
  <c r="AD58" i="70"/>
  <c r="V58" i="70"/>
  <c r="U58" i="70"/>
  <c r="L58" i="70"/>
  <c r="C58" i="70"/>
  <c r="AE57" i="70"/>
  <c r="AF57" i="70" s="1"/>
  <c r="V57" i="70"/>
  <c r="W57" i="70" s="1"/>
  <c r="N57" i="70"/>
  <c r="M57" i="70"/>
  <c r="D57" i="70"/>
  <c r="E57" i="70" s="1"/>
  <c r="AE56" i="70"/>
  <c r="AF56" i="70" s="1"/>
  <c r="V56" i="70"/>
  <c r="W56" i="70" s="1"/>
  <c r="Q56" i="70"/>
  <c r="AP56" i="70" s="1"/>
  <c r="M56" i="70"/>
  <c r="D56" i="70"/>
  <c r="AF55" i="70"/>
  <c r="W55" i="70"/>
  <c r="N55" i="70"/>
  <c r="E55" i="70"/>
  <c r="AF54" i="70"/>
  <c r="AD54" i="70"/>
  <c r="U54" i="70"/>
  <c r="U77" i="70" s="1"/>
  <c r="L54" i="70"/>
  <c r="C54" i="70"/>
  <c r="C77" i="70" s="1"/>
  <c r="AF53" i="70"/>
  <c r="AE53" i="70"/>
  <c r="V53" i="70"/>
  <c r="W53" i="70" s="1"/>
  <c r="N53" i="70"/>
  <c r="M53" i="70"/>
  <c r="D53" i="70"/>
  <c r="E53" i="70" s="1"/>
  <c r="AF52" i="70"/>
  <c r="W52" i="70"/>
  <c r="N52" i="70"/>
  <c r="E52" i="70"/>
  <c r="AF51" i="70"/>
  <c r="W51" i="70"/>
  <c r="N51" i="70"/>
  <c r="E51" i="70"/>
  <c r="AF50" i="70"/>
  <c r="W50" i="70"/>
  <c r="N50" i="70"/>
  <c r="E50" i="70"/>
  <c r="AF49" i="70"/>
  <c r="AE49" i="70"/>
  <c r="V49" i="70"/>
  <c r="N49" i="70"/>
  <c r="M49" i="70"/>
  <c r="D49" i="70"/>
  <c r="E49" i="70" s="1"/>
  <c r="AP48" i="70"/>
  <c r="AF48" i="70"/>
  <c r="AE48" i="70"/>
  <c r="AE54" i="70" s="1"/>
  <c r="W48" i="70"/>
  <c r="V48" i="70"/>
  <c r="Q48" i="70"/>
  <c r="M48" i="70"/>
  <c r="D48" i="70"/>
  <c r="AD43" i="70"/>
  <c r="W43" i="70"/>
  <c r="U43" i="70"/>
  <c r="M43" i="70"/>
  <c r="N43" i="70" s="1"/>
  <c r="L43" i="70"/>
  <c r="C43" i="70"/>
  <c r="AE42" i="70"/>
  <c r="AF42" i="70" s="1"/>
  <c r="W42" i="70"/>
  <c r="V42" i="70"/>
  <c r="N42" i="70"/>
  <c r="M42" i="70"/>
  <c r="D42" i="70"/>
  <c r="D43" i="70" s="1"/>
  <c r="E43" i="70" s="1"/>
  <c r="AD40" i="70"/>
  <c r="W40" i="70"/>
  <c r="U40" i="70"/>
  <c r="M40" i="70"/>
  <c r="L40" i="70"/>
  <c r="C40" i="70"/>
  <c r="AH39" i="70"/>
  <c r="AE39" i="70"/>
  <c r="AF39" i="70" s="1"/>
  <c r="AF40" i="70" s="1"/>
  <c r="W39" i="70"/>
  <c r="V39" i="70"/>
  <c r="V43" i="70" s="1"/>
  <c r="Q39" i="70"/>
  <c r="AP39" i="70" s="1"/>
  <c r="N39" i="70"/>
  <c r="N40" i="70" s="1"/>
  <c r="M39" i="70"/>
  <c r="D39" i="70"/>
  <c r="D40" i="70" s="1"/>
  <c r="AF38" i="70"/>
  <c r="AD38" i="70"/>
  <c r="W38" i="70"/>
  <c r="U38" i="70"/>
  <c r="N38" i="70"/>
  <c r="L38" i="70"/>
  <c r="E38" i="70"/>
  <c r="C38" i="70"/>
  <c r="AE37" i="70"/>
  <c r="AD37" i="70"/>
  <c r="AD44" i="70" s="1"/>
  <c r="U37" i="70"/>
  <c r="U44" i="70" s="1"/>
  <c r="L37" i="70"/>
  <c r="L44" i="70" s="1"/>
  <c r="C37" i="70"/>
  <c r="C44" i="70" s="1"/>
  <c r="C45" i="70" s="1"/>
  <c r="AF36" i="70"/>
  <c r="AE36" i="70"/>
  <c r="V36" i="70"/>
  <c r="V37" i="70" s="1"/>
  <c r="N36" i="70"/>
  <c r="M36" i="70"/>
  <c r="D36" i="70"/>
  <c r="AF35" i="70"/>
  <c r="AE35" i="70"/>
  <c r="V35" i="70"/>
  <c r="W35" i="70" s="1"/>
  <c r="N35" i="70"/>
  <c r="M35" i="70"/>
  <c r="D35" i="70"/>
  <c r="E35" i="70" s="1"/>
  <c r="AF34" i="70"/>
  <c r="W34" i="70"/>
  <c r="N34" i="70"/>
  <c r="E34" i="70"/>
  <c r="AF33" i="70"/>
  <c r="W33" i="70"/>
  <c r="N33" i="70"/>
  <c r="E33" i="70"/>
  <c r="AP32" i="70"/>
  <c r="AH32" i="70"/>
  <c r="AF32" i="70"/>
  <c r="W32" i="70"/>
  <c r="Q32" i="70"/>
  <c r="N32" i="70"/>
  <c r="H32" i="70"/>
  <c r="E32" i="70"/>
  <c r="AF31" i="70"/>
  <c r="W31" i="70"/>
  <c r="N31" i="70"/>
  <c r="E31" i="70"/>
  <c r="AD29" i="70"/>
  <c r="U29" i="70"/>
  <c r="L29" i="70"/>
  <c r="D29" i="70"/>
  <c r="C29" i="70"/>
  <c r="AD28" i="70"/>
  <c r="U28" i="70"/>
  <c r="L28" i="70"/>
  <c r="C28" i="70"/>
  <c r="AD26" i="70"/>
  <c r="AD27" i="70" s="1"/>
  <c r="U26" i="70"/>
  <c r="L26" i="70"/>
  <c r="C26" i="70"/>
  <c r="AE24" i="70"/>
  <c r="AF24" i="70" s="1"/>
  <c r="W24" i="70"/>
  <c r="V24" i="70"/>
  <c r="M24" i="70"/>
  <c r="N24" i="70" s="1"/>
  <c r="E24" i="70"/>
  <c r="D24" i="70"/>
  <c r="AE23" i="70"/>
  <c r="AF23" i="70" s="1"/>
  <c r="W23" i="70"/>
  <c r="V23" i="70"/>
  <c r="M23" i="70"/>
  <c r="N23" i="70" s="1"/>
  <c r="D23" i="70"/>
  <c r="E23" i="70" s="1"/>
  <c r="AE22" i="70"/>
  <c r="AF22" i="70" s="1"/>
  <c r="W22" i="70"/>
  <c r="V22" i="70"/>
  <c r="M22" i="70"/>
  <c r="N22" i="70" s="1"/>
  <c r="E22" i="70"/>
  <c r="D22" i="70"/>
  <c r="AE21" i="70"/>
  <c r="AF21" i="70" s="1"/>
  <c r="W21" i="70"/>
  <c r="V21" i="70"/>
  <c r="M21" i="70"/>
  <c r="N21" i="70" s="1"/>
  <c r="D21" i="70"/>
  <c r="E21" i="70" s="1"/>
  <c r="AE20" i="70"/>
  <c r="AF20" i="70" s="1"/>
  <c r="W20" i="70"/>
  <c r="V20" i="70"/>
  <c r="M20" i="70"/>
  <c r="N20" i="70" s="1"/>
  <c r="E20" i="70"/>
  <c r="D20" i="70"/>
  <c r="AH19" i="70"/>
  <c r="AF19" i="70"/>
  <c r="AE19" i="70"/>
  <c r="V19" i="70"/>
  <c r="V92" i="70" s="1"/>
  <c r="P19" i="70"/>
  <c r="AM18" i="70" s="1"/>
  <c r="M19" i="70"/>
  <c r="G19" i="70"/>
  <c r="D19" i="70"/>
  <c r="AP18" i="70"/>
  <c r="AO18" i="70"/>
  <c r="AH18" i="70"/>
  <c r="AE18" i="70"/>
  <c r="AF18" i="70" s="1"/>
  <c r="Y18" i="70"/>
  <c r="W18" i="70"/>
  <c r="V18" i="70"/>
  <c r="V26" i="70" s="1"/>
  <c r="V83" i="70" s="1"/>
  <c r="Q18" i="70"/>
  <c r="P18" i="70"/>
  <c r="AN18" i="70" s="1"/>
  <c r="N18" i="70"/>
  <c r="M18" i="70"/>
  <c r="M26" i="70" s="1"/>
  <c r="M83" i="70" s="1"/>
  <c r="H18" i="70"/>
  <c r="D18" i="70"/>
  <c r="E18" i="70" s="1"/>
  <c r="AD17" i="70"/>
  <c r="U17" i="70"/>
  <c r="U27" i="70" s="1"/>
  <c r="L17" i="70"/>
  <c r="L27" i="70" s="1"/>
  <c r="C17" i="70"/>
  <c r="C27" i="70" s="1"/>
  <c r="AE15" i="70"/>
  <c r="AF15" i="70" s="1"/>
  <c r="V15" i="70"/>
  <c r="W15" i="70" s="1"/>
  <c r="M15" i="70"/>
  <c r="N15" i="70" s="1"/>
  <c r="D15" i="70"/>
  <c r="E15" i="70" s="1"/>
  <c r="AE14" i="70"/>
  <c r="AF14" i="70" s="1"/>
  <c r="V14" i="70"/>
  <c r="W14" i="70" s="1"/>
  <c r="M14" i="70"/>
  <c r="N14" i="70" s="1"/>
  <c r="D14" i="70"/>
  <c r="E14" i="70" s="1"/>
  <c r="AE13" i="70"/>
  <c r="AF13" i="70" s="1"/>
  <c r="V13" i="70"/>
  <c r="W13" i="70" s="1"/>
  <c r="M13" i="70"/>
  <c r="N13" i="70" s="1"/>
  <c r="D13" i="70"/>
  <c r="E13" i="70" s="1"/>
  <c r="AE12" i="70"/>
  <c r="AF12" i="70" s="1"/>
  <c r="V12" i="70"/>
  <c r="W12" i="70" s="1"/>
  <c r="M12" i="70"/>
  <c r="N12" i="70" s="1"/>
  <c r="D12" i="70"/>
  <c r="E12" i="70" s="1"/>
  <c r="AP11" i="70"/>
  <c r="AN11" i="70"/>
  <c r="AK11" i="70" s="1"/>
  <c r="AE11" i="70"/>
  <c r="W11" i="70"/>
  <c r="W29" i="70" s="1"/>
  <c r="V11" i="70"/>
  <c r="V29" i="70" s="1"/>
  <c r="Q11" i="70"/>
  <c r="M11" i="70"/>
  <c r="M29" i="70" s="1"/>
  <c r="G11" i="70"/>
  <c r="I11" i="70" s="1"/>
  <c r="E11" i="70"/>
  <c r="E29" i="70" s="1"/>
  <c r="D11" i="70"/>
  <c r="AE10" i="70"/>
  <c r="AE17" i="70" s="1"/>
  <c r="V10" i="70"/>
  <c r="V91" i="70" s="1"/>
  <c r="N10" i="70"/>
  <c r="M10" i="70"/>
  <c r="D10" i="70"/>
  <c r="D28" i="70" s="1"/>
  <c r="AP9" i="70"/>
  <c r="AO9" i="70"/>
  <c r="AO82" i="70" s="1"/>
  <c r="AF9" i="70"/>
  <c r="AE9" i="70"/>
  <c r="V9" i="70"/>
  <c r="Q9" i="70"/>
  <c r="N9" i="70"/>
  <c r="M9" i="70"/>
  <c r="H9" i="70"/>
  <c r="H77" i="70" s="1"/>
  <c r="H81" i="70" s="1"/>
  <c r="D9" i="70"/>
  <c r="D17" i="70" s="1"/>
  <c r="D82" i="70" s="1"/>
  <c r="G85" i="66"/>
  <c r="G88" i="66"/>
  <c r="Q80" i="67"/>
  <c r="Q74" i="67"/>
  <c r="Q67" i="67"/>
  <c r="Q56" i="67"/>
  <c r="Q48" i="67"/>
  <c r="Q39" i="67"/>
  <c r="Q32" i="67"/>
  <c r="Q18" i="67"/>
  <c r="Q11" i="67"/>
  <c r="Q9" i="67"/>
  <c r="R78" i="72" l="1"/>
  <c r="R79" i="72" s="1"/>
  <c r="R80" i="72" s="1"/>
  <c r="S23" i="72"/>
  <c r="S78" i="72" s="1"/>
  <c r="AP87" i="72"/>
  <c r="AP75" i="72"/>
  <c r="AP78" i="72"/>
  <c r="BA23" i="72"/>
  <c r="AM23" i="72"/>
  <c r="AQ23" i="72"/>
  <c r="BP75" i="72"/>
  <c r="BP100" i="72" s="1"/>
  <c r="BP22" i="72"/>
  <c r="AS79" i="72"/>
  <c r="V78" i="72"/>
  <c r="W23" i="72"/>
  <c r="W78" i="72" s="1"/>
  <c r="V75" i="72"/>
  <c r="M33" i="72"/>
  <c r="S76" i="72"/>
  <c r="BQ76" i="72"/>
  <c r="BQ101" i="72" s="1"/>
  <c r="BN23" i="72"/>
  <c r="AT75" i="72"/>
  <c r="AT80" i="72" s="1"/>
  <c r="AT78" i="72"/>
  <c r="AT79" i="72" s="1"/>
  <c r="AS80" i="72"/>
  <c r="AS100" i="72"/>
  <c r="Y78" i="72"/>
  <c r="Y76" i="72"/>
  <c r="Z78" i="72"/>
  <c r="Z76" i="72"/>
  <c r="AB75" i="72"/>
  <c r="AB78" i="72"/>
  <c r="AC23" i="72"/>
  <c r="I36" i="72"/>
  <c r="H33" i="72"/>
  <c r="E36" i="72"/>
  <c r="F36" i="72" s="1"/>
  <c r="AN11" i="72"/>
  <c r="AB75" i="68"/>
  <c r="AC23" i="68"/>
  <c r="AC75" i="68" s="1"/>
  <c r="R24" i="68"/>
  <c r="AF24" i="68"/>
  <c r="AE23" i="68"/>
  <c r="I74" i="70"/>
  <c r="AK74" i="70"/>
  <c r="E9" i="70"/>
  <c r="E10" i="70"/>
  <c r="G9" i="70"/>
  <c r="G10" i="70"/>
  <c r="G88" i="70" s="1"/>
  <c r="G18" i="70"/>
  <c r="I18" i="70" s="1"/>
  <c r="D26" i="70"/>
  <c r="D83" i="70" s="1"/>
  <c r="D37" i="70"/>
  <c r="G32" i="70" s="1"/>
  <c r="I32" i="70" s="1"/>
  <c r="E39" i="70"/>
  <c r="E40" i="70" s="1"/>
  <c r="E42" i="70"/>
  <c r="E74" i="70"/>
  <c r="D92" i="70"/>
  <c r="C81" i="70"/>
  <c r="C78" i="70"/>
  <c r="G78" i="70" s="1"/>
  <c r="AE82" i="70"/>
  <c r="Y9" i="70"/>
  <c r="V17" i="70"/>
  <c r="AF10" i="70"/>
  <c r="AF26" i="70"/>
  <c r="AF83" i="70" s="1"/>
  <c r="AD45" i="70"/>
  <c r="M54" i="70"/>
  <c r="N48" i="70"/>
  <c r="AE63" i="70"/>
  <c r="D84" i="70"/>
  <c r="M17" i="70"/>
  <c r="P9" i="70"/>
  <c r="W9" i="70"/>
  <c r="W17" i="70" s="1"/>
  <c r="W82" i="70" s="1"/>
  <c r="E91" i="70"/>
  <c r="P10" i="70"/>
  <c r="N11" i="70"/>
  <c r="N29" i="70" s="1"/>
  <c r="AF11" i="70"/>
  <c r="AF29" i="70" s="1"/>
  <c r="AE29" i="70"/>
  <c r="AK18" i="70"/>
  <c r="I19" i="70"/>
  <c r="U80" i="70"/>
  <c r="M80" i="70"/>
  <c r="I10" i="70"/>
  <c r="W26" i="70"/>
  <c r="W83" i="70" s="1"/>
  <c r="AF92" i="70"/>
  <c r="V44" i="70"/>
  <c r="W44" i="70" s="1"/>
  <c r="W37" i="70"/>
  <c r="Y32" i="70"/>
  <c r="L45" i="70"/>
  <c r="W49" i="70"/>
  <c r="V54" i="70"/>
  <c r="Y56" i="70"/>
  <c r="W58" i="70"/>
  <c r="E68" i="70"/>
  <c r="G67" i="70"/>
  <c r="I67" i="70" s="1"/>
  <c r="I9" i="70"/>
  <c r="AE91" i="70"/>
  <c r="AH10" i="70"/>
  <c r="AE28" i="70"/>
  <c r="D44" i="70"/>
  <c r="E44" i="70" s="1"/>
  <c r="E37" i="70"/>
  <c r="AF67" i="70"/>
  <c r="AE68" i="70"/>
  <c r="AF70" i="70"/>
  <c r="AE72" i="70"/>
  <c r="AF72" i="70" s="1"/>
  <c r="AE26" i="70"/>
  <c r="AE83" i="70" s="1"/>
  <c r="AF37" i="70"/>
  <c r="D58" i="70"/>
  <c r="E56" i="70"/>
  <c r="M72" i="70"/>
  <c r="N72" i="70" s="1"/>
  <c r="N70" i="70"/>
  <c r="AP82" i="70"/>
  <c r="AO83" i="70" s="1"/>
  <c r="V90" i="70"/>
  <c r="M92" i="70"/>
  <c r="W19" i="70"/>
  <c r="W92" i="70" s="1"/>
  <c r="V28" i="70"/>
  <c r="E36" i="70"/>
  <c r="W36" i="70"/>
  <c r="U45" i="70"/>
  <c r="D54" i="70"/>
  <c r="AE58" i="70"/>
  <c r="AE77" i="70" s="1"/>
  <c r="AF77" i="70" s="1"/>
  <c r="N60" i="70"/>
  <c r="N63" i="70" s="1"/>
  <c r="AE76" i="70"/>
  <c r="AF76" i="70" s="1"/>
  <c r="D75" i="70"/>
  <c r="D76" i="70" s="1"/>
  <c r="E76" i="70" s="1"/>
  <c r="Q81" i="70"/>
  <c r="D91" i="70"/>
  <c r="D90" i="70" s="1"/>
  <c r="M91" i="70"/>
  <c r="M90" i="70" s="1"/>
  <c r="W10" i="70"/>
  <c r="E19" i="70"/>
  <c r="E92" i="70" s="1"/>
  <c r="N19" i="70"/>
  <c r="AE92" i="70"/>
  <c r="M28" i="70"/>
  <c r="M37" i="70"/>
  <c r="P39" i="70"/>
  <c r="E48" i="70"/>
  <c r="AH48" i="70"/>
  <c r="M58" i="70"/>
  <c r="N56" i="70"/>
  <c r="V75" i="70"/>
  <c r="L76" i="70"/>
  <c r="L77" i="70" s="1"/>
  <c r="AE40" i="70"/>
  <c r="AE43" i="70"/>
  <c r="AF43" i="70" s="1"/>
  <c r="D63" i="70"/>
  <c r="V63" i="70"/>
  <c r="V40" i="70"/>
  <c r="E67" i="70"/>
  <c r="W67" i="70"/>
  <c r="AF74" i="70"/>
  <c r="AC75" i="72" l="1"/>
  <c r="AC78" i="72"/>
  <c r="AB79" i="72"/>
  <c r="Z79" i="72"/>
  <c r="Z80" i="72" s="1"/>
  <c r="BN75" i="72"/>
  <c r="BO23" i="72"/>
  <c r="V79" i="72"/>
  <c r="AQ75" i="72"/>
  <c r="AQ78" i="72"/>
  <c r="AP82" i="72"/>
  <c r="AP76" i="72"/>
  <c r="AP79" i="72" s="1"/>
  <c r="AP80" i="72" s="1"/>
  <c r="I33" i="72"/>
  <c r="E33" i="72"/>
  <c r="F33" i="72" s="1"/>
  <c r="AB80" i="72"/>
  <c r="AB76" i="72"/>
  <c r="AM75" i="72"/>
  <c r="AM78" i="72"/>
  <c r="AN23" i="72"/>
  <c r="AM87" i="72"/>
  <c r="Y79" i="72"/>
  <c r="Y80" i="72" s="1"/>
  <c r="W75" i="72"/>
  <c r="V80" i="72"/>
  <c r="V76" i="72"/>
  <c r="W76" i="72" s="1"/>
  <c r="S79" i="72"/>
  <c r="S80" i="72" s="1"/>
  <c r="W79" i="72"/>
  <c r="R23" i="68"/>
  <c r="S23" i="68" s="1"/>
  <c r="S24" i="68"/>
  <c r="AE75" i="68"/>
  <c r="AF23" i="68"/>
  <c r="D27" i="70"/>
  <c r="E17" i="70"/>
  <c r="E82" i="70" s="1"/>
  <c r="AK19" i="70"/>
  <c r="W75" i="70"/>
  <c r="Y39" i="70"/>
  <c r="V76" i="70"/>
  <c r="W76" i="70" s="1"/>
  <c r="E54" i="70"/>
  <c r="D99" i="70"/>
  <c r="D77" i="70"/>
  <c r="E77" i="70" s="1"/>
  <c r="G48" i="70"/>
  <c r="I48" i="70" s="1"/>
  <c r="W84" i="70"/>
  <c r="N54" i="70"/>
  <c r="P48" i="70"/>
  <c r="AN48" i="70" s="1"/>
  <c r="AK48" i="70" s="1"/>
  <c r="M77" i="70"/>
  <c r="N77" i="70" s="1"/>
  <c r="AF91" i="70"/>
  <c r="AF90" i="70" s="1"/>
  <c r="AF28" i="70"/>
  <c r="AN39" i="70"/>
  <c r="N92" i="70"/>
  <c r="N28" i="70"/>
  <c r="U78" i="70"/>
  <c r="Y83" i="70" s="1"/>
  <c r="U81" i="70"/>
  <c r="G56" i="70"/>
  <c r="I56" i="70" s="1"/>
  <c r="E58" i="70"/>
  <c r="AE90" i="70"/>
  <c r="V77" i="70"/>
  <c r="W77" i="70" s="1"/>
  <c r="Y48" i="70"/>
  <c r="W54" i="70"/>
  <c r="E26" i="70"/>
  <c r="E83" i="70" s="1"/>
  <c r="E84" i="70" s="1"/>
  <c r="N17" i="70"/>
  <c r="N82" i="70" s="1"/>
  <c r="N84" i="70" s="1"/>
  <c r="AM9" i="70"/>
  <c r="AN9" i="70"/>
  <c r="AD78" i="70"/>
  <c r="AH83" i="70" s="1"/>
  <c r="AD81" i="70"/>
  <c r="N91" i="70"/>
  <c r="AF17" i="70"/>
  <c r="AF82" i="70" s="1"/>
  <c r="AF84" i="70" s="1"/>
  <c r="C88" i="70"/>
  <c r="C89" i="70" s="1"/>
  <c r="C82" i="70"/>
  <c r="N58" i="70"/>
  <c r="P56" i="70"/>
  <c r="N37" i="70"/>
  <c r="P32" i="70"/>
  <c r="AN32" i="70" s="1"/>
  <c r="AK32" i="70" s="1"/>
  <c r="M44" i="70"/>
  <c r="N44" i="70" s="1"/>
  <c r="AH56" i="70"/>
  <c r="AF58" i="70"/>
  <c r="N80" i="70"/>
  <c r="P80" i="70"/>
  <c r="E28" i="70"/>
  <c r="M82" i="70"/>
  <c r="M84" i="70" s="1"/>
  <c r="M27" i="70"/>
  <c r="D45" i="70"/>
  <c r="E27" i="70"/>
  <c r="V82" i="70"/>
  <c r="V84" i="70" s="1"/>
  <c r="V27" i="70"/>
  <c r="AE27" i="70"/>
  <c r="N26" i="70"/>
  <c r="N83" i="70" s="1"/>
  <c r="W28" i="70"/>
  <c r="W91" i="70"/>
  <c r="W90" i="70" s="1"/>
  <c r="E75" i="70"/>
  <c r="G39" i="70"/>
  <c r="AE44" i="70"/>
  <c r="AF44" i="70" s="1"/>
  <c r="AH67" i="70"/>
  <c r="AN67" i="70" s="1"/>
  <c r="AK67" i="70" s="1"/>
  <c r="AF68" i="70"/>
  <c r="L81" i="70"/>
  <c r="L78" i="70"/>
  <c r="P83" i="70" s="1"/>
  <c r="V80" i="70"/>
  <c r="AD80" i="70"/>
  <c r="AE80" i="70" s="1"/>
  <c r="E90" i="70"/>
  <c r="AE84" i="70"/>
  <c r="AN78" i="72" l="1"/>
  <c r="AN75" i="72"/>
  <c r="AQ76" i="72"/>
  <c r="AQ79" i="72" s="1"/>
  <c r="AQ80" i="72" s="1"/>
  <c r="W80" i="72"/>
  <c r="W99" i="72"/>
  <c r="AM79" i="72"/>
  <c r="AM80" i="72" s="1"/>
  <c r="AC79" i="72"/>
  <c r="AM76" i="72"/>
  <c r="AC80" i="72"/>
  <c r="AC76" i="72"/>
  <c r="AK39" i="70"/>
  <c r="U82" i="70"/>
  <c r="U88" i="70"/>
  <c r="U89" i="70" s="1"/>
  <c r="L82" i="70"/>
  <c r="L88" i="70"/>
  <c r="L89" i="70" s="1"/>
  <c r="I39" i="70"/>
  <c r="G77" i="70"/>
  <c r="G85" i="70"/>
  <c r="AN56" i="70"/>
  <c r="AK56" i="70" s="1"/>
  <c r="AK10" i="70"/>
  <c r="AH80" i="70"/>
  <c r="AH81" i="70" s="1"/>
  <c r="AF80" i="70"/>
  <c r="AE45" i="70"/>
  <c r="AF27" i="70"/>
  <c r="D81" i="70"/>
  <c r="E45" i="70"/>
  <c r="D78" i="70"/>
  <c r="N90" i="70"/>
  <c r="P81" i="70"/>
  <c r="Y80" i="70"/>
  <c r="Y81" i="70" s="1"/>
  <c r="W80" i="70"/>
  <c r="V45" i="70"/>
  <c r="W27" i="70"/>
  <c r="M45" i="70"/>
  <c r="N27" i="70"/>
  <c r="AD88" i="70"/>
  <c r="AD89" i="70" s="1"/>
  <c r="AD82" i="70"/>
  <c r="AM82" i="70"/>
  <c r="AK9" i="70"/>
  <c r="AP49" i="68"/>
  <c r="AP50" i="68"/>
  <c r="AP51" i="68"/>
  <c r="AM51" i="68" s="1"/>
  <c r="AN51" i="68" s="1"/>
  <c r="AP52" i="68"/>
  <c r="AQ52" i="68" s="1"/>
  <c r="AP53" i="68"/>
  <c r="AP54" i="68"/>
  <c r="AP55" i="68"/>
  <c r="AM55" i="68" s="1"/>
  <c r="AN55" i="68" s="1"/>
  <c r="AP56" i="68"/>
  <c r="AQ56" i="68" s="1"/>
  <c r="AP57" i="68"/>
  <c r="AP58" i="68"/>
  <c r="AP59" i="68"/>
  <c r="AM59" i="68" s="1"/>
  <c r="AN59" i="68" s="1"/>
  <c r="AP60" i="68"/>
  <c r="AM60" i="68" s="1"/>
  <c r="AN60" i="68" s="1"/>
  <c r="AP61" i="68"/>
  <c r="AP62" i="68"/>
  <c r="AP63" i="68"/>
  <c r="AP64" i="68"/>
  <c r="BR64" i="68" s="1"/>
  <c r="AP65" i="68"/>
  <c r="AP66" i="68"/>
  <c r="AP48" i="68"/>
  <c r="AP39" i="68"/>
  <c r="AP40" i="68"/>
  <c r="AP38" i="68"/>
  <c r="AP35" i="68"/>
  <c r="AP27" i="68"/>
  <c r="AP28" i="68"/>
  <c r="AP29" i="68"/>
  <c r="AP26" i="68"/>
  <c r="AP21" i="68"/>
  <c r="AP15" i="68"/>
  <c r="AP16" i="68"/>
  <c r="AP17" i="68"/>
  <c r="AP14" i="68"/>
  <c r="AS66" i="68"/>
  <c r="AS14" i="68"/>
  <c r="L64" i="68"/>
  <c r="L65" i="68"/>
  <c r="L49" i="68"/>
  <c r="L50" i="68"/>
  <c r="M50" i="68" s="1"/>
  <c r="L51" i="68"/>
  <c r="L52" i="68"/>
  <c r="L53" i="68"/>
  <c r="L54" i="68"/>
  <c r="L56" i="68"/>
  <c r="L57" i="68"/>
  <c r="L58" i="68"/>
  <c r="L59" i="68"/>
  <c r="L60" i="68"/>
  <c r="L61" i="68"/>
  <c r="L62" i="68"/>
  <c r="L63" i="68"/>
  <c r="L48" i="68"/>
  <c r="L39" i="68"/>
  <c r="L40" i="68"/>
  <c r="L38" i="68"/>
  <c r="L28" i="68"/>
  <c r="M28" i="68" s="1"/>
  <c r="L26" i="68"/>
  <c r="AV36" i="68"/>
  <c r="AV33" i="68" s="1"/>
  <c r="AV11" i="68"/>
  <c r="AV45" i="68"/>
  <c r="AV24" i="68"/>
  <c r="D21" i="68"/>
  <c r="D20" i="68"/>
  <c r="D17" i="68"/>
  <c r="D16" i="68"/>
  <c r="D15" i="68"/>
  <c r="D14" i="68"/>
  <c r="L116" i="68"/>
  <c r="L113" i="68"/>
  <c r="N113" i="68" s="1"/>
  <c r="L112" i="68"/>
  <c r="N112" i="68" s="1"/>
  <c r="R111" i="68"/>
  <c r="L111" i="68"/>
  <c r="N111" i="68" s="1"/>
  <c r="L110" i="68"/>
  <c r="N110" i="68" s="1"/>
  <c r="L109" i="68"/>
  <c r="N109" i="68" s="1"/>
  <c r="L108" i="68"/>
  <c r="N108" i="68" s="1"/>
  <c r="L107" i="68"/>
  <c r="N107" i="68" s="1"/>
  <c r="L106" i="68"/>
  <c r="N106" i="68" s="1"/>
  <c r="L105" i="68"/>
  <c r="N105" i="68" s="1"/>
  <c r="L104" i="68"/>
  <c r="N104" i="68" s="1"/>
  <c r="AK103" i="68"/>
  <c r="T103" i="68"/>
  <c r="L103" i="68"/>
  <c r="N103" i="68" s="1"/>
  <c r="X102" i="68"/>
  <c r="L102" i="68"/>
  <c r="X107" i="68" s="1"/>
  <c r="AK101" i="68"/>
  <c r="AK102" i="68" s="1"/>
  <c r="AB101" i="68"/>
  <c r="X101" i="68"/>
  <c r="L101" i="68"/>
  <c r="AB100" i="68"/>
  <c r="X100" i="68"/>
  <c r="L100" i="68"/>
  <c r="J26" i="68" s="1"/>
  <c r="H94" i="68"/>
  <c r="AO91" i="68"/>
  <c r="AK91" i="68"/>
  <c r="K90" i="68"/>
  <c r="K93" i="68" s="1"/>
  <c r="AO87" i="68"/>
  <c r="AL87" i="68"/>
  <c r="AO78" i="68"/>
  <c r="AO79" i="68" s="1"/>
  <c r="AO80" i="68" s="1"/>
  <c r="AL78" i="68"/>
  <c r="AL79" i="68" s="1"/>
  <c r="AL80" i="68" s="1"/>
  <c r="AA78" i="68"/>
  <c r="BM76" i="68"/>
  <c r="BT74" i="68"/>
  <c r="BR74" i="68"/>
  <c r="BN74" i="68"/>
  <c r="BM74" i="68"/>
  <c r="BJ74" i="68"/>
  <c r="BH74" i="68"/>
  <c r="AM74" i="68"/>
  <c r="AN74" i="68" s="1"/>
  <c r="I74" i="68"/>
  <c r="E74" i="68"/>
  <c r="F74" i="68" s="1"/>
  <c r="BT73" i="68"/>
  <c r="BR73" i="68"/>
  <c r="BN73" i="68"/>
  <c r="BM73" i="68"/>
  <c r="BO73" i="68" s="1"/>
  <c r="BJ73" i="68"/>
  <c r="BH73" i="68"/>
  <c r="AM73" i="68"/>
  <c r="AN73" i="68" s="1"/>
  <c r="I73" i="68"/>
  <c r="E73" i="68"/>
  <c r="F73" i="68" s="1"/>
  <c r="BT72" i="68"/>
  <c r="BR72" i="68"/>
  <c r="BN72" i="68"/>
  <c r="BM72" i="68"/>
  <c r="BJ72" i="68"/>
  <c r="BH72" i="68"/>
  <c r="AN72" i="68"/>
  <c r="AM72" i="68"/>
  <c r="I72" i="68"/>
  <c r="E72" i="68"/>
  <c r="F72" i="68" s="1"/>
  <c r="BT71" i="68"/>
  <c r="BR71" i="68"/>
  <c r="BN71" i="68"/>
  <c r="BM71" i="68"/>
  <c r="BJ71" i="68"/>
  <c r="BH71" i="68"/>
  <c r="AU71" i="68"/>
  <c r="AM71" i="68"/>
  <c r="AN71" i="68" s="1"/>
  <c r="E71" i="68"/>
  <c r="F71" i="68" s="1"/>
  <c r="I71" i="68"/>
  <c r="BT70" i="68"/>
  <c r="BR70" i="68"/>
  <c r="BN70" i="68"/>
  <c r="BM70" i="68"/>
  <c r="BJ70" i="68"/>
  <c r="BH70" i="68"/>
  <c r="AM70" i="68"/>
  <c r="AN70" i="68" s="1"/>
  <c r="I70" i="68"/>
  <c r="E70" i="68"/>
  <c r="F70" i="68" s="1"/>
  <c r="BT69" i="68"/>
  <c r="BR69" i="68"/>
  <c r="BN69" i="68"/>
  <c r="BM69" i="68"/>
  <c r="BO69" i="68" s="1"/>
  <c r="BJ69" i="68"/>
  <c r="BH69" i="68"/>
  <c r="AM69" i="68"/>
  <c r="AN69" i="68" s="1"/>
  <c r="I69" i="68"/>
  <c r="E69" i="68"/>
  <c r="F69" i="68" s="1"/>
  <c r="BT68" i="68"/>
  <c r="BR68" i="68"/>
  <c r="BN68" i="68"/>
  <c r="BM68" i="68"/>
  <c r="BJ68" i="68"/>
  <c r="BH68" i="68"/>
  <c r="AM68" i="68"/>
  <c r="AN68" i="68" s="1"/>
  <c r="I68" i="68"/>
  <c r="E68" i="68"/>
  <c r="F68" i="68" s="1"/>
  <c r="BT67" i="68"/>
  <c r="BR67" i="68"/>
  <c r="BN67" i="68"/>
  <c r="BM67" i="68"/>
  <c r="BO67" i="68" s="1"/>
  <c r="BJ67" i="68"/>
  <c r="BH67" i="68"/>
  <c r="AU67" i="68"/>
  <c r="AQ67" i="68"/>
  <c r="AM67" i="68"/>
  <c r="AN67" i="68" s="1"/>
  <c r="I67" i="68"/>
  <c r="E67" i="68"/>
  <c r="F67" i="68" s="1"/>
  <c r="BQ66" i="68"/>
  <c r="BM66" i="68"/>
  <c r="BJ66" i="68"/>
  <c r="BH66" i="68"/>
  <c r="AX66" i="68"/>
  <c r="BT66" i="68"/>
  <c r="AQ66" i="68"/>
  <c r="AM66" i="68"/>
  <c r="AN66" i="68" s="1"/>
  <c r="P66" i="68"/>
  <c r="M66" i="68"/>
  <c r="H66" i="68"/>
  <c r="I66" i="68" s="1"/>
  <c r="BT65" i="68"/>
  <c r="BR65" i="68"/>
  <c r="BN65" i="68"/>
  <c r="BM65" i="68"/>
  <c r="BJ65" i="68"/>
  <c r="BH65" i="68"/>
  <c r="AQ65" i="68"/>
  <c r="AM65" i="68"/>
  <c r="AN65" i="68" s="1"/>
  <c r="E65" i="68"/>
  <c r="F65" i="68" s="1"/>
  <c r="I65" i="68"/>
  <c r="BT64" i="68"/>
  <c r="BN64" i="68"/>
  <c r="BM64" i="68"/>
  <c r="BO64" i="68" s="1"/>
  <c r="BJ64" i="68"/>
  <c r="BH64" i="68"/>
  <c r="E64" i="68"/>
  <c r="F64" i="68" s="1"/>
  <c r="I64" i="68"/>
  <c r="BT63" i="68"/>
  <c r="BR63" i="68"/>
  <c r="BQ63" i="68"/>
  <c r="BN63" i="68"/>
  <c r="BM63" i="68"/>
  <c r="BP63" i="68" s="1"/>
  <c r="BJ63" i="68"/>
  <c r="BH63" i="68"/>
  <c r="AX63" i="68"/>
  <c r="AT63" i="68"/>
  <c r="P63" i="68"/>
  <c r="M63" i="68"/>
  <c r="H63" i="68"/>
  <c r="BT62" i="68"/>
  <c r="BR62" i="68"/>
  <c r="BN62" i="68"/>
  <c r="BM62" i="68"/>
  <c r="BJ62" i="68"/>
  <c r="BH62" i="68"/>
  <c r="AQ62" i="68"/>
  <c r="AM62" i="68"/>
  <c r="AN62" i="68" s="1"/>
  <c r="I62" i="68"/>
  <c r="BT61" i="68"/>
  <c r="BR61" i="68"/>
  <c r="BP61" i="68"/>
  <c r="BN61" i="68"/>
  <c r="BM61" i="68"/>
  <c r="BO61" i="68" s="1"/>
  <c r="BJ61" i="68"/>
  <c r="BH61" i="68"/>
  <c r="AX61" i="68"/>
  <c r="AU61" i="68"/>
  <c r="AT61" i="68"/>
  <c r="AM61" i="68"/>
  <c r="AN61" i="68" s="1"/>
  <c r="P61" i="68"/>
  <c r="M61" i="68"/>
  <c r="J61" i="68"/>
  <c r="H61" i="68"/>
  <c r="BT60" i="68"/>
  <c r="BN60" i="68"/>
  <c r="BM60" i="68"/>
  <c r="BO60" i="68" s="1"/>
  <c r="BJ60" i="68"/>
  <c r="BH60" i="68"/>
  <c r="AQ60" i="68"/>
  <c r="E60" i="68"/>
  <c r="F60" i="68" s="1"/>
  <c r="I60" i="68"/>
  <c r="BV59" i="68"/>
  <c r="BT59" i="68"/>
  <c r="BQ59" i="68"/>
  <c r="BR59" i="68" s="1"/>
  <c r="BM59" i="68"/>
  <c r="BJ59" i="68"/>
  <c r="BH59" i="68"/>
  <c r="AX59" i="68"/>
  <c r="AT59" i="68"/>
  <c r="AQ59" i="68"/>
  <c r="P59" i="68"/>
  <c r="M59" i="68"/>
  <c r="H59" i="68"/>
  <c r="I59" i="68" s="1"/>
  <c r="BT58" i="68"/>
  <c r="BR58" i="68"/>
  <c r="BN58" i="68"/>
  <c r="BO58" i="68" s="1"/>
  <c r="BM58" i="68"/>
  <c r="BJ58" i="68"/>
  <c r="BH58" i="68"/>
  <c r="AQ58" i="68"/>
  <c r="AM58" i="68"/>
  <c r="AN58" i="68" s="1"/>
  <c r="I58" i="68"/>
  <c r="BT57" i="68"/>
  <c r="BR57" i="68"/>
  <c r="BN57" i="68"/>
  <c r="BM57" i="68"/>
  <c r="BO57" i="68" s="1"/>
  <c r="BJ57" i="68"/>
  <c r="BH57" i="68"/>
  <c r="AQ57" i="68"/>
  <c r="AM57" i="68"/>
  <c r="AN57" i="68" s="1"/>
  <c r="I57" i="68"/>
  <c r="BT56" i="68"/>
  <c r="BR56" i="68"/>
  <c r="BN56" i="68"/>
  <c r="BO56" i="68" s="1"/>
  <c r="BM56" i="68"/>
  <c r="BJ56" i="68"/>
  <c r="BH56" i="68"/>
  <c r="I56" i="68"/>
  <c r="BT55" i="68"/>
  <c r="BQ55" i="68"/>
  <c r="BM55" i="68"/>
  <c r="BJ55" i="68"/>
  <c r="BH55" i="68"/>
  <c r="AX55" i="68"/>
  <c r="AT55" i="68"/>
  <c r="AQ55" i="68"/>
  <c r="P55" i="68"/>
  <c r="M55" i="68"/>
  <c r="I55" i="68"/>
  <c r="BT54" i="68"/>
  <c r="BR54" i="68"/>
  <c r="BN54" i="68"/>
  <c r="BM54" i="68"/>
  <c r="BJ54" i="68"/>
  <c r="BH54" i="68"/>
  <c r="AQ54" i="68"/>
  <c r="AM54" i="68"/>
  <c r="AN54" i="68" s="1"/>
  <c r="I54" i="68"/>
  <c r="BT53" i="68"/>
  <c r="BR53" i="68"/>
  <c r="BN53" i="68"/>
  <c r="BM53" i="68"/>
  <c r="BJ53" i="68"/>
  <c r="BH53" i="68"/>
  <c r="AQ53" i="68"/>
  <c r="AM53" i="68"/>
  <c r="AN53" i="68" s="1"/>
  <c r="I53" i="68"/>
  <c r="BT52" i="68"/>
  <c r="BR52" i="68"/>
  <c r="BN52" i="68"/>
  <c r="BM52" i="68"/>
  <c r="BJ52" i="68"/>
  <c r="BH52" i="68"/>
  <c r="AZ52" i="68"/>
  <c r="AM52" i="68"/>
  <c r="AN52" i="68" s="1"/>
  <c r="I52" i="68"/>
  <c r="BT51" i="68"/>
  <c r="BR51" i="68"/>
  <c r="BN51" i="68"/>
  <c r="BM51" i="68"/>
  <c r="BO51" i="68" s="1"/>
  <c r="BJ51" i="68"/>
  <c r="BH51" i="68"/>
  <c r="AQ51" i="68"/>
  <c r="I51" i="68"/>
  <c r="E51" i="68"/>
  <c r="F51" i="68" s="1"/>
  <c r="BT50" i="68"/>
  <c r="BQ50" i="68"/>
  <c r="BR50" i="68" s="1"/>
  <c r="BM50" i="68"/>
  <c r="BH50" i="68"/>
  <c r="AZ50" i="68"/>
  <c r="AX50" i="68"/>
  <c r="AT50" i="68"/>
  <c r="AQ50" i="68"/>
  <c r="AM50" i="68"/>
  <c r="AN50" i="68" s="1"/>
  <c r="P50" i="68"/>
  <c r="H50" i="68"/>
  <c r="BT49" i="68"/>
  <c r="BR49" i="68"/>
  <c r="BN49" i="68"/>
  <c r="BP49" i="68" s="1"/>
  <c r="BM49" i="68"/>
  <c r="BJ49" i="68"/>
  <c r="BH49" i="68"/>
  <c r="AX49" i="68"/>
  <c r="AT49" i="68"/>
  <c r="AQ49" i="68"/>
  <c r="AM49" i="68"/>
  <c r="AN49" i="68" s="1"/>
  <c r="I49" i="68"/>
  <c r="BT48" i="68"/>
  <c r="BR48" i="68"/>
  <c r="BP48" i="68"/>
  <c r="BN48" i="68"/>
  <c r="BM48" i="68"/>
  <c r="BJ48" i="68"/>
  <c r="BH48" i="68"/>
  <c r="BA48" i="68"/>
  <c r="AX48" i="68"/>
  <c r="AT48" i="68"/>
  <c r="AQ48" i="68"/>
  <c r="AM48" i="68"/>
  <c r="AN48" i="68" s="1"/>
  <c r="P48" i="68"/>
  <c r="M48" i="68"/>
  <c r="H48" i="68"/>
  <c r="BR47" i="68"/>
  <c r="BN47" i="68"/>
  <c r="BM47" i="68"/>
  <c r="BH47" i="68"/>
  <c r="BH45" i="68" s="1"/>
  <c r="AN47" i="68"/>
  <c r="AM47" i="68"/>
  <c r="I47" i="68"/>
  <c r="E47" i="68"/>
  <c r="F47" i="68" s="1"/>
  <c r="BR46" i="68"/>
  <c r="BN46" i="68"/>
  <c r="BM46" i="68"/>
  <c r="BO46" i="68" s="1"/>
  <c r="BH46" i="68"/>
  <c r="AN46" i="68"/>
  <c r="AM46" i="68"/>
  <c r="I46" i="68"/>
  <c r="E46" i="68"/>
  <c r="F46" i="68" s="1"/>
  <c r="BS45" i="68"/>
  <c r="BM45" i="68"/>
  <c r="BI45" i="68"/>
  <c r="BI23" i="68" s="1"/>
  <c r="BI76" i="68" s="1"/>
  <c r="BG45" i="68"/>
  <c r="AW45" i="68"/>
  <c r="AU45" i="68"/>
  <c r="AU23" i="68" s="1"/>
  <c r="AS45" i="68"/>
  <c r="AR45" i="68"/>
  <c r="O45" i="68"/>
  <c r="N45" i="68"/>
  <c r="K45" i="68"/>
  <c r="J45" i="68"/>
  <c r="D45" i="68"/>
  <c r="BR44" i="68"/>
  <c r="BN44" i="68"/>
  <c r="BM44" i="68"/>
  <c r="BH44" i="68"/>
  <c r="AM44" i="68"/>
  <c r="AN44" i="68" s="1"/>
  <c r="I44" i="68"/>
  <c r="E44" i="68"/>
  <c r="F44" i="68" s="1"/>
  <c r="BR43" i="68"/>
  <c r="BN43" i="68"/>
  <c r="BM43" i="68"/>
  <c r="BO43" i="68" s="1"/>
  <c r="BH43" i="68"/>
  <c r="AM43" i="68"/>
  <c r="AN43" i="68" s="1"/>
  <c r="I43" i="68"/>
  <c r="E43" i="68"/>
  <c r="F43" i="68" s="1"/>
  <c r="BR42" i="68"/>
  <c r="BN42" i="68"/>
  <c r="BO42" i="68" s="1"/>
  <c r="BM42" i="68"/>
  <c r="BH42" i="68"/>
  <c r="AU42" i="68"/>
  <c r="AN42" i="68"/>
  <c r="AM42" i="68"/>
  <c r="I42" i="68"/>
  <c r="E42" i="68"/>
  <c r="D42" i="68"/>
  <c r="BR41" i="68"/>
  <c r="BN41" i="68"/>
  <c r="BM41" i="68"/>
  <c r="BH41" i="68"/>
  <c r="AM41" i="68"/>
  <c r="AN41" i="68" s="1"/>
  <c r="I41" i="68"/>
  <c r="E41" i="68"/>
  <c r="F41" i="68" s="1"/>
  <c r="BT40" i="68"/>
  <c r="BQ40" i="68"/>
  <c r="BM40" i="68"/>
  <c r="BJ40" i="68"/>
  <c r="BH40" i="68"/>
  <c r="AX40" i="68"/>
  <c r="AT40" i="68"/>
  <c r="AQ40" i="68"/>
  <c r="AM40" i="68"/>
  <c r="AN40" i="68" s="1"/>
  <c r="M40" i="68"/>
  <c r="H40" i="68"/>
  <c r="BT39" i="68"/>
  <c r="BQ39" i="68"/>
  <c r="BR39" i="68" s="1"/>
  <c r="BM39" i="68"/>
  <c r="BP39" i="68" s="1"/>
  <c r="BJ39" i="68"/>
  <c r="BH39" i="68"/>
  <c r="AX39" i="68"/>
  <c r="AT39" i="68"/>
  <c r="AQ39" i="68"/>
  <c r="AM39" i="68"/>
  <c r="AN39" i="68" s="1"/>
  <c r="M39" i="68"/>
  <c r="H39" i="68"/>
  <c r="I39" i="68" s="1"/>
  <c r="BT38" i="68"/>
  <c r="BR38" i="68"/>
  <c r="BN38" i="68"/>
  <c r="BP38" i="68" s="1"/>
  <c r="BM38" i="68"/>
  <c r="BO38" i="68" s="1"/>
  <c r="BJ38" i="68"/>
  <c r="BH38" i="68"/>
  <c r="AX38" i="68"/>
  <c r="AT38" i="68"/>
  <c r="AQ38" i="68"/>
  <c r="AM38" i="68"/>
  <c r="AN38" i="68" s="1"/>
  <c r="P38" i="68"/>
  <c r="M38" i="68"/>
  <c r="H38" i="68"/>
  <c r="BR37" i="68"/>
  <c r="BN37" i="68"/>
  <c r="BM37" i="68"/>
  <c r="BH37" i="68"/>
  <c r="AM37" i="68"/>
  <c r="AN37" i="68" s="1"/>
  <c r="I37" i="68"/>
  <c r="E37" i="68"/>
  <c r="F37" i="68" s="1"/>
  <c r="BS36" i="68"/>
  <c r="BS33" i="68" s="1"/>
  <c r="BM36" i="68"/>
  <c r="BI36" i="68"/>
  <c r="BG36" i="68"/>
  <c r="AW36" i="68"/>
  <c r="AX36" i="68" s="1"/>
  <c r="AU36" i="68"/>
  <c r="AS36" i="68"/>
  <c r="AS33" i="68" s="1"/>
  <c r="AR36" i="68"/>
  <c r="AR33" i="68" s="1"/>
  <c r="AP36" i="68"/>
  <c r="AP33" i="68" s="1"/>
  <c r="AO36" i="68"/>
  <c r="O36" i="68"/>
  <c r="O33" i="68" s="1"/>
  <c r="N36" i="68"/>
  <c r="P36" i="68" s="1"/>
  <c r="L36" i="68"/>
  <c r="L33" i="68" s="1"/>
  <c r="K36" i="68"/>
  <c r="J36" i="68"/>
  <c r="J33" i="68" s="1"/>
  <c r="D36" i="68"/>
  <c r="D33" i="68" s="1"/>
  <c r="BR35" i="68"/>
  <c r="BR34" i="68" s="1"/>
  <c r="BN35" i="68"/>
  <c r="BM35" i="68"/>
  <c r="BH35" i="68"/>
  <c r="BH34" i="68" s="1"/>
  <c r="AM35" i="68"/>
  <c r="I35" i="68"/>
  <c r="BQ34" i="68"/>
  <c r="BN34" i="68" s="1"/>
  <c r="BM34" i="68"/>
  <c r="AU34" i="68"/>
  <c r="AP34" i="68"/>
  <c r="AM34" i="68" s="1"/>
  <c r="AN34" i="68"/>
  <c r="G34" i="68"/>
  <c r="I34" i="68" s="1"/>
  <c r="E34" i="68"/>
  <c r="F34" i="68" s="1"/>
  <c r="BM33" i="68"/>
  <c r="BI33" i="68"/>
  <c r="BG33" i="68"/>
  <c r="AU33" i="68"/>
  <c r="AO33" i="68"/>
  <c r="K33" i="68"/>
  <c r="BR32" i="68"/>
  <c r="BN32" i="68"/>
  <c r="BM32" i="68"/>
  <c r="BH32" i="68"/>
  <c r="AM32" i="68"/>
  <c r="AN32" i="68" s="1"/>
  <c r="I32" i="68"/>
  <c r="E32" i="68"/>
  <c r="F32" i="68" s="1"/>
  <c r="BR31" i="68"/>
  <c r="BN31" i="68"/>
  <c r="BM31" i="68"/>
  <c r="BH31" i="68"/>
  <c r="AM31" i="68"/>
  <c r="AN31" i="68" s="1"/>
  <c r="I31" i="68"/>
  <c r="E31" i="68"/>
  <c r="F31" i="68" s="1"/>
  <c r="BR30" i="68"/>
  <c r="BN30" i="68"/>
  <c r="BM30" i="68"/>
  <c r="BO30" i="68" s="1"/>
  <c r="BH30" i="68"/>
  <c r="AN30" i="68"/>
  <c r="AM30" i="68"/>
  <c r="I30" i="68"/>
  <c r="E30" i="68"/>
  <c r="F30" i="68" s="1"/>
  <c r="BR29" i="68"/>
  <c r="BN29" i="68"/>
  <c r="BM29" i="68"/>
  <c r="BO29" i="68" s="1"/>
  <c r="BH29" i="68"/>
  <c r="AU29" i="68"/>
  <c r="AM29" i="68"/>
  <c r="AN29" i="68" s="1"/>
  <c r="I29" i="68"/>
  <c r="G29" i="68"/>
  <c r="E29" i="68"/>
  <c r="F29" i="68" s="1"/>
  <c r="BT28" i="68"/>
  <c r="BR28" i="68"/>
  <c r="BN28" i="68"/>
  <c r="BO28" i="68" s="1"/>
  <c r="BM28" i="68"/>
  <c r="BP28" i="68" s="1"/>
  <c r="BJ28" i="68"/>
  <c r="BH28" i="68"/>
  <c r="AX28" i="68"/>
  <c r="AT28" i="68"/>
  <c r="AQ28" i="68"/>
  <c r="AM28" i="68"/>
  <c r="AN28" i="68" s="1"/>
  <c r="P28" i="68"/>
  <c r="BT27" i="68"/>
  <c r="BR27" i="68"/>
  <c r="BQ27" i="68"/>
  <c r="BN27" i="68" s="1"/>
  <c r="BM27" i="68"/>
  <c r="BJ27" i="68"/>
  <c r="AX27" i="68"/>
  <c r="AT27" i="68"/>
  <c r="AQ27" i="68"/>
  <c r="AM27" i="68"/>
  <c r="AN27" i="68" s="1"/>
  <c r="P27" i="68"/>
  <c r="I27" i="68"/>
  <c r="BT26" i="68"/>
  <c r="BR26" i="68"/>
  <c r="BN26" i="68"/>
  <c r="BM26" i="68"/>
  <c r="BP26" i="68" s="1"/>
  <c r="BJ26" i="68"/>
  <c r="BJ24" i="68" s="1"/>
  <c r="AX26" i="68"/>
  <c r="AT26" i="68"/>
  <c r="AQ26" i="68"/>
  <c r="AM26" i="68"/>
  <c r="P26" i="68"/>
  <c r="M26" i="68"/>
  <c r="I26" i="68"/>
  <c r="D24" i="68"/>
  <c r="BN25" i="68"/>
  <c r="BM25" i="68"/>
  <c r="AN25" i="68"/>
  <c r="AM25" i="68"/>
  <c r="I25" i="68"/>
  <c r="E25" i="68"/>
  <c r="F25" i="68" s="1"/>
  <c r="BS24" i="68"/>
  <c r="BQ24" i="68"/>
  <c r="BM24" i="68"/>
  <c r="BI24" i="68"/>
  <c r="BG24" i="68"/>
  <c r="AX24" i="68"/>
  <c r="AW24" i="68"/>
  <c r="AU24" i="68"/>
  <c r="AS24" i="68"/>
  <c r="AR24" i="68"/>
  <c r="AP24" i="68"/>
  <c r="AO24" i="68"/>
  <c r="O24" i="68"/>
  <c r="P24" i="68" s="1"/>
  <c r="N24" i="68"/>
  <c r="K24" i="68"/>
  <c r="G24" i="68"/>
  <c r="G23" i="68" s="1"/>
  <c r="BM23" i="68"/>
  <c r="AK78" i="68"/>
  <c r="AX22" i="68"/>
  <c r="AT22" i="68"/>
  <c r="AM22" i="68"/>
  <c r="I22" i="68"/>
  <c r="D22" i="68"/>
  <c r="AX21" i="68"/>
  <c r="AT21" i="68"/>
  <c r="AQ21" i="68"/>
  <c r="AM21" i="68"/>
  <c r="AN21" i="68" s="1"/>
  <c r="I21" i="68"/>
  <c r="AM20" i="68"/>
  <c r="AN20" i="68" s="1"/>
  <c r="I20" i="68"/>
  <c r="AM19" i="68"/>
  <c r="AN19" i="68" s="1"/>
  <c r="I19" i="68"/>
  <c r="E19" i="68"/>
  <c r="F19" i="68" s="1"/>
  <c r="AM18" i="68"/>
  <c r="AN18" i="68" s="1"/>
  <c r="I18" i="68"/>
  <c r="E18" i="68"/>
  <c r="F18" i="68" s="1"/>
  <c r="AQ17" i="68"/>
  <c r="AN17" i="68"/>
  <c r="AM17" i="68"/>
  <c r="I17" i="68"/>
  <c r="E17" i="68"/>
  <c r="AM16" i="68"/>
  <c r="AN16" i="68" s="1"/>
  <c r="I16" i="68"/>
  <c r="E16" i="68"/>
  <c r="F16" i="68" s="1"/>
  <c r="BQ15" i="68"/>
  <c r="AX15" i="68"/>
  <c r="AT15" i="68"/>
  <c r="AQ15" i="68"/>
  <c r="AM15" i="68"/>
  <c r="AN15" i="68" s="1"/>
  <c r="J15" i="68"/>
  <c r="J14" i="68" s="1"/>
  <c r="BQ14" i="68"/>
  <c r="BQ16" i="68" s="1"/>
  <c r="AX14" i="68"/>
  <c r="AW14" i="68"/>
  <c r="AW11" i="68" s="1"/>
  <c r="AT14" i="68"/>
  <c r="AQ14" i="68"/>
  <c r="BA13" i="68"/>
  <c r="AN13" i="68"/>
  <c r="E13" i="68"/>
  <c r="F13" i="68" s="1"/>
  <c r="AN12" i="68"/>
  <c r="E12" i="68"/>
  <c r="F12" i="68" s="1"/>
  <c r="BW11" i="68"/>
  <c r="BU12" i="68" s="1"/>
  <c r="BS11" i="68"/>
  <c r="BP11" i="68"/>
  <c r="BO11" i="68"/>
  <c r="BM11" i="68"/>
  <c r="BI11" i="68"/>
  <c r="BJ11" i="68" s="1"/>
  <c r="BH11" i="68"/>
  <c r="AS11" i="68"/>
  <c r="AT11" i="68" s="1"/>
  <c r="AR11" i="68"/>
  <c r="BB13" i="68" s="1"/>
  <c r="AP11" i="68"/>
  <c r="BQ12" i="68" s="1"/>
  <c r="N11" i="68"/>
  <c r="K11" i="68"/>
  <c r="J11" i="68"/>
  <c r="G11" i="68"/>
  <c r="H4" i="68"/>
  <c r="AN76" i="72" l="1"/>
  <c r="AN79" i="72" s="1"/>
  <c r="AN80" i="72" s="1"/>
  <c r="V81" i="70"/>
  <c r="Y96" i="70" s="1"/>
  <c r="W45" i="70"/>
  <c r="V78" i="70"/>
  <c r="D102" i="70"/>
  <c r="AM84" i="70"/>
  <c r="AN80" i="70"/>
  <c r="I77" i="70"/>
  <c r="I81" i="70" s="1"/>
  <c r="G81" i="70"/>
  <c r="H82" i="70" s="1"/>
  <c r="E81" i="70"/>
  <c r="E78" i="70"/>
  <c r="M78" i="70"/>
  <c r="N45" i="70"/>
  <c r="M81" i="70"/>
  <c r="P96" i="70" s="1"/>
  <c r="AE78" i="70"/>
  <c r="AF45" i="70"/>
  <c r="AE81" i="70"/>
  <c r="AM56" i="68"/>
  <c r="AQ64" i="68"/>
  <c r="BR60" i="68"/>
  <c r="AM64" i="68"/>
  <c r="AN64" i="68" s="1"/>
  <c r="AP45" i="68"/>
  <c r="AQ45" i="68" s="1"/>
  <c r="E40" i="68"/>
  <c r="F40" i="68" s="1"/>
  <c r="E38" i="68"/>
  <c r="F38" i="68" s="1"/>
  <c r="L45" i="68"/>
  <c r="M45" i="68" s="1"/>
  <c r="I40" i="68"/>
  <c r="M36" i="68"/>
  <c r="H28" i="68"/>
  <c r="H24" i="68" s="1"/>
  <c r="O102" i="68" s="1"/>
  <c r="BQ17" i="68"/>
  <c r="M33" i="68"/>
  <c r="AM14" i="68"/>
  <c r="AN14" i="68" s="1"/>
  <c r="K23" i="68"/>
  <c r="K78" i="68" s="1"/>
  <c r="BO25" i="68"/>
  <c r="BT24" i="68"/>
  <c r="BO31" i="68"/>
  <c r="AW33" i="68"/>
  <c r="AW23" i="68" s="1"/>
  <c r="BO37" i="68"/>
  <c r="H36" i="68"/>
  <c r="I36" i="68" s="1"/>
  <c r="BH36" i="68"/>
  <c r="E39" i="68"/>
  <c r="F39" i="68" s="1"/>
  <c r="BT36" i="68"/>
  <c r="BT33" i="68" s="1"/>
  <c r="BO47" i="68"/>
  <c r="BN50" i="68"/>
  <c r="BO53" i="68"/>
  <c r="E54" i="68"/>
  <c r="F54" i="68" s="1"/>
  <c r="BO62" i="68"/>
  <c r="BO74" i="68"/>
  <c r="D11" i="68"/>
  <c r="BO24" i="68"/>
  <c r="BG23" i="68"/>
  <c r="BG76" i="68" s="1"/>
  <c r="AT36" i="68"/>
  <c r="BS23" i="68"/>
  <c r="BS76" i="68" s="1"/>
  <c r="BO48" i="68"/>
  <c r="AV23" i="68"/>
  <c r="BN24" i="68"/>
  <c r="D23" i="68"/>
  <c r="BO32" i="68"/>
  <c r="BO34" i="68"/>
  <c r="BO41" i="68"/>
  <c r="BO44" i="68"/>
  <c r="BO52" i="68"/>
  <c r="E59" i="68"/>
  <c r="F59" i="68" s="1"/>
  <c r="BO68" i="68"/>
  <c r="BO70" i="68"/>
  <c r="P109" i="68"/>
  <c r="AB107" i="68"/>
  <c r="AB105" i="68"/>
  <c r="E66" i="68"/>
  <c r="F66" i="68" s="1"/>
  <c r="H45" i="68"/>
  <c r="I45" i="68" s="1"/>
  <c r="P45" i="68"/>
  <c r="E55" i="68"/>
  <c r="F55" i="68" s="1"/>
  <c r="H33" i="68"/>
  <c r="I33" i="68" s="1"/>
  <c r="I38" i="68"/>
  <c r="O23" i="68"/>
  <c r="AX33" i="68"/>
  <c r="AX45" i="68"/>
  <c r="AT33" i="68"/>
  <c r="AR23" i="68"/>
  <c r="AR78" i="68" s="1"/>
  <c r="AR79" i="68" s="1"/>
  <c r="BR24" i="68"/>
  <c r="BO26" i="68"/>
  <c r="BO65" i="68"/>
  <c r="BO54" i="68"/>
  <c r="BO63" i="68"/>
  <c r="BO72" i="68"/>
  <c r="F17" i="68"/>
  <c r="N33" i="68"/>
  <c r="N23" i="68" s="1"/>
  <c r="P33" i="68"/>
  <c r="M5" i="68"/>
  <c r="N5" i="68" s="1"/>
  <c r="BH33" i="68"/>
  <c r="BJ36" i="68"/>
  <c r="BJ33" i="68" s="1"/>
  <c r="AQ33" i="68"/>
  <c r="AM33" i="68"/>
  <c r="D78" i="68"/>
  <c r="K75" i="68"/>
  <c r="AU76" i="68"/>
  <c r="AU78" i="68"/>
  <c r="I24" i="68"/>
  <c r="AN26" i="68"/>
  <c r="E26" i="68"/>
  <c r="F26" i="68" s="1"/>
  <c r="BP27" i="68"/>
  <c r="BP24" i="68" s="1"/>
  <c r="BO27" i="68"/>
  <c r="BO35" i="68"/>
  <c r="BP35" i="68"/>
  <c r="BP34" i="68" s="1"/>
  <c r="BP40" i="68"/>
  <c r="BP36" i="68" s="1"/>
  <c r="E58" i="68"/>
  <c r="F58" i="68" s="1"/>
  <c r="V83" i="68"/>
  <c r="X76" i="68"/>
  <c r="BT11" i="68"/>
  <c r="AK76" i="68"/>
  <c r="AK79" i="68" s="1"/>
  <c r="AK80" i="68" s="1"/>
  <c r="AW75" i="68"/>
  <c r="AW76" i="68" s="1"/>
  <c r="AX23" i="68"/>
  <c r="AT24" i="68"/>
  <c r="AS23" i="68"/>
  <c r="BR40" i="68"/>
  <c r="BR36" i="68" s="1"/>
  <c r="BR33" i="68" s="1"/>
  <c r="BN40" i="68"/>
  <c r="BO40" i="68" s="1"/>
  <c r="I63" i="68"/>
  <c r="AX11" i="68"/>
  <c r="E21" i="68"/>
  <c r="F21" i="68" s="1"/>
  <c r="G78" i="68"/>
  <c r="G75" i="68"/>
  <c r="BH27" i="68"/>
  <c r="BQ36" i="68"/>
  <c r="BN36" i="68" s="1"/>
  <c r="F42" i="68"/>
  <c r="BT45" i="68"/>
  <c r="BT23" i="68" s="1"/>
  <c r="AJ78" i="68"/>
  <c r="AJ76" i="68"/>
  <c r="BT76" i="68"/>
  <c r="E53" i="68"/>
  <c r="F53" i="68" s="1"/>
  <c r="AB78" i="68"/>
  <c r="E22" i="68"/>
  <c r="F22" i="68" s="1"/>
  <c r="AN22" i="68"/>
  <c r="E35" i="68"/>
  <c r="F35" i="68" s="1"/>
  <c r="AN35" i="68"/>
  <c r="AQ36" i="68"/>
  <c r="AM36" i="68"/>
  <c r="BO36" i="68"/>
  <c r="U76" i="68"/>
  <c r="U78" i="68"/>
  <c r="BM75" i="68"/>
  <c r="AM11" i="68"/>
  <c r="BR11" i="68"/>
  <c r="AQ11" i="68"/>
  <c r="X78" i="68"/>
  <c r="AP23" i="68"/>
  <c r="I48" i="68"/>
  <c r="E48" i="68"/>
  <c r="F48" i="68" s="1"/>
  <c r="BP50" i="68"/>
  <c r="BO50" i="68"/>
  <c r="E57" i="68"/>
  <c r="F57" i="68" s="1"/>
  <c r="BH26" i="68"/>
  <c r="E52" i="68"/>
  <c r="F52" i="68" s="1"/>
  <c r="I94" i="68"/>
  <c r="K76" i="68"/>
  <c r="AM24" i="68"/>
  <c r="AN24" i="68" s="1"/>
  <c r="AQ24" i="68"/>
  <c r="AM45" i="68"/>
  <c r="AN45" i="68" s="1"/>
  <c r="AA76" i="68"/>
  <c r="AA79" i="68" s="1"/>
  <c r="AA80" i="68" s="1"/>
  <c r="E50" i="68"/>
  <c r="F50" i="68" s="1"/>
  <c r="I50" i="68"/>
  <c r="E62" i="68"/>
  <c r="F62" i="68" s="1"/>
  <c r="BR66" i="68"/>
  <c r="BN66" i="68"/>
  <c r="BP66" i="68" s="1"/>
  <c r="BN39" i="68"/>
  <c r="BO39" i="68" s="1"/>
  <c r="AT45" i="68"/>
  <c r="E49" i="68"/>
  <c r="F49" i="68" s="1"/>
  <c r="BO49" i="68"/>
  <c r="BJ50" i="68"/>
  <c r="BJ45" i="68" s="1"/>
  <c r="BQ45" i="68"/>
  <c r="BR55" i="68"/>
  <c r="BR45" i="68" s="1"/>
  <c r="BN55" i="68"/>
  <c r="BP55" i="68" s="1"/>
  <c r="E61" i="68"/>
  <c r="F61" i="68" s="1"/>
  <c r="I61" i="68"/>
  <c r="L114" i="68"/>
  <c r="L115" i="68" s="1"/>
  <c r="X106" i="68"/>
  <c r="O101" i="68"/>
  <c r="AB106" i="68"/>
  <c r="X103" i="68"/>
  <c r="BN59" i="68"/>
  <c r="AM63" i="68"/>
  <c r="AN63" i="68" s="1"/>
  <c r="AQ63" i="68"/>
  <c r="AT66" i="68"/>
  <c r="BO71" i="68"/>
  <c r="AB103" i="68"/>
  <c r="M100" i="68"/>
  <c r="N102" i="68"/>
  <c r="X105" i="68"/>
  <c r="O15" i="68" l="1"/>
  <c r="D88" i="68"/>
  <c r="N78" i="70"/>
  <c r="N81" i="70"/>
  <c r="W81" i="70"/>
  <c r="W78" i="70"/>
  <c r="AF81" i="70"/>
  <c r="AF78" i="70"/>
  <c r="G96" i="70"/>
  <c r="AK80" i="70"/>
  <c r="AN82" i="70"/>
  <c r="AM83" i="70" s="1"/>
  <c r="AN56" i="68"/>
  <c r="E56" i="68"/>
  <c r="F56" i="68" s="1"/>
  <c r="E45" i="68"/>
  <c r="E97" i="68" s="1"/>
  <c r="H23" i="68"/>
  <c r="I23" i="68" s="1"/>
  <c r="I28" i="68"/>
  <c r="H100" i="68"/>
  <c r="H101" i="68" s="1"/>
  <c r="E28" i="68"/>
  <c r="F28" i="68" s="1"/>
  <c r="E24" i="68"/>
  <c r="F24" i="68" s="1"/>
  <c r="BO66" i="68"/>
  <c r="D76" i="68"/>
  <c r="AB109" i="68"/>
  <c r="AR75" i="68"/>
  <c r="AR80" i="68" s="1"/>
  <c r="X109" i="68"/>
  <c r="AR87" i="68"/>
  <c r="U79" i="68"/>
  <c r="U80" i="68" s="1"/>
  <c r="P23" i="68"/>
  <c r="AX75" i="68"/>
  <c r="BR76" i="68"/>
  <c r="BR23" i="68"/>
  <c r="N78" i="68"/>
  <c r="N75" i="68"/>
  <c r="N76" i="68" s="1"/>
  <c r="T78" i="68"/>
  <c r="T76" i="68"/>
  <c r="T88" i="68" s="1"/>
  <c r="BJ23" i="68"/>
  <c r="BJ76" i="68"/>
  <c r="BN45" i="68"/>
  <c r="BO45" i="68" s="1"/>
  <c r="AS78" i="68"/>
  <c r="AS75" i="68"/>
  <c r="AT23" i="68"/>
  <c r="AS87" i="68"/>
  <c r="BO55" i="68"/>
  <c r="BQ33" i="68"/>
  <c r="BN33" i="68" s="1"/>
  <c r="BO33" i="68" s="1"/>
  <c r="AP87" i="68"/>
  <c r="BA23" i="68"/>
  <c r="AP75" i="68"/>
  <c r="AP78" i="68"/>
  <c r="AM23" i="68"/>
  <c r="AQ23" i="68"/>
  <c r="E20" i="68"/>
  <c r="F20" i="68" s="1"/>
  <c r="AN11" i="68"/>
  <c r="AE76" i="68"/>
  <c r="AF76" i="68" s="1"/>
  <c r="AJ79" i="68"/>
  <c r="AJ80" i="68" s="1"/>
  <c r="Q78" i="68"/>
  <c r="Q4" i="68"/>
  <c r="R4" i="68" s="1"/>
  <c r="Q76" i="68"/>
  <c r="E63" i="68"/>
  <c r="F63" i="68" s="1"/>
  <c r="V78" i="68"/>
  <c r="K79" i="68"/>
  <c r="K80" i="68" s="1"/>
  <c r="E33" i="68"/>
  <c r="F33" i="68" s="1"/>
  <c r="AN33" i="68"/>
  <c r="AE103" i="68"/>
  <c r="AN36" i="68"/>
  <c r="E36" i="68"/>
  <c r="F36" i="68" s="1"/>
  <c r="G76" i="68"/>
  <c r="G79" i="68" s="1"/>
  <c r="G80" i="68" s="1"/>
  <c r="BP33" i="68"/>
  <c r="D79" i="68"/>
  <c r="D80" i="68" s="1"/>
  <c r="BP59" i="68"/>
  <c r="BP45" i="68" s="1"/>
  <c r="BO59" i="68"/>
  <c r="BH76" i="68"/>
  <c r="BH24" i="68"/>
  <c r="BH23" i="68" s="1"/>
  <c r="X79" i="68"/>
  <c r="X80" i="68" s="1"/>
  <c r="U113" i="68"/>
  <c r="AC76" i="68"/>
  <c r="AC78" i="68"/>
  <c r="E27" i="68"/>
  <c r="F27" i="68" s="1"/>
  <c r="AU79" i="68"/>
  <c r="AU80" i="68" s="1"/>
  <c r="AB76" i="68"/>
  <c r="AB79" i="68" s="1"/>
  <c r="AB80" i="68" s="1"/>
  <c r="H93" i="68" l="1"/>
  <c r="H95" i="68" s="1"/>
  <c r="L15" i="68"/>
  <c r="P15" i="68"/>
  <c r="O14" i="68"/>
  <c r="F45" i="68"/>
  <c r="BP23" i="68"/>
  <c r="BP22" i="68" s="1"/>
  <c r="BT75" i="68"/>
  <c r="AE109" i="68"/>
  <c r="N79" i="68"/>
  <c r="N80" i="68" s="1"/>
  <c r="T79" i="68"/>
  <c r="T80" i="68" s="1"/>
  <c r="BP75" i="68"/>
  <c r="BP100" i="68" s="1"/>
  <c r="AM75" i="68"/>
  <c r="AM78" i="68"/>
  <c r="AM87" i="68"/>
  <c r="AN23" i="68"/>
  <c r="BQ23" i="68"/>
  <c r="Y78" i="68"/>
  <c r="Y76" i="68"/>
  <c r="Q79" i="68"/>
  <c r="Q80" i="68" s="1"/>
  <c r="AP82" i="68"/>
  <c r="AP76" i="68"/>
  <c r="AP79" i="68" s="1"/>
  <c r="AP80" i="68" s="1"/>
  <c r="R78" i="68"/>
  <c r="AT78" i="68"/>
  <c r="AT79" i="68" s="1"/>
  <c r="AT75" i="68"/>
  <c r="R76" i="68"/>
  <c r="S76" i="68"/>
  <c r="Z78" i="68"/>
  <c r="Z76" i="68"/>
  <c r="BJ75" i="68"/>
  <c r="AH76" i="68"/>
  <c r="AI76" i="68" s="1"/>
  <c r="AC79" i="68"/>
  <c r="AC80" i="68" s="1"/>
  <c r="V76" i="68"/>
  <c r="W76" i="68" s="1"/>
  <c r="E23" i="68"/>
  <c r="W78" i="68"/>
  <c r="AQ75" i="68"/>
  <c r="AQ78" i="68"/>
  <c r="AS100" i="68"/>
  <c r="AS76" i="68"/>
  <c r="AS79" i="68" s="1"/>
  <c r="AS80" i="68" s="1"/>
  <c r="O11" i="68" l="1"/>
  <c r="P14" i="68"/>
  <c r="L14" i="68"/>
  <c r="M15" i="68"/>
  <c r="H15" i="68"/>
  <c r="AT80" i="68"/>
  <c r="W79" i="68"/>
  <c r="Z79" i="68"/>
  <c r="Z80" i="68" s="1"/>
  <c r="BN23" i="68"/>
  <c r="BQ76" i="68"/>
  <c r="BQ101" i="68" s="1"/>
  <c r="AN78" i="68"/>
  <c r="AN75" i="68"/>
  <c r="F23" i="68"/>
  <c r="S78" i="68"/>
  <c r="S79" i="68" s="1"/>
  <c r="S80" i="68" s="1"/>
  <c r="Y79" i="68"/>
  <c r="Y80" i="68" s="1"/>
  <c r="AQ76" i="68"/>
  <c r="AQ79" i="68" s="1"/>
  <c r="AQ80" i="68" s="1"/>
  <c r="R79" i="68"/>
  <c r="R80" i="68" s="1"/>
  <c r="V79" i="68"/>
  <c r="V80" i="68" s="1"/>
  <c r="AM76" i="68"/>
  <c r="AM79" i="68" s="1"/>
  <c r="AM80" i="68" s="1"/>
  <c r="M14" i="68" l="1"/>
  <c r="H14" i="68"/>
  <c r="E15" i="68"/>
  <c r="F15" i="68" s="1"/>
  <c r="I15" i="68"/>
  <c r="O4" i="68"/>
  <c r="P11" i="68"/>
  <c r="O78" i="68"/>
  <c r="O75" i="68"/>
  <c r="O76" i="68" s="1"/>
  <c r="W80" i="68"/>
  <c r="W99" i="68" s="1"/>
  <c r="AN76" i="68"/>
  <c r="AN79" i="68" s="1"/>
  <c r="AN80" i="68" s="1"/>
  <c r="BN75" i="68"/>
  <c r="BO23" i="68"/>
  <c r="O79" i="68" l="1"/>
  <c r="O80" i="68" s="1"/>
  <c r="P78" i="68"/>
  <c r="P79" i="68" s="1"/>
  <c r="P75" i="68"/>
  <c r="H11" i="68"/>
  <c r="E14" i="68"/>
  <c r="F14" i="68" s="1"/>
  <c r="I14" i="68"/>
  <c r="H75" i="68" l="1"/>
  <c r="H76" i="68" s="1"/>
  <c r="E11" i="68"/>
  <c r="H78" i="68"/>
  <c r="L11" i="68"/>
  <c r="I11" i="68"/>
  <c r="I4" i="68"/>
  <c r="P80" i="68"/>
  <c r="M5" i="67"/>
  <c r="M49" i="67" s="1"/>
  <c r="N49" i="67" s="1"/>
  <c r="AF87" i="67"/>
  <c r="W87" i="67"/>
  <c r="N87" i="67"/>
  <c r="E87" i="67"/>
  <c r="Q83" i="67"/>
  <c r="H83" i="67"/>
  <c r="AI81" i="67"/>
  <c r="Z81" i="67"/>
  <c r="AP80" i="67"/>
  <c r="I80" i="67"/>
  <c r="G80" i="67"/>
  <c r="E80" i="67"/>
  <c r="C80" i="67"/>
  <c r="L80" i="67" s="1"/>
  <c r="L76" i="67"/>
  <c r="AP75" i="67"/>
  <c r="AN75" i="67"/>
  <c r="AE75" i="67"/>
  <c r="AF75" i="67" s="1"/>
  <c r="AD75" i="67"/>
  <c r="AD76" i="67" s="1"/>
  <c r="U75" i="67"/>
  <c r="M75" i="67"/>
  <c r="N75" i="67" s="1"/>
  <c r="L75" i="67"/>
  <c r="I75" i="67"/>
  <c r="G75" i="67"/>
  <c r="AK75" i="67" s="1"/>
  <c r="C75" i="67"/>
  <c r="AH74" i="67"/>
  <c r="AE74" i="67"/>
  <c r="W74" i="67"/>
  <c r="V74" i="67"/>
  <c r="Y74" i="67" s="1"/>
  <c r="AP74" i="67"/>
  <c r="M74" i="67"/>
  <c r="N74" i="67" s="1"/>
  <c r="E74" i="67"/>
  <c r="D74" i="67"/>
  <c r="AD72" i="67"/>
  <c r="U72" i="67"/>
  <c r="L72" i="67"/>
  <c r="D72" i="67"/>
  <c r="E72" i="67" s="1"/>
  <c r="C72" i="67"/>
  <c r="AF71" i="67"/>
  <c r="AE71" i="67"/>
  <c r="W71" i="67"/>
  <c r="V71" i="67"/>
  <c r="E71" i="67"/>
  <c r="D71" i="67"/>
  <c r="AF70" i="67"/>
  <c r="AE70" i="67"/>
  <c r="AE72" i="67" s="1"/>
  <c r="AF72" i="67" s="1"/>
  <c r="W70" i="67"/>
  <c r="V70" i="67"/>
  <c r="V72" i="67" s="1"/>
  <c r="W72" i="67" s="1"/>
  <c r="M70" i="67"/>
  <c r="E70" i="67"/>
  <c r="D70" i="67"/>
  <c r="AP67" i="67"/>
  <c r="AF67" i="67"/>
  <c r="AE67" i="67"/>
  <c r="AE68" i="67" s="1"/>
  <c r="V67" i="67"/>
  <c r="V68" i="67" s="1"/>
  <c r="W68" i="67" s="1"/>
  <c r="M67" i="67"/>
  <c r="N67" i="67" s="1"/>
  <c r="G67" i="67"/>
  <c r="I67" i="67" s="1"/>
  <c r="D67" i="67"/>
  <c r="D68" i="67" s="1"/>
  <c r="E68" i="67" s="1"/>
  <c r="AF66" i="67"/>
  <c r="W66" i="67"/>
  <c r="N66" i="67"/>
  <c r="E66" i="67"/>
  <c r="AE65" i="67"/>
  <c r="AF65" i="67" s="1"/>
  <c r="V65" i="67"/>
  <c r="W65" i="67" s="1"/>
  <c r="M65" i="67"/>
  <c r="N65" i="67" s="1"/>
  <c r="D65" i="67"/>
  <c r="E65" i="67" s="1"/>
  <c r="AE60" i="67"/>
  <c r="AF60" i="67" s="1"/>
  <c r="AF63" i="67" s="1"/>
  <c r="V60" i="67"/>
  <c r="W60" i="67" s="1"/>
  <c r="W63" i="67" s="1"/>
  <c r="M60" i="67"/>
  <c r="N60" i="67" s="1"/>
  <c r="N63" i="67" s="1"/>
  <c r="D60" i="67"/>
  <c r="E60" i="67" s="1"/>
  <c r="E63" i="67" s="1"/>
  <c r="AE58" i="67"/>
  <c r="AD58" i="67"/>
  <c r="U58" i="67"/>
  <c r="L58" i="67"/>
  <c r="C58" i="67"/>
  <c r="AE57" i="67"/>
  <c r="AF57" i="67" s="1"/>
  <c r="V57" i="67"/>
  <c r="W57" i="67" s="1"/>
  <c r="M57" i="67"/>
  <c r="D57" i="67"/>
  <c r="AE56" i="67"/>
  <c r="AF56" i="67" s="1"/>
  <c r="W56" i="67"/>
  <c r="V56" i="67"/>
  <c r="V58" i="67" s="1"/>
  <c r="AP56" i="67"/>
  <c r="M56" i="67"/>
  <c r="N56" i="67" s="1"/>
  <c r="D56" i="67"/>
  <c r="E56" i="67" s="1"/>
  <c r="AF55" i="67"/>
  <c r="W55" i="67"/>
  <c r="N55" i="67"/>
  <c r="E55" i="67"/>
  <c r="AD54" i="67"/>
  <c r="AD77" i="67" s="1"/>
  <c r="U54" i="67"/>
  <c r="L54" i="67"/>
  <c r="L77" i="67" s="1"/>
  <c r="C54" i="67"/>
  <c r="AF53" i="67"/>
  <c r="AE53" i="67"/>
  <c r="W53" i="67"/>
  <c r="V53" i="67"/>
  <c r="M53" i="67"/>
  <c r="N53" i="67" s="1"/>
  <c r="D53" i="67"/>
  <c r="E53" i="67" s="1"/>
  <c r="AF52" i="67"/>
  <c r="W52" i="67"/>
  <c r="N52" i="67"/>
  <c r="E52" i="67"/>
  <c r="AF51" i="67"/>
  <c r="W51" i="67"/>
  <c r="N51" i="67"/>
  <c r="E51" i="67"/>
  <c r="AF50" i="67"/>
  <c r="W50" i="67"/>
  <c r="N50" i="67"/>
  <c r="E50" i="67"/>
  <c r="AF49" i="67"/>
  <c r="AE49" i="67"/>
  <c r="W49" i="67"/>
  <c r="V49" i="67"/>
  <c r="D49" i="67"/>
  <c r="E49" i="67" s="1"/>
  <c r="AP48" i="67"/>
  <c r="AF48" i="67"/>
  <c r="AE48" i="67"/>
  <c r="AE54" i="67" s="1"/>
  <c r="V48" i="67"/>
  <c r="W48" i="67" s="1"/>
  <c r="M48" i="67"/>
  <c r="D48" i="67"/>
  <c r="AD43" i="67"/>
  <c r="U43" i="67"/>
  <c r="L43" i="67"/>
  <c r="C43" i="67"/>
  <c r="AE42" i="67"/>
  <c r="AF42" i="67" s="1"/>
  <c r="V42" i="67"/>
  <c r="W42" i="67" s="1"/>
  <c r="D42" i="67"/>
  <c r="E42" i="67" s="1"/>
  <c r="AD40" i="67"/>
  <c r="U40" i="67"/>
  <c r="L40" i="67"/>
  <c r="C40" i="67"/>
  <c r="C44" i="67" s="1"/>
  <c r="C45" i="67" s="1"/>
  <c r="AF39" i="67"/>
  <c r="AF40" i="67" s="1"/>
  <c r="AE39" i="67"/>
  <c r="AE43" i="67" s="1"/>
  <c r="AF43" i="67" s="1"/>
  <c r="W39" i="67"/>
  <c r="W40" i="67" s="1"/>
  <c r="V39" i="67"/>
  <c r="AP39" i="67"/>
  <c r="M39" i="67"/>
  <c r="E39" i="67"/>
  <c r="E40" i="67" s="1"/>
  <c r="D39" i="67"/>
  <c r="AF38" i="67"/>
  <c r="AD38" i="67"/>
  <c r="W38" i="67"/>
  <c r="U38" i="67"/>
  <c r="N38" i="67"/>
  <c r="L38" i="67"/>
  <c r="E38" i="67"/>
  <c r="C38" i="67"/>
  <c r="AD37" i="67"/>
  <c r="AD44" i="67" s="1"/>
  <c r="U37" i="67"/>
  <c r="U44" i="67" s="1"/>
  <c r="L37" i="67"/>
  <c r="L44" i="67" s="1"/>
  <c r="C37" i="67"/>
  <c r="AF36" i="67"/>
  <c r="AE36" i="67"/>
  <c r="AE37" i="67" s="1"/>
  <c r="W36" i="67"/>
  <c r="V36" i="67"/>
  <c r="V37" i="67" s="1"/>
  <c r="M36" i="67"/>
  <c r="E36" i="67"/>
  <c r="D36" i="67"/>
  <c r="AE35" i="67"/>
  <c r="AF35" i="67" s="1"/>
  <c r="W35" i="67"/>
  <c r="V35" i="67"/>
  <c r="E35" i="67"/>
  <c r="D35" i="67"/>
  <c r="D37" i="67" s="1"/>
  <c r="G32" i="67" s="1"/>
  <c r="I32" i="67" s="1"/>
  <c r="AF34" i="67"/>
  <c r="W34" i="67"/>
  <c r="N34" i="67"/>
  <c r="E34" i="67"/>
  <c r="AF33" i="67"/>
  <c r="W33" i="67"/>
  <c r="N33" i="67"/>
  <c r="E33" i="67"/>
  <c r="AF32" i="67"/>
  <c r="W32" i="67"/>
  <c r="AP32" i="67"/>
  <c r="N32" i="67"/>
  <c r="H32" i="67"/>
  <c r="E32" i="67"/>
  <c r="AF31" i="67"/>
  <c r="W31" i="67"/>
  <c r="N31" i="67"/>
  <c r="E31" i="67"/>
  <c r="AD29" i="67"/>
  <c r="U29" i="67"/>
  <c r="L29" i="67"/>
  <c r="C29" i="67"/>
  <c r="AD28" i="67"/>
  <c r="U28" i="67"/>
  <c r="L28" i="67"/>
  <c r="C28" i="67"/>
  <c r="AD26" i="67"/>
  <c r="U26" i="67"/>
  <c r="L26" i="67"/>
  <c r="D26" i="67"/>
  <c r="D83" i="67" s="1"/>
  <c r="C26" i="67"/>
  <c r="C27" i="67" s="1"/>
  <c r="AF24" i="67"/>
  <c r="AE24" i="67"/>
  <c r="W24" i="67"/>
  <c r="V24" i="67"/>
  <c r="M24" i="67"/>
  <c r="N24" i="67" s="1"/>
  <c r="E24" i="67"/>
  <c r="D24" i="67"/>
  <c r="AF23" i="67"/>
  <c r="AE23" i="67"/>
  <c r="W23" i="67"/>
  <c r="V23" i="67"/>
  <c r="M23" i="67"/>
  <c r="N23" i="67" s="1"/>
  <c r="E23" i="67"/>
  <c r="D23" i="67"/>
  <c r="AF22" i="67"/>
  <c r="AE22" i="67"/>
  <c r="W22" i="67"/>
  <c r="V22" i="67"/>
  <c r="M22" i="67"/>
  <c r="N22" i="67" s="1"/>
  <c r="E22" i="67"/>
  <c r="D22" i="67"/>
  <c r="AF21" i="67"/>
  <c r="AE21" i="67"/>
  <c r="W21" i="67"/>
  <c r="V21" i="67"/>
  <c r="M21" i="67"/>
  <c r="N21" i="67" s="1"/>
  <c r="E21" i="67"/>
  <c r="D21" i="67"/>
  <c r="AF20" i="67"/>
  <c r="AE20" i="67"/>
  <c r="W20" i="67"/>
  <c r="V20" i="67"/>
  <c r="M20" i="67"/>
  <c r="N20" i="67" s="1"/>
  <c r="E20" i="67"/>
  <c r="D20" i="67"/>
  <c r="AF19" i="67"/>
  <c r="AF92" i="67" s="1"/>
  <c r="AE19" i="67"/>
  <c r="AE92" i="67" s="1"/>
  <c r="V19" i="67"/>
  <c r="V92" i="67" s="1"/>
  <c r="M19" i="67"/>
  <c r="M92" i="67" s="1"/>
  <c r="D19" i="67"/>
  <c r="G19" i="67" s="1"/>
  <c r="I19" i="67" s="1"/>
  <c r="AP18" i="67"/>
  <c r="AO18" i="67"/>
  <c r="AH18" i="67"/>
  <c r="AF18" i="67"/>
  <c r="AF26" i="67" s="1"/>
  <c r="AF83" i="67" s="1"/>
  <c r="AE18" i="67"/>
  <c r="AE26" i="67" s="1"/>
  <c r="AE83" i="67" s="1"/>
  <c r="Y18" i="67"/>
  <c r="V18" i="67"/>
  <c r="W18" i="67" s="1"/>
  <c r="M18" i="67"/>
  <c r="M26" i="67" s="1"/>
  <c r="H18" i="67"/>
  <c r="G18" i="67"/>
  <c r="I18" i="67" s="1"/>
  <c r="E18" i="67"/>
  <c r="D18" i="67"/>
  <c r="AD17" i="67"/>
  <c r="AD27" i="67" s="1"/>
  <c r="U17" i="67"/>
  <c r="U27" i="67" s="1"/>
  <c r="L17" i="67"/>
  <c r="L27" i="67" s="1"/>
  <c r="C17" i="67"/>
  <c r="AF15" i="67"/>
  <c r="AE15" i="67"/>
  <c r="W15" i="67"/>
  <c r="V15" i="67"/>
  <c r="E15" i="67"/>
  <c r="D15" i="67"/>
  <c r="AF14" i="67"/>
  <c r="AE14" i="67"/>
  <c r="W14" i="67"/>
  <c r="V14" i="67"/>
  <c r="E14" i="67"/>
  <c r="D14" i="67"/>
  <c r="AF13" i="67"/>
  <c r="AE13" i="67"/>
  <c r="W13" i="67"/>
  <c r="V13" i="67"/>
  <c r="E13" i="67"/>
  <c r="D13" i="67"/>
  <c r="AF12" i="67"/>
  <c r="AE12" i="67"/>
  <c r="W12" i="67"/>
  <c r="V12" i="67"/>
  <c r="E12" i="67"/>
  <c r="D12" i="67"/>
  <c r="AP11" i="67"/>
  <c r="AN11" i="67"/>
  <c r="AK11" i="67" s="1"/>
  <c r="AE11" i="67"/>
  <c r="AE29" i="67" s="1"/>
  <c r="W11" i="67"/>
  <c r="W29" i="67" s="1"/>
  <c r="V11" i="67"/>
  <c r="V29" i="67" s="1"/>
  <c r="M11" i="67"/>
  <c r="M29" i="67" s="1"/>
  <c r="I11" i="67"/>
  <c r="G11" i="67"/>
  <c r="E11" i="67"/>
  <c r="D11" i="67"/>
  <c r="AF10" i="67"/>
  <c r="AE10" i="67"/>
  <c r="AE28" i="67" s="1"/>
  <c r="V10" i="67"/>
  <c r="V91" i="67" s="1"/>
  <c r="V90" i="67" s="1"/>
  <c r="D10" i="67"/>
  <c r="D28" i="67" s="1"/>
  <c r="AP9" i="67"/>
  <c r="AO9" i="67"/>
  <c r="AO82" i="67" s="1"/>
  <c r="AH9" i="67"/>
  <c r="AF9" i="67"/>
  <c r="AE9" i="67"/>
  <c r="Y9" i="67"/>
  <c r="W9" i="67"/>
  <c r="V9" i="67"/>
  <c r="P9" i="67"/>
  <c r="AN9" i="67" s="1"/>
  <c r="M9" i="67"/>
  <c r="H9" i="67"/>
  <c r="H77" i="67" s="1"/>
  <c r="H81" i="67" s="1"/>
  <c r="D9" i="67"/>
  <c r="G9" i="67" s="1"/>
  <c r="AH81" i="66"/>
  <c r="AH10" i="66"/>
  <c r="AM84" i="66"/>
  <c r="AN82" i="66"/>
  <c r="AK80" i="66"/>
  <c r="AN80" i="66"/>
  <c r="AK75" i="66"/>
  <c r="AN75" i="66"/>
  <c r="P74" i="66"/>
  <c r="AN74" i="66" s="1"/>
  <c r="AK74" i="66" s="1"/>
  <c r="AK67" i="66"/>
  <c r="AN67" i="66"/>
  <c r="AK56" i="66"/>
  <c r="AN56" i="66"/>
  <c r="AN48" i="66"/>
  <c r="AK48" i="66"/>
  <c r="AH39" i="66"/>
  <c r="Y39" i="66"/>
  <c r="P39" i="66"/>
  <c r="AK32" i="66"/>
  <c r="AN32" i="66"/>
  <c r="AK19" i="66"/>
  <c r="AK11" i="66"/>
  <c r="AN11" i="66"/>
  <c r="AN18" i="66"/>
  <c r="AK10" i="66"/>
  <c r="AN9" i="66"/>
  <c r="AM18" i="66"/>
  <c r="AK18" i="66" s="1"/>
  <c r="AM9" i="66"/>
  <c r="AO82" i="66"/>
  <c r="AP75" i="66"/>
  <c r="Q80" i="66"/>
  <c r="Q74" i="66"/>
  <c r="AP74" i="66" s="1"/>
  <c r="Q67" i="66"/>
  <c r="AP67" i="66" s="1"/>
  <c r="Q39" i="66"/>
  <c r="Q56" i="66"/>
  <c r="Q48" i="66"/>
  <c r="Q32" i="66"/>
  <c r="AP32" i="66" s="1"/>
  <c r="Q18" i="66"/>
  <c r="AP18" i="66" s="1"/>
  <c r="Q11" i="66"/>
  <c r="AP11" i="66" s="1"/>
  <c r="Q9" i="66"/>
  <c r="AP80" i="66"/>
  <c r="AP56" i="66"/>
  <c r="AP48" i="66"/>
  <c r="AP39" i="66"/>
  <c r="AI81" i="66"/>
  <c r="H79" i="68" l="1"/>
  <c r="H80" i="68" s="1"/>
  <c r="O5" i="68"/>
  <c r="M11" i="68"/>
  <c r="E78" i="68"/>
  <c r="E81" i="68"/>
  <c r="F11" i="68"/>
  <c r="I78" i="68"/>
  <c r="L117" i="68"/>
  <c r="I75" i="68"/>
  <c r="I76" i="68" s="1"/>
  <c r="E75" i="68"/>
  <c r="E102" i="68" s="1"/>
  <c r="AM82" i="66"/>
  <c r="AM83" i="66" s="1"/>
  <c r="AK9" i="66"/>
  <c r="AP82" i="67"/>
  <c r="AO83" i="67" s="1"/>
  <c r="N11" i="67"/>
  <c r="N29" i="67" s="1"/>
  <c r="N18" i="67"/>
  <c r="N26" i="67" s="1"/>
  <c r="N19" i="67"/>
  <c r="N92" i="67" s="1"/>
  <c r="M37" i="67"/>
  <c r="P39" i="67"/>
  <c r="M71" i="67"/>
  <c r="N71" i="67" s="1"/>
  <c r="N9" i="67"/>
  <c r="M10" i="67"/>
  <c r="M17" i="67" s="1"/>
  <c r="M12" i="67"/>
  <c r="N12" i="67" s="1"/>
  <c r="M13" i="67"/>
  <c r="N13" i="67" s="1"/>
  <c r="M14" i="67"/>
  <c r="N14" i="67" s="1"/>
  <c r="M15" i="67"/>
  <c r="N15" i="67" s="1"/>
  <c r="P18" i="67"/>
  <c r="AN18" i="67" s="1"/>
  <c r="AK19" i="67" s="1"/>
  <c r="P19" i="67"/>
  <c r="M35" i="67"/>
  <c r="N35" i="67" s="1"/>
  <c r="N36" i="67"/>
  <c r="N39" i="67"/>
  <c r="N40" i="67" s="1"/>
  <c r="M40" i="67"/>
  <c r="M42" i="67"/>
  <c r="N70" i="67"/>
  <c r="M76" i="67"/>
  <c r="N76" i="67" s="1"/>
  <c r="E9" i="67"/>
  <c r="E10" i="67"/>
  <c r="E91" i="67" s="1"/>
  <c r="E90" i="67" s="1"/>
  <c r="D58" i="67"/>
  <c r="E58" i="67" s="1"/>
  <c r="G10" i="67"/>
  <c r="I10" i="67" s="1"/>
  <c r="D17" i="67"/>
  <c r="E19" i="67"/>
  <c r="E92" i="67" s="1"/>
  <c r="E29" i="67"/>
  <c r="E26" i="67"/>
  <c r="E83" i="67" s="1"/>
  <c r="D43" i="67"/>
  <c r="E43" i="67" s="1"/>
  <c r="AK10" i="67"/>
  <c r="D82" i="67"/>
  <c r="D84" i="67" s="1"/>
  <c r="D27" i="67"/>
  <c r="AM18" i="67"/>
  <c r="AK18" i="67" s="1"/>
  <c r="AF91" i="67"/>
  <c r="AF90" i="67" s="1"/>
  <c r="D29" i="67"/>
  <c r="AE44" i="67"/>
  <c r="AF44" i="67" s="1"/>
  <c r="AF37" i="67"/>
  <c r="L45" i="67"/>
  <c r="D54" i="67"/>
  <c r="E48" i="67"/>
  <c r="AH48" i="67"/>
  <c r="AF54" i="67"/>
  <c r="M58" i="67"/>
  <c r="N57" i="67"/>
  <c r="AF58" i="67"/>
  <c r="C76" i="67"/>
  <c r="C77" i="67" s="1"/>
  <c r="D75" i="67"/>
  <c r="E75" i="67" s="1"/>
  <c r="U80" i="67"/>
  <c r="M80" i="67"/>
  <c r="I9" i="67"/>
  <c r="Q81" i="67"/>
  <c r="D91" i="67"/>
  <c r="M91" i="67"/>
  <c r="M90" i="67" s="1"/>
  <c r="W10" i="67"/>
  <c r="W17" i="67" s="1"/>
  <c r="W82" i="67" s="1"/>
  <c r="AH10" i="67"/>
  <c r="AF11" i="67"/>
  <c r="AF29" i="67" s="1"/>
  <c r="D92" i="67"/>
  <c r="W19" i="67"/>
  <c r="W92" i="67" s="1"/>
  <c r="AH19" i="67"/>
  <c r="E28" i="67"/>
  <c r="AH32" i="67"/>
  <c r="V43" i="67"/>
  <c r="W43" i="67" s="1"/>
  <c r="AH39" i="67"/>
  <c r="M54" i="67"/>
  <c r="N48" i="67"/>
  <c r="M63" i="67"/>
  <c r="Y67" i="67"/>
  <c r="U76" i="67"/>
  <c r="U77" i="67" s="1"/>
  <c r="V75" i="67"/>
  <c r="V17" i="67"/>
  <c r="Y10" i="67"/>
  <c r="Y19" i="67"/>
  <c r="V26" i="67"/>
  <c r="V83" i="67" s="1"/>
  <c r="V28" i="67"/>
  <c r="AF28" i="67"/>
  <c r="V44" i="67"/>
  <c r="W44" i="67" s="1"/>
  <c r="W37" i="67"/>
  <c r="U45" i="67"/>
  <c r="V54" i="67"/>
  <c r="AE63" i="67"/>
  <c r="AE77" i="67" s="1"/>
  <c r="AF77" i="67" s="1"/>
  <c r="AH67" i="67"/>
  <c r="AF68" i="67"/>
  <c r="AE76" i="67"/>
  <c r="AF76" i="67" s="1"/>
  <c r="AE91" i="67"/>
  <c r="AE90" i="67" s="1"/>
  <c r="AE17" i="67"/>
  <c r="Y32" i="67"/>
  <c r="D44" i="67"/>
  <c r="E44" i="67" s="1"/>
  <c r="E37" i="67"/>
  <c r="AD45" i="67"/>
  <c r="W58" i="67"/>
  <c r="G39" i="67"/>
  <c r="I39" i="67" s="1"/>
  <c r="Y39" i="67"/>
  <c r="D40" i="67"/>
  <c r="M68" i="67"/>
  <c r="G74" i="67"/>
  <c r="I74" i="67" s="1"/>
  <c r="P74" i="67"/>
  <c r="AN74" i="67" s="1"/>
  <c r="AE40" i="67"/>
  <c r="D63" i="67"/>
  <c r="V63" i="67"/>
  <c r="Y56" i="67" s="1"/>
  <c r="V40" i="67"/>
  <c r="E57" i="67"/>
  <c r="E67" i="67"/>
  <c r="W67" i="67"/>
  <c r="AF74" i="67"/>
  <c r="AN39" i="66"/>
  <c r="AK39" i="66" s="1"/>
  <c r="AP9" i="66"/>
  <c r="AP82" i="66" s="1"/>
  <c r="AO83" i="66" s="1"/>
  <c r="AO18" i="66"/>
  <c r="AO9" i="66"/>
  <c r="Z81" i="66"/>
  <c r="I79" i="68" l="1"/>
  <c r="I80" i="68" s="1"/>
  <c r="E104" i="68"/>
  <c r="E76" i="68"/>
  <c r="F75" i="68"/>
  <c r="F83" i="68"/>
  <c r="F78" i="68"/>
  <c r="M27" i="67"/>
  <c r="M82" i="67"/>
  <c r="AM9" i="67"/>
  <c r="AM82" i="67" s="1"/>
  <c r="AN32" i="67"/>
  <c r="AK32" i="67" s="1"/>
  <c r="P32" i="67"/>
  <c r="AN39" i="67"/>
  <c r="AK39" i="67" s="1"/>
  <c r="N42" i="67"/>
  <c r="M43" i="67"/>
  <c r="N43" i="67" s="1"/>
  <c r="M83" i="67"/>
  <c r="N10" i="67"/>
  <c r="N17" i="67" s="1"/>
  <c r="N82" i="67" s="1"/>
  <c r="N84" i="67" s="1"/>
  <c r="M28" i="67"/>
  <c r="P10" i="67"/>
  <c r="N37" i="67"/>
  <c r="N83" i="67"/>
  <c r="M72" i="67"/>
  <c r="N72" i="67" s="1"/>
  <c r="G56" i="67"/>
  <c r="I56" i="67" s="1"/>
  <c r="D76" i="67"/>
  <c r="E76" i="67" s="1"/>
  <c r="E17" i="67"/>
  <c r="E82" i="67" s="1"/>
  <c r="E84" i="67" s="1"/>
  <c r="C81" i="67"/>
  <c r="C78" i="67"/>
  <c r="G78" i="67" s="1"/>
  <c r="U78" i="67"/>
  <c r="Y83" i="67" s="1"/>
  <c r="U81" i="67"/>
  <c r="N54" i="67"/>
  <c r="P48" i="67"/>
  <c r="M77" i="67"/>
  <c r="N77" i="67" s="1"/>
  <c r="N80" i="67"/>
  <c r="P80" i="67"/>
  <c r="E54" i="67"/>
  <c r="D77" i="67"/>
  <c r="E77" i="67" s="1"/>
  <c r="G48" i="67"/>
  <c r="I48" i="67" s="1"/>
  <c r="N27" i="67"/>
  <c r="N68" i="67"/>
  <c r="P67" i="67"/>
  <c r="AN67" i="67" s="1"/>
  <c r="AK67" i="67" s="1"/>
  <c r="V82" i="67"/>
  <c r="V84" i="67" s="1"/>
  <c r="V27" i="67"/>
  <c r="D90" i="67"/>
  <c r="V80" i="67"/>
  <c r="AD80" i="67"/>
  <c r="AE80" i="67" s="1"/>
  <c r="AH56" i="67"/>
  <c r="L81" i="67"/>
  <c r="L78" i="67"/>
  <c r="P83" i="67" s="1"/>
  <c r="AD78" i="67"/>
  <c r="AH83" i="67" s="1"/>
  <c r="AE82" i="67"/>
  <c r="AE84" i="67" s="1"/>
  <c r="AE27" i="67"/>
  <c r="Y48" i="67"/>
  <c r="W54" i="67"/>
  <c r="W75" i="67"/>
  <c r="V76" i="67"/>
  <c r="W76" i="67" s="1"/>
  <c r="AF17" i="67"/>
  <c r="AF82" i="67" s="1"/>
  <c r="AF84" i="67" s="1"/>
  <c r="W26" i="67"/>
  <c r="W83" i="67" s="1"/>
  <c r="W84" i="67" s="1"/>
  <c r="AK74" i="67"/>
  <c r="W28" i="67"/>
  <c r="W91" i="67"/>
  <c r="W90" i="67" s="1"/>
  <c r="N58" i="67"/>
  <c r="P56" i="67"/>
  <c r="AN56" i="67" s="1"/>
  <c r="AK56" i="67" s="1"/>
  <c r="D45" i="67"/>
  <c r="E27" i="67"/>
  <c r="Q83" i="66"/>
  <c r="Q81" i="66"/>
  <c r="F76" i="68" l="1"/>
  <c r="F84" i="68" s="1"/>
  <c r="E4" i="68"/>
  <c r="E79" i="68"/>
  <c r="E80" i="68" s="1"/>
  <c r="AK9" i="67"/>
  <c r="M84" i="67"/>
  <c r="N28" i="67"/>
  <c r="N91" i="67"/>
  <c r="N90" i="67" s="1"/>
  <c r="M44" i="67"/>
  <c r="D99" i="67"/>
  <c r="G77" i="67"/>
  <c r="I77" i="67" s="1"/>
  <c r="I81" i="67" s="1"/>
  <c r="V77" i="67"/>
  <c r="W77" i="67" s="1"/>
  <c r="AH80" i="67"/>
  <c r="AH81" i="67" s="1"/>
  <c r="AF80" i="67"/>
  <c r="AE45" i="67"/>
  <c r="AF27" i="67"/>
  <c r="Y80" i="67"/>
  <c r="Y81" i="67" s="1"/>
  <c r="W80" i="67"/>
  <c r="L82" i="67"/>
  <c r="L88" i="67"/>
  <c r="L89" i="67" s="1"/>
  <c r="AN80" i="67"/>
  <c r="AK80" i="67" s="1"/>
  <c r="C88" i="67"/>
  <c r="C89" i="67" s="1"/>
  <c r="C82" i="67"/>
  <c r="AN48" i="67"/>
  <c r="P81" i="67"/>
  <c r="G81" i="67"/>
  <c r="H82" i="67" s="1"/>
  <c r="D81" i="67"/>
  <c r="E45" i="67"/>
  <c r="D78" i="67"/>
  <c r="AD81" i="67"/>
  <c r="V45" i="67"/>
  <c r="W27" i="67"/>
  <c r="U88" i="67"/>
  <c r="U89" i="67" s="1"/>
  <c r="U82" i="67"/>
  <c r="G75" i="66"/>
  <c r="G11" i="66"/>
  <c r="H83" i="66"/>
  <c r="F79" i="68" l="1"/>
  <c r="F80" i="68" s="1"/>
  <c r="N44" i="67"/>
  <c r="M45" i="67"/>
  <c r="V81" i="67"/>
  <c r="Y96" i="67" s="1"/>
  <c r="W45" i="67"/>
  <c r="V78" i="67"/>
  <c r="D102" i="67"/>
  <c r="G96" i="67"/>
  <c r="AM84" i="67"/>
  <c r="AE78" i="67"/>
  <c r="AF45" i="67"/>
  <c r="AE81" i="67"/>
  <c r="AD88" i="67"/>
  <c r="AD89" i="67" s="1"/>
  <c r="AD82" i="67"/>
  <c r="E81" i="67"/>
  <c r="E78" i="67"/>
  <c r="AK48" i="67"/>
  <c r="AN82" i="67"/>
  <c r="AM83" i="67" s="1"/>
  <c r="AM85" i="67" s="1"/>
  <c r="C80" i="66"/>
  <c r="N45" i="67" l="1"/>
  <c r="M81" i="67"/>
  <c r="P96" i="67" s="1"/>
  <c r="M78" i="67"/>
  <c r="AF81" i="67"/>
  <c r="AF78" i="67"/>
  <c r="W81" i="67"/>
  <c r="W78" i="67"/>
  <c r="I75" i="66"/>
  <c r="I11" i="66"/>
  <c r="H32" i="66"/>
  <c r="H18" i="66"/>
  <c r="H9" i="66"/>
  <c r="N78" i="67" l="1"/>
  <c r="N81" i="67"/>
  <c r="H77" i="66"/>
  <c r="H81" i="66" s="1"/>
  <c r="AE19" i="66"/>
  <c r="AE20" i="66"/>
  <c r="AF20" i="66" s="1"/>
  <c r="AE21" i="66"/>
  <c r="AF21" i="66" s="1"/>
  <c r="AE22" i="66"/>
  <c r="AF22" i="66" s="1"/>
  <c r="AE23" i="66"/>
  <c r="AE24" i="66"/>
  <c r="AF24" i="66" s="1"/>
  <c r="AE18" i="66"/>
  <c r="AE10" i="66"/>
  <c r="AE11" i="66"/>
  <c r="AE12" i="66"/>
  <c r="AE13" i="66"/>
  <c r="AF13" i="66" s="1"/>
  <c r="AE14" i="66"/>
  <c r="AF14" i="66" s="1"/>
  <c r="AE15" i="66"/>
  <c r="AE9" i="66"/>
  <c r="AF87" i="66"/>
  <c r="AD75" i="66"/>
  <c r="AD76" i="66" s="1"/>
  <c r="AE74" i="66"/>
  <c r="AD72" i="66"/>
  <c r="AE71" i="66"/>
  <c r="AF71" i="66" s="1"/>
  <c r="AE70" i="66"/>
  <c r="AE67" i="66"/>
  <c r="AE68" i="66" s="1"/>
  <c r="AF66" i="66"/>
  <c r="AE65" i="66"/>
  <c r="AE60" i="66"/>
  <c r="AE63" i="66" s="1"/>
  <c r="AD58" i="66"/>
  <c r="AE57" i="66"/>
  <c r="AF57" i="66" s="1"/>
  <c r="AE56" i="66"/>
  <c r="AF55" i="66"/>
  <c r="AD54" i="66"/>
  <c r="AE53" i="66"/>
  <c r="AF53" i="66" s="1"/>
  <c r="AF52" i="66"/>
  <c r="AF51" i="66"/>
  <c r="AF50" i="66"/>
  <c r="AE49" i="66"/>
  <c r="AF49" i="66" s="1"/>
  <c r="AF48" i="66"/>
  <c r="AE48" i="66"/>
  <c r="AD43" i="66"/>
  <c r="AE42" i="66"/>
  <c r="AF42" i="66" s="1"/>
  <c r="AD40" i="66"/>
  <c r="AE39" i="66"/>
  <c r="AF38" i="66"/>
  <c r="AD38" i="66"/>
  <c r="AD37" i="66"/>
  <c r="AD44" i="66" s="1"/>
  <c r="AE36" i="66"/>
  <c r="AE35" i="66"/>
  <c r="AF35" i="66" s="1"/>
  <c r="AF34" i="66"/>
  <c r="AF33" i="66"/>
  <c r="AF32" i="66"/>
  <c r="AF31" i="66"/>
  <c r="AD29" i="66"/>
  <c r="AD28" i="66"/>
  <c r="AD26" i="66"/>
  <c r="AF23" i="66"/>
  <c r="AD17" i="66"/>
  <c r="AD27" i="66" s="1"/>
  <c r="AF15" i="66"/>
  <c r="AF12" i="66"/>
  <c r="AF11" i="66"/>
  <c r="V19" i="66"/>
  <c r="V20" i="66"/>
  <c r="W20" i="66" s="1"/>
  <c r="V21" i="66"/>
  <c r="V22" i="66"/>
  <c r="W22" i="66" s="1"/>
  <c r="V23" i="66"/>
  <c r="W23" i="66" s="1"/>
  <c r="V24" i="66"/>
  <c r="W24" i="66" s="1"/>
  <c r="V18" i="66"/>
  <c r="W18" i="66" s="1"/>
  <c r="V10" i="66"/>
  <c r="V11" i="66"/>
  <c r="W11" i="66" s="1"/>
  <c r="V12" i="66"/>
  <c r="W12" i="66" s="1"/>
  <c r="V13" i="66"/>
  <c r="W13" i="66" s="1"/>
  <c r="V14" i="66"/>
  <c r="W14" i="66" s="1"/>
  <c r="V15" i="66"/>
  <c r="W15" i="66" s="1"/>
  <c r="V9" i="66"/>
  <c r="W87" i="66"/>
  <c r="U75" i="66"/>
  <c r="V75" i="66" s="1"/>
  <c r="V74" i="66"/>
  <c r="U72" i="66"/>
  <c r="V71" i="66"/>
  <c r="W71" i="66" s="1"/>
  <c r="V70" i="66"/>
  <c r="V72" i="66" s="1"/>
  <c r="W72" i="66" s="1"/>
  <c r="V67" i="66"/>
  <c r="V68" i="66" s="1"/>
  <c r="W66" i="66"/>
  <c r="V65" i="66"/>
  <c r="V60" i="66"/>
  <c r="W60" i="66" s="1"/>
  <c r="W63" i="66" s="1"/>
  <c r="U58" i="66"/>
  <c r="V57" i="66"/>
  <c r="W57" i="66" s="1"/>
  <c r="V56" i="66"/>
  <c r="W56" i="66" s="1"/>
  <c r="W55" i="66"/>
  <c r="U54" i="66"/>
  <c r="V53" i="66"/>
  <c r="W53" i="66" s="1"/>
  <c r="W52" i="66"/>
  <c r="W51" i="66"/>
  <c r="W50" i="66"/>
  <c r="V49" i="66"/>
  <c r="W49" i="66" s="1"/>
  <c r="V48" i="66"/>
  <c r="V54" i="66" s="1"/>
  <c r="U43" i="66"/>
  <c r="V42" i="66"/>
  <c r="U40" i="66"/>
  <c r="V39" i="66"/>
  <c r="W38" i="66"/>
  <c r="U38" i="66"/>
  <c r="U37" i="66"/>
  <c r="U44" i="66" s="1"/>
  <c r="V36" i="66"/>
  <c r="V35" i="66"/>
  <c r="W35" i="66" s="1"/>
  <c r="W34" i="66"/>
  <c r="W33" i="66"/>
  <c r="W32" i="66"/>
  <c r="W31" i="66"/>
  <c r="U29" i="66"/>
  <c r="U28" i="66"/>
  <c r="U26" i="66"/>
  <c r="W21" i="66"/>
  <c r="U17" i="66"/>
  <c r="W10" i="66"/>
  <c r="M19" i="66"/>
  <c r="M20" i="66"/>
  <c r="N20" i="66" s="1"/>
  <c r="M21" i="66"/>
  <c r="N21" i="66" s="1"/>
  <c r="M22" i="66"/>
  <c r="M23" i="66"/>
  <c r="N23" i="66" s="1"/>
  <c r="M24" i="66"/>
  <c r="M18" i="66"/>
  <c r="N18" i="66" s="1"/>
  <c r="M15" i="66"/>
  <c r="M14" i="66"/>
  <c r="N14" i="66" s="1"/>
  <c r="M13" i="66"/>
  <c r="N13" i="66" s="1"/>
  <c r="M12" i="66"/>
  <c r="N12" i="66" s="1"/>
  <c r="M11" i="66"/>
  <c r="M10" i="66"/>
  <c r="M9" i="66"/>
  <c r="N87" i="66"/>
  <c r="L75" i="66"/>
  <c r="M75" i="66" s="1"/>
  <c r="M74" i="66"/>
  <c r="N74" i="66" s="1"/>
  <c r="L72" i="66"/>
  <c r="M71" i="66"/>
  <c r="N71" i="66" s="1"/>
  <c r="M70" i="66"/>
  <c r="M67" i="66"/>
  <c r="N67" i="66" s="1"/>
  <c r="N66" i="66"/>
  <c r="M65" i="66"/>
  <c r="M60" i="66"/>
  <c r="M63" i="66" s="1"/>
  <c r="L58" i="66"/>
  <c r="M57" i="66"/>
  <c r="N57" i="66" s="1"/>
  <c r="M56" i="66"/>
  <c r="N56" i="66" s="1"/>
  <c r="N55" i="66"/>
  <c r="L54" i="66"/>
  <c r="M53" i="66"/>
  <c r="N53" i="66" s="1"/>
  <c r="N52" i="66"/>
  <c r="N51" i="66"/>
  <c r="N50" i="66"/>
  <c r="M49" i="66"/>
  <c r="N49" i="66" s="1"/>
  <c r="M48" i="66"/>
  <c r="N48" i="66" s="1"/>
  <c r="L43" i="66"/>
  <c r="M42" i="66"/>
  <c r="L40" i="66"/>
  <c r="M39" i="66"/>
  <c r="N38" i="66"/>
  <c r="L38" i="66"/>
  <c r="L37" i="66"/>
  <c r="L44" i="66" s="1"/>
  <c r="M36" i="66"/>
  <c r="M35" i="66"/>
  <c r="N35" i="66" s="1"/>
  <c r="N34" i="66"/>
  <c r="N33" i="66"/>
  <c r="N32" i="66"/>
  <c r="N31" i="66"/>
  <c r="L29" i="66"/>
  <c r="L28" i="66"/>
  <c r="L26" i="66"/>
  <c r="N24" i="66"/>
  <c r="N22" i="66"/>
  <c r="L17" i="66"/>
  <c r="L27" i="66" s="1"/>
  <c r="N15" i="66"/>
  <c r="N11" i="66"/>
  <c r="N9" i="66"/>
  <c r="C58" i="66"/>
  <c r="C54" i="66"/>
  <c r="E87" i="66"/>
  <c r="L80" i="66"/>
  <c r="C75" i="66"/>
  <c r="C76" i="66" s="1"/>
  <c r="D74" i="66"/>
  <c r="G74" i="66" s="1"/>
  <c r="I74" i="66" s="1"/>
  <c r="C72" i="66"/>
  <c r="D71" i="66"/>
  <c r="E71" i="66" s="1"/>
  <c r="D70" i="66"/>
  <c r="D67" i="66"/>
  <c r="D68" i="66" s="1"/>
  <c r="E66" i="66"/>
  <c r="D65" i="66"/>
  <c r="E65" i="66" s="1"/>
  <c r="D60" i="66"/>
  <c r="D63" i="66" s="1"/>
  <c r="D57" i="66"/>
  <c r="E57" i="66" s="1"/>
  <c r="D56" i="66"/>
  <c r="E56" i="66" s="1"/>
  <c r="E55" i="66"/>
  <c r="D53" i="66"/>
  <c r="E53" i="66" s="1"/>
  <c r="E52" i="66"/>
  <c r="E51" i="66"/>
  <c r="E50" i="66"/>
  <c r="D49" i="66"/>
  <c r="E49" i="66" s="1"/>
  <c r="D48" i="66"/>
  <c r="C43" i="66"/>
  <c r="D42" i="66"/>
  <c r="E42" i="66" s="1"/>
  <c r="C40" i="66"/>
  <c r="D39" i="66"/>
  <c r="D40" i="66" s="1"/>
  <c r="E38" i="66"/>
  <c r="C38" i="66"/>
  <c r="C37" i="66"/>
  <c r="D36" i="66"/>
  <c r="D35" i="66"/>
  <c r="E35" i="66" s="1"/>
  <c r="E34" i="66"/>
  <c r="E33" i="66"/>
  <c r="E32" i="66"/>
  <c r="E31" i="66"/>
  <c r="C29" i="66"/>
  <c r="C28" i="66"/>
  <c r="C26" i="66"/>
  <c r="D24" i="66"/>
  <c r="E24" i="66" s="1"/>
  <c r="D23" i="66"/>
  <c r="E23" i="66" s="1"/>
  <c r="D22" i="66"/>
  <c r="E22" i="66" s="1"/>
  <c r="D21" i="66"/>
  <c r="E21" i="66" s="1"/>
  <c r="D20" i="66"/>
  <c r="E20" i="66" s="1"/>
  <c r="D19" i="66"/>
  <c r="E19" i="66" s="1"/>
  <c r="D18" i="66"/>
  <c r="C17" i="66"/>
  <c r="C27" i="66" s="1"/>
  <c r="D15" i="66"/>
  <c r="E15" i="66" s="1"/>
  <c r="D14" i="66"/>
  <c r="E14" i="66" s="1"/>
  <c r="D13" i="66"/>
  <c r="E13" i="66" s="1"/>
  <c r="D12" i="66"/>
  <c r="E12" i="66" s="1"/>
  <c r="D11" i="66"/>
  <c r="D10" i="66"/>
  <c r="E10" i="66" s="1"/>
  <c r="D9" i="66"/>
  <c r="G18" i="66" l="1"/>
  <c r="I18" i="66" s="1"/>
  <c r="N60" i="66"/>
  <c r="N63" i="66" s="1"/>
  <c r="Y9" i="66"/>
  <c r="Y18" i="66"/>
  <c r="V76" i="66"/>
  <c r="W76" i="66" s="1"/>
  <c r="AE72" i="66"/>
  <c r="AF72" i="66" s="1"/>
  <c r="D37" i="66"/>
  <c r="G32" i="66" s="1"/>
  <c r="I32" i="66" s="1"/>
  <c r="P9" i="66"/>
  <c r="AE26" i="66"/>
  <c r="G10" i="66"/>
  <c r="I10" i="66" s="1"/>
  <c r="E11" i="66"/>
  <c r="E29" i="66" s="1"/>
  <c r="M26" i="66"/>
  <c r="AE37" i="66"/>
  <c r="AD77" i="66"/>
  <c r="V17" i="66"/>
  <c r="V82" i="66" s="1"/>
  <c r="AF67" i="66"/>
  <c r="D58" i="66"/>
  <c r="E58" i="66" s="1"/>
  <c r="M92" i="66"/>
  <c r="P18" i="66"/>
  <c r="W9" i="66"/>
  <c r="AE58" i="66"/>
  <c r="AF58" i="66" s="1"/>
  <c r="AE40" i="66"/>
  <c r="D28" i="66"/>
  <c r="W39" i="66"/>
  <c r="W40" i="66" s="1"/>
  <c r="V63" i="66"/>
  <c r="V92" i="66"/>
  <c r="AD45" i="66"/>
  <c r="AF39" i="66"/>
  <c r="AF40" i="66" s="1"/>
  <c r="AF65" i="66"/>
  <c r="D17" i="66"/>
  <c r="D43" i="66"/>
  <c r="E43" i="66" s="1"/>
  <c r="D75" i="66"/>
  <c r="E75" i="66" s="1"/>
  <c r="D54" i="66"/>
  <c r="G48" i="66" s="1"/>
  <c r="I48" i="66" s="1"/>
  <c r="N29" i="66"/>
  <c r="M40" i="66"/>
  <c r="M29" i="66"/>
  <c r="P19" i="66"/>
  <c r="W19" i="66"/>
  <c r="W92" i="66" s="1"/>
  <c r="W70" i="66"/>
  <c r="V91" i="66"/>
  <c r="V90" i="66" s="1"/>
  <c r="AE75" i="66"/>
  <c r="AF75" i="66" s="1"/>
  <c r="U27" i="66"/>
  <c r="U45" i="66" s="1"/>
  <c r="M80" i="66"/>
  <c r="P80" i="66" s="1"/>
  <c r="U80" i="66"/>
  <c r="G80" i="66"/>
  <c r="AE92" i="66"/>
  <c r="AE29" i="66"/>
  <c r="AF29" i="66"/>
  <c r="AE17" i="66"/>
  <c r="AE82" i="66" s="1"/>
  <c r="AF56" i="66"/>
  <c r="AE83" i="66"/>
  <c r="AF60" i="66"/>
  <c r="AF63" i="66" s="1"/>
  <c r="AF74" i="66"/>
  <c r="AE27" i="66"/>
  <c r="AF68" i="66"/>
  <c r="AH67" i="66"/>
  <c r="AH32" i="66"/>
  <c r="AF37" i="66"/>
  <c r="AE54" i="66"/>
  <c r="AE91" i="66"/>
  <c r="AF9" i="66"/>
  <c r="AF10" i="66"/>
  <c r="AF18" i="66"/>
  <c r="AF19" i="66"/>
  <c r="AF92" i="66" s="1"/>
  <c r="AF36" i="66"/>
  <c r="AE43" i="66"/>
  <c r="AF43" i="66" s="1"/>
  <c r="AF70" i="66"/>
  <c r="AH74" i="66"/>
  <c r="AE28" i="66"/>
  <c r="AH9" i="66"/>
  <c r="AH18" i="66"/>
  <c r="AH19" i="66"/>
  <c r="V26" i="66"/>
  <c r="V83" i="66" s="1"/>
  <c r="V58" i="66"/>
  <c r="W58" i="66" s="1"/>
  <c r="W74" i="66"/>
  <c r="V37" i="66"/>
  <c r="W37" i="66" s="1"/>
  <c r="W65" i="66"/>
  <c r="W67" i="66"/>
  <c r="Y74" i="66"/>
  <c r="W36" i="66"/>
  <c r="Y48" i="66"/>
  <c r="W54" i="66"/>
  <c r="W17" i="66"/>
  <c r="W29" i="66"/>
  <c r="W68" i="66"/>
  <c r="Y67" i="66"/>
  <c r="W75" i="66"/>
  <c r="W91" i="66"/>
  <c r="W42" i="66"/>
  <c r="W48" i="66"/>
  <c r="U76" i="66"/>
  <c r="U77" i="66" s="1"/>
  <c r="V43" i="66"/>
  <c r="W43" i="66" s="1"/>
  <c r="V29" i="66"/>
  <c r="V40" i="66"/>
  <c r="V28" i="66"/>
  <c r="P10" i="66"/>
  <c r="M17" i="66"/>
  <c r="M27" i="66" s="1"/>
  <c r="N27" i="66" s="1"/>
  <c r="M91" i="66"/>
  <c r="M83" i="66"/>
  <c r="M37" i="66"/>
  <c r="N37" i="66" s="1"/>
  <c r="N42" i="66"/>
  <c r="M58" i="66"/>
  <c r="N58" i="66" s="1"/>
  <c r="N65" i="66"/>
  <c r="M68" i="66"/>
  <c r="N68" i="66" s="1"/>
  <c r="N39" i="66"/>
  <c r="N40" i="66" s="1"/>
  <c r="M72" i="66"/>
  <c r="N72" i="66" s="1"/>
  <c r="M76" i="66"/>
  <c r="N76" i="66" s="1"/>
  <c r="N75" i="66"/>
  <c r="L45" i="66"/>
  <c r="M28" i="66"/>
  <c r="M54" i="66"/>
  <c r="N10" i="66"/>
  <c r="N17" i="66" s="1"/>
  <c r="N19" i="66"/>
  <c r="N92" i="66" s="1"/>
  <c r="N36" i="66"/>
  <c r="M43" i="66"/>
  <c r="N43" i="66" s="1"/>
  <c r="P67" i="66"/>
  <c r="N70" i="66"/>
  <c r="L76" i="66"/>
  <c r="L77" i="66" s="1"/>
  <c r="E68" i="66"/>
  <c r="G67" i="66"/>
  <c r="I67" i="66" s="1"/>
  <c r="E48" i="66"/>
  <c r="E67" i="66"/>
  <c r="D26" i="66"/>
  <c r="D83" i="66" s="1"/>
  <c r="E36" i="66"/>
  <c r="G56" i="66"/>
  <c r="I56" i="66" s="1"/>
  <c r="D29" i="66"/>
  <c r="E92" i="66"/>
  <c r="C44" i="66"/>
  <c r="C45" i="66" s="1"/>
  <c r="E39" i="66"/>
  <c r="E40" i="66" s="1"/>
  <c r="D72" i="66"/>
  <c r="E72" i="66" s="1"/>
  <c r="G19" i="66"/>
  <c r="I19" i="66" s="1"/>
  <c r="G9" i="66"/>
  <c r="C77" i="66"/>
  <c r="D82" i="66"/>
  <c r="E91" i="66"/>
  <c r="E90" i="66" s="1"/>
  <c r="E28" i="66"/>
  <c r="D92" i="66"/>
  <c r="E9" i="66"/>
  <c r="E18" i="66"/>
  <c r="E26" i="66" s="1"/>
  <c r="E83" i="66" s="1"/>
  <c r="E70" i="66"/>
  <c r="E80" i="66"/>
  <c r="D91" i="66"/>
  <c r="E60" i="66"/>
  <c r="E63" i="66" s="1"/>
  <c r="E74" i="66"/>
  <c r="D44" i="66" l="1"/>
  <c r="E44" i="66" s="1"/>
  <c r="W28" i="66"/>
  <c r="AD78" i="66"/>
  <c r="AH83" i="66" s="1"/>
  <c r="V77" i="66"/>
  <c r="W77" i="66" s="1"/>
  <c r="AE76" i="66"/>
  <c r="AF76" i="66" s="1"/>
  <c r="E37" i="66"/>
  <c r="E17" i="66"/>
  <c r="P32" i="66"/>
  <c r="AF26" i="66"/>
  <c r="AF83" i="66" s="1"/>
  <c r="V84" i="66"/>
  <c r="U78" i="66"/>
  <c r="Y83" i="66" s="1"/>
  <c r="E54" i="66"/>
  <c r="M90" i="66"/>
  <c r="W26" i="66"/>
  <c r="W83" i="66" s="1"/>
  <c r="G39" i="66"/>
  <c r="I39" i="66" s="1"/>
  <c r="I9" i="66"/>
  <c r="D76" i="66"/>
  <c r="E76" i="66" s="1"/>
  <c r="AH56" i="66"/>
  <c r="W90" i="66"/>
  <c r="Y56" i="66"/>
  <c r="W82" i="66"/>
  <c r="W84" i="66" s="1"/>
  <c r="N80" i="66"/>
  <c r="I80" i="66"/>
  <c r="M82" i="66"/>
  <c r="M84" i="66" s="1"/>
  <c r="U81" i="66"/>
  <c r="U82" i="66" s="1"/>
  <c r="C78" i="66"/>
  <c r="G78" i="66" s="1"/>
  <c r="V80" i="66"/>
  <c r="AD80" i="66"/>
  <c r="AE90" i="66"/>
  <c r="AE84" i="66"/>
  <c r="AH48" i="66"/>
  <c r="AE77" i="66"/>
  <c r="AF77" i="66" s="1"/>
  <c r="AF54" i="66"/>
  <c r="AF91" i="66"/>
  <c r="AF90" i="66" s="1"/>
  <c r="AF28" i="66"/>
  <c r="AE44" i="66"/>
  <c r="AF44" i="66" s="1"/>
  <c r="AF17" i="66"/>
  <c r="AF82" i="66" s="1"/>
  <c r="AF84" i="66" s="1"/>
  <c r="AE45" i="66"/>
  <c r="AF27" i="66"/>
  <c r="V27" i="66"/>
  <c r="W27" i="66" s="1"/>
  <c r="Y32" i="66"/>
  <c r="U88" i="66"/>
  <c r="U89" i="66" s="1"/>
  <c r="V44" i="66"/>
  <c r="W44" i="66" s="1"/>
  <c r="P56" i="66"/>
  <c r="M44" i="66"/>
  <c r="N44" i="66" s="1"/>
  <c r="D77" i="66"/>
  <c r="E77" i="66" s="1"/>
  <c r="P48" i="66"/>
  <c r="M77" i="66"/>
  <c r="N77" i="66" s="1"/>
  <c r="N54" i="66"/>
  <c r="N82" i="66"/>
  <c r="N28" i="66"/>
  <c r="N91" i="66"/>
  <c r="N90" i="66" s="1"/>
  <c r="L81" i="66"/>
  <c r="L78" i="66"/>
  <c r="P83" i="66" s="1"/>
  <c r="N26" i="66"/>
  <c r="N83" i="66" s="1"/>
  <c r="D84" i="66"/>
  <c r="D27" i="66"/>
  <c r="D45" i="66" s="1"/>
  <c r="D99" i="66"/>
  <c r="C81" i="66"/>
  <c r="C88" i="66" s="1"/>
  <c r="C89" i="66" s="1"/>
  <c r="D90" i="66"/>
  <c r="E82" i="66"/>
  <c r="E84" i="66" s="1"/>
  <c r="G77" i="66" l="1"/>
  <c r="I77" i="66" s="1"/>
  <c r="I81" i="66" s="1"/>
  <c r="G81" i="66"/>
  <c r="H82" i="66" s="1"/>
  <c r="E27" i="66"/>
  <c r="AE80" i="66"/>
  <c r="AD81" i="66"/>
  <c r="Y80" i="66"/>
  <c r="Y81" i="66" s="1"/>
  <c r="W80" i="66"/>
  <c r="AE81" i="66"/>
  <c r="AF45" i="66"/>
  <c r="AE78" i="66"/>
  <c r="V45" i="66"/>
  <c r="P81" i="66"/>
  <c r="N84" i="66"/>
  <c r="M45" i="66"/>
  <c r="N45" i="66" s="1"/>
  <c r="L88" i="66"/>
  <c r="L89" i="66" s="1"/>
  <c r="L82" i="66"/>
  <c r="C82" i="66"/>
  <c r="E45" i="66"/>
  <c r="D81" i="66"/>
  <c r="D102" i="66" s="1"/>
  <c r="D78" i="66"/>
  <c r="G96" i="66" l="1"/>
  <c r="AD88" i="66"/>
  <c r="AD89" i="66" s="1"/>
  <c r="AD82" i="66"/>
  <c r="AH80" i="66"/>
  <c r="AF80" i="66"/>
  <c r="AF81" i="66" s="1"/>
  <c r="AF78" i="66"/>
  <c r="V81" i="66"/>
  <c r="Y96" i="66" s="1"/>
  <c r="W45" i="66"/>
  <c r="V78" i="66"/>
  <c r="M81" i="66"/>
  <c r="P96" i="66" s="1"/>
  <c r="M78" i="66"/>
  <c r="N78" i="66"/>
  <c r="N81" i="66"/>
  <c r="E81" i="66"/>
  <c r="E78" i="66"/>
  <c r="W78" i="66" l="1"/>
  <c r="W81" i="66"/>
  <c r="V55" i="65" l="1"/>
  <c r="W55" i="65"/>
  <c r="AH50" i="65"/>
  <c r="BJ50" i="65" s="1"/>
  <c r="AH55" i="65"/>
  <c r="AI55" i="65" s="1"/>
  <c r="L116" i="65"/>
  <c r="L113" i="65"/>
  <c r="N113" i="65" s="1"/>
  <c r="L112" i="65"/>
  <c r="N112" i="65" s="1"/>
  <c r="N111" i="65"/>
  <c r="L111" i="65"/>
  <c r="P109" i="65" s="1"/>
  <c r="N110" i="65"/>
  <c r="L110" i="65"/>
  <c r="N109" i="65"/>
  <c r="L109" i="65"/>
  <c r="N108" i="65"/>
  <c r="L108" i="65"/>
  <c r="AB107" i="65"/>
  <c r="N107" i="65"/>
  <c r="L107" i="65"/>
  <c r="AB106" i="65"/>
  <c r="N106" i="65"/>
  <c r="L106" i="65"/>
  <c r="AB105" i="65"/>
  <c r="N105" i="65"/>
  <c r="L105" i="65"/>
  <c r="N104" i="65"/>
  <c r="L104" i="65"/>
  <c r="T103" i="65"/>
  <c r="N103" i="65"/>
  <c r="L103" i="65"/>
  <c r="X102" i="65"/>
  <c r="N102" i="65"/>
  <c r="L102" i="65"/>
  <c r="X107" i="65" s="1"/>
  <c r="AK101" i="65"/>
  <c r="AK102" i="65" s="1"/>
  <c r="AB101" i="65"/>
  <c r="X101" i="65"/>
  <c r="O101" i="65"/>
  <c r="L101" i="65"/>
  <c r="X106" i="65" s="1"/>
  <c r="AB100" i="65"/>
  <c r="X100" i="65"/>
  <c r="L100" i="65"/>
  <c r="L114" i="65" s="1"/>
  <c r="L115" i="65" s="1"/>
  <c r="H94" i="65"/>
  <c r="AO91" i="65"/>
  <c r="AK91" i="65"/>
  <c r="K90" i="65"/>
  <c r="K93" i="65" s="1"/>
  <c r="AO87" i="65"/>
  <c r="AL87" i="65"/>
  <c r="AO78" i="65"/>
  <c r="AO79" i="65" s="1"/>
  <c r="AO80" i="65" s="1"/>
  <c r="AL78" i="65"/>
  <c r="AL79" i="65" s="1"/>
  <c r="AL80" i="65" s="1"/>
  <c r="AA78" i="65"/>
  <c r="BM76" i="65"/>
  <c r="AG75" i="65"/>
  <c r="AA75" i="65"/>
  <c r="S75" i="65"/>
  <c r="BT74" i="65"/>
  <c r="BR74" i="65"/>
  <c r="BN74" i="65"/>
  <c r="BM74" i="65"/>
  <c r="BO74" i="65" s="1"/>
  <c r="BJ74" i="65"/>
  <c r="BH74" i="65"/>
  <c r="AM74" i="65"/>
  <c r="AN74" i="65" s="1"/>
  <c r="Z74" i="65"/>
  <c r="Y74" i="65"/>
  <c r="W74" i="65"/>
  <c r="I74" i="65"/>
  <c r="F74" i="65"/>
  <c r="E74" i="65"/>
  <c r="BT73" i="65"/>
  <c r="BR73" i="65"/>
  <c r="BO73" i="65"/>
  <c r="BN73" i="65"/>
  <c r="BM73" i="65"/>
  <c r="BJ73" i="65"/>
  <c r="BH73" i="65"/>
  <c r="AN73" i="65"/>
  <c r="AM73" i="65"/>
  <c r="Y73" i="65"/>
  <c r="W73" i="65"/>
  <c r="Z73" i="65" s="1"/>
  <c r="I73" i="65"/>
  <c r="E73" i="65"/>
  <c r="F73" i="65" s="1"/>
  <c r="BT72" i="65"/>
  <c r="BR72" i="65"/>
  <c r="BN72" i="65"/>
  <c r="BM72" i="65"/>
  <c r="BO72" i="65" s="1"/>
  <c r="BJ72" i="65"/>
  <c r="BH72" i="65"/>
  <c r="AN72" i="65"/>
  <c r="AM72" i="65"/>
  <c r="W72" i="65"/>
  <c r="I72" i="65"/>
  <c r="E72" i="65"/>
  <c r="F72" i="65" s="1"/>
  <c r="BT71" i="65"/>
  <c r="BR71" i="65"/>
  <c r="BN71" i="65"/>
  <c r="BM71" i="65"/>
  <c r="BO71" i="65" s="1"/>
  <c r="BJ71" i="65"/>
  <c r="BH71" i="65"/>
  <c r="AU71" i="65"/>
  <c r="AN71" i="65"/>
  <c r="AM71" i="65"/>
  <c r="AJ71" i="65"/>
  <c r="Y71" i="65"/>
  <c r="W71" i="65"/>
  <c r="Z71" i="65" s="1"/>
  <c r="V71" i="65"/>
  <c r="R71" i="65"/>
  <c r="Q71" i="65"/>
  <c r="I71" i="65"/>
  <c r="E71" i="65"/>
  <c r="D71" i="65"/>
  <c r="BT70" i="65"/>
  <c r="BR70" i="65"/>
  <c r="BN70" i="65"/>
  <c r="BM70" i="65"/>
  <c r="BO70" i="65" s="1"/>
  <c r="BJ70" i="65"/>
  <c r="BH70" i="65"/>
  <c r="AN70" i="65"/>
  <c r="AM70" i="65"/>
  <c r="W70" i="65"/>
  <c r="I70" i="65"/>
  <c r="E70" i="65"/>
  <c r="F70" i="65" s="1"/>
  <c r="BT69" i="65"/>
  <c r="BR69" i="65"/>
  <c r="BN69" i="65"/>
  <c r="BM69" i="65"/>
  <c r="BO69" i="65" s="1"/>
  <c r="BJ69" i="65"/>
  <c r="BH69" i="65"/>
  <c r="AM69" i="65"/>
  <c r="AN69" i="65" s="1"/>
  <c r="Z69" i="65"/>
  <c r="W69" i="65"/>
  <c r="Y69" i="65" s="1"/>
  <c r="I69" i="65"/>
  <c r="E69" i="65"/>
  <c r="F69" i="65" s="1"/>
  <c r="BT68" i="65"/>
  <c r="BR68" i="65"/>
  <c r="BN68" i="65"/>
  <c r="BM68" i="65"/>
  <c r="BO68" i="65" s="1"/>
  <c r="BJ68" i="65"/>
  <c r="BH68" i="65"/>
  <c r="AM68" i="65"/>
  <c r="AN68" i="65" s="1"/>
  <c r="Z68" i="65"/>
  <c r="W68" i="65"/>
  <c r="Y68" i="65" s="1"/>
  <c r="I68" i="65"/>
  <c r="F68" i="65"/>
  <c r="E68" i="65"/>
  <c r="BT67" i="65"/>
  <c r="BR67" i="65"/>
  <c r="BO67" i="65"/>
  <c r="BN67" i="65"/>
  <c r="BM67" i="65"/>
  <c r="BJ67" i="65"/>
  <c r="BH67" i="65"/>
  <c r="AU67" i="65"/>
  <c r="AQ67" i="65"/>
  <c r="AM67" i="65"/>
  <c r="AN67" i="65" s="1"/>
  <c r="AK67" i="65"/>
  <c r="AJ67" i="65"/>
  <c r="Y67" i="65"/>
  <c r="W67" i="65"/>
  <c r="Z67" i="65" s="1"/>
  <c r="I67" i="65"/>
  <c r="E67" i="65"/>
  <c r="F67" i="65" s="1"/>
  <c r="BR66" i="65"/>
  <c r="BQ66" i="65"/>
  <c r="BP66" i="65"/>
  <c r="BN66" i="65"/>
  <c r="BO66" i="65" s="1"/>
  <c r="BM66" i="65"/>
  <c r="BJ66" i="65"/>
  <c r="BH66" i="65"/>
  <c r="AX66" i="65"/>
  <c r="AR66" i="65"/>
  <c r="AP66" i="65"/>
  <c r="AQ66" i="65" s="1"/>
  <c r="AM66" i="65"/>
  <c r="AN66" i="65" s="1"/>
  <c r="AC66" i="65"/>
  <c r="Y66" i="65"/>
  <c r="W66" i="65"/>
  <c r="T66" i="65"/>
  <c r="R66" i="65" s="1"/>
  <c r="S66" i="65" s="1"/>
  <c r="P66" i="65"/>
  <c r="M66" i="65"/>
  <c r="H66" i="65"/>
  <c r="I66" i="65" s="1"/>
  <c r="E66" i="65"/>
  <c r="F66" i="65" s="1"/>
  <c r="BT65" i="65"/>
  <c r="BR65" i="65"/>
  <c r="BN65" i="65"/>
  <c r="BM65" i="65"/>
  <c r="BO65" i="65" s="1"/>
  <c r="BJ65" i="65"/>
  <c r="BH65" i="65"/>
  <c r="AQ65" i="65"/>
  <c r="AM65" i="65"/>
  <c r="AN65" i="65" s="1"/>
  <c r="W65" i="65"/>
  <c r="Z65" i="65" s="1"/>
  <c r="Y65" i="65" s="1"/>
  <c r="R65" i="65" s="1"/>
  <c r="E65" i="65" s="1"/>
  <c r="F65" i="65" s="1"/>
  <c r="I65" i="65"/>
  <c r="BT64" i="65"/>
  <c r="BR64" i="65"/>
  <c r="BO64" i="65"/>
  <c r="BN64" i="65"/>
  <c r="BM64" i="65"/>
  <c r="BJ64" i="65"/>
  <c r="BH64" i="65"/>
  <c r="AQ64" i="65"/>
  <c r="AM64" i="65"/>
  <c r="AN64" i="65" s="1"/>
  <c r="Z64" i="65"/>
  <c r="Y64" i="65" s="1"/>
  <c r="R64" i="65" s="1"/>
  <c r="E64" i="65" s="1"/>
  <c r="F64" i="65" s="1"/>
  <c r="W64" i="65"/>
  <c r="I64" i="65"/>
  <c r="BT63" i="65"/>
  <c r="BR63" i="65"/>
  <c r="BQ63" i="65"/>
  <c r="BN63" i="65"/>
  <c r="BM63" i="65"/>
  <c r="BP63" i="65" s="1"/>
  <c r="BJ63" i="65"/>
  <c r="BH63" i="65"/>
  <c r="AX63" i="65"/>
  <c r="AT63" i="65"/>
  <c r="AP63" i="65"/>
  <c r="AM63" i="65" s="1"/>
  <c r="AN63" i="65"/>
  <c r="Y63" i="65"/>
  <c r="W63" i="65"/>
  <c r="T63" i="65"/>
  <c r="R63" i="65" s="1"/>
  <c r="S63" i="65" s="1"/>
  <c r="P63" i="65"/>
  <c r="M63" i="65"/>
  <c r="H63" i="65"/>
  <c r="I63" i="65" s="1"/>
  <c r="E63" i="65"/>
  <c r="F63" i="65" s="1"/>
  <c r="BT62" i="65"/>
  <c r="BR62" i="65"/>
  <c r="BN62" i="65"/>
  <c r="BO62" i="65" s="1"/>
  <c r="BM62" i="65"/>
  <c r="BJ62" i="65"/>
  <c r="BH62" i="65"/>
  <c r="AQ62" i="65"/>
  <c r="AM62" i="65"/>
  <c r="AN62" i="65" s="1"/>
  <c r="Z62" i="65"/>
  <c r="Y62" i="65"/>
  <c r="R62" i="65" s="1"/>
  <c r="W62" i="65"/>
  <c r="T62" i="65"/>
  <c r="I62" i="65"/>
  <c r="BT61" i="65"/>
  <c r="BR61" i="65"/>
  <c r="BN61" i="65"/>
  <c r="BP61" i="65" s="1"/>
  <c r="BM61" i="65"/>
  <c r="BO61" i="65" s="1"/>
  <c r="BJ61" i="65"/>
  <c r="BH61" i="65"/>
  <c r="AX61" i="65"/>
  <c r="AU61" i="65"/>
  <c r="AT61" i="65"/>
  <c r="AM61" i="65"/>
  <c r="AN61" i="65" s="1"/>
  <c r="AK61" i="65"/>
  <c r="AJ61" i="65"/>
  <c r="AC61" i="65"/>
  <c r="Z61" i="65"/>
  <c r="Y61" i="65" s="1"/>
  <c r="W61" i="65"/>
  <c r="R61" i="65"/>
  <c r="S61" i="65" s="1"/>
  <c r="P61" i="65"/>
  <c r="M61" i="65"/>
  <c r="J61" i="65"/>
  <c r="I61" i="65"/>
  <c r="H61" i="65"/>
  <c r="BT60" i="65"/>
  <c r="BR60" i="65"/>
  <c r="BN60" i="65"/>
  <c r="BM60" i="65"/>
  <c r="BO60" i="65" s="1"/>
  <c r="BJ60" i="65"/>
  <c r="BH60" i="65"/>
  <c r="AQ60" i="65"/>
  <c r="AN60" i="65"/>
  <c r="AM60" i="65"/>
  <c r="W60" i="65"/>
  <c r="Z60" i="65" s="1"/>
  <c r="Y60" i="65" s="1"/>
  <c r="R60" i="65"/>
  <c r="E60" i="65" s="1"/>
  <c r="F60" i="65" s="1"/>
  <c r="I60" i="65"/>
  <c r="BV59" i="65"/>
  <c r="BT59" i="65"/>
  <c r="BQ59" i="65"/>
  <c r="BR59" i="65" s="1"/>
  <c r="BM59" i="65"/>
  <c r="BJ59" i="65"/>
  <c r="BH59" i="65"/>
  <c r="AX59" i="65"/>
  <c r="AT59" i="65"/>
  <c r="AQ59" i="65"/>
  <c r="AM59" i="65"/>
  <c r="AN59" i="65" s="1"/>
  <c r="AC59" i="65"/>
  <c r="W59" i="65"/>
  <c r="T59" i="65"/>
  <c r="R59" i="65"/>
  <c r="S59" i="65" s="1"/>
  <c r="P59" i="65"/>
  <c r="M59" i="65"/>
  <c r="H59" i="65"/>
  <c r="E59" i="65" s="1"/>
  <c r="F59" i="65" s="1"/>
  <c r="BT58" i="65"/>
  <c r="BR58" i="65"/>
  <c r="BO58" i="65"/>
  <c r="BN58" i="65"/>
  <c r="BM58" i="65"/>
  <c r="BJ58" i="65"/>
  <c r="BH58" i="65"/>
  <c r="AQ58" i="65"/>
  <c r="AM58" i="65"/>
  <c r="AN58" i="65" s="1"/>
  <c r="Z58" i="65"/>
  <c r="Y58" i="65" s="1"/>
  <c r="R58" i="65" s="1"/>
  <c r="W58" i="65"/>
  <c r="I58" i="65"/>
  <c r="BT57" i="65"/>
  <c r="BR57" i="65"/>
  <c r="BN57" i="65"/>
  <c r="BM57" i="65"/>
  <c r="BO57" i="65" s="1"/>
  <c r="BJ57" i="65"/>
  <c r="BH57" i="65"/>
  <c r="AQ57" i="65"/>
  <c r="AN57" i="65"/>
  <c r="AM57" i="65"/>
  <c r="W57" i="65"/>
  <c r="Z57" i="65" s="1"/>
  <c r="Y57" i="65" s="1"/>
  <c r="R57" i="65" s="1"/>
  <c r="I57" i="65"/>
  <c r="BT56" i="65"/>
  <c r="BR56" i="65"/>
  <c r="BO56" i="65"/>
  <c r="BN56" i="65"/>
  <c r="BM56" i="65"/>
  <c r="BJ56" i="65"/>
  <c r="BH56" i="65"/>
  <c r="AQ56" i="65"/>
  <c r="AM56" i="65"/>
  <c r="AN56" i="65" s="1"/>
  <c r="W56" i="65"/>
  <c r="R56" i="65"/>
  <c r="S56" i="65" s="1"/>
  <c r="I56" i="65"/>
  <c r="BT55" i="65"/>
  <c r="BQ55" i="65"/>
  <c r="BR55" i="65" s="1"/>
  <c r="BM55" i="65"/>
  <c r="BJ55" i="65"/>
  <c r="BH55" i="65"/>
  <c r="AX55" i="65"/>
  <c r="AT55" i="65"/>
  <c r="AQ55" i="65"/>
  <c r="AM55" i="65"/>
  <c r="AN55" i="65" s="1"/>
  <c r="AC55" i="65"/>
  <c r="Y55" i="65"/>
  <c r="P55" i="65"/>
  <c r="M55" i="65"/>
  <c r="H55" i="65"/>
  <c r="I55" i="65" s="1"/>
  <c r="BT54" i="65"/>
  <c r="BR54" i="65"/>
  <c r="BN54" i="65"/>
  <c r="BO54" i="65" s="1"/>
  <c r="BM54" i="65"/>
  <c r="BJ54" i="65"/>
  <c r="BH54" i="65"/>
  <c r="AQ54" i="65"/>
  <c r="AM54" i="65"/>
  <c r="AN54" i="65" s="1"/>
  <c r="AI54" i="65"/>
  <c r="Z54" i="65"/>
  <c r="Y54" i="65" s="1"/>
  <c r="R54" i="65" s="1"/>
  <c r="W54" i="65"/>
  <c r="I54" i="65"/>
  <c r="BT53" i="65"/>
  <c r="BR53" i="65"/>
  <c r="BN53" i="65"/>
  <c r="BM53" i="65"/>
  <c r="BO53" i="65" s="1"/>
  <c r="BJ53" i="65"/>
  <c r="BH53" i="65"/>
  <c r="AQ53" i="65"/>
  <c r="AN53" i="65"/>
  <c r="AM53" i="65"/>
  <c r="AI53" i="65"/>
  <c r="Z53" i="65"/>
  <c r="Y53" i="65"/>
  <c r="R53" i="65" s="1"/>
  <c r="W53" i="65"/>
  <c r="I53" i="65"/>
  <c r="BT52" i="65"/>
  <c r="BR52" i="65"/>
  <c r="BN52" i="65"/>
  <c r="BM52" i="65"/>
  <c r="BO52" i="65" s="1"/>
  <c r="BJ52" i="65"/>
  <c r="BH52" i="65"/>
  <c r="AZ52" i="65"/>
  <c r="AQ52" i="65"/>
  <c r="AN52" i="65"/>
  <c r="AM52" i="65"/>
  <c r="AI52" i="65"/>
  <c r="Y52" i="65"/>
  <c r="R52" i="65" s="1"/>
  <c r="W52" i="65"/>
  <c r="I52" i="65"/>
  <c r="BT51" i="65"/>
  <c r="BR51" i="65"/>
  <c r="BO51" i="65"/>
  <c r="BN51" i="65"/>
  <c r="BM51" i="65"/>
  <c r="BJ51" i="65"/>
  <c r="BH51" i="65"/>
  <c r="AQ51" i="65"/>
  <c r="AM51" i="65"/>
  <c r="AN51" i="65" s="1"/>
  <c r="AI51" i="65"/>
  <c r="W51" i="65"/>
  <c r="Z51" i="65" s="1"/>
  <c r="Y51" i="65" s="1"/>
  <c r="I51" i="65"/>
  <c r="E51" i="65"/>
  <c r="F51" i="65" s="1"/>
  <c r="BT50" i="65"/>
  <c r="BR50" i="65"/>
  <c r="BQ50" i="65"/>
  <c r="BN50" i="65"/>
  <c r="BO50" i="65" s="1"/>
  <c r="BM50" i="65"/>
  <c r="BH50" i="65"/>
  <c r="AZ50" i="65"/>
  <c r="AX50" i="65"/>
  <c r="AT50" i="65"/>
  <c r="AQ50" i="65"/>
  <c r="AN50" i="65"/>
  <c r="AM50" i="65"/>
  <c r="AC50" i="65"/>
  <c r="W50" i="65"/>
  <c r="R50" i="65"/>
  <c r="S50" i="65" s="1"/>
  <c r="P50" i="65"/>
  <c r="M50" i="65"/>
  <c r="H50" i="65"/>
  <c r="BT49" i="65"/>
  <c r="BR49" i="65"/>
  <c r="BP49" i="65"/>
  <c r="BN49" i="65"/>
  <c r="BM49" i="65"/>
  <c r="BO49" i="65" s="1"/>
  <c r="BJ49" i="65"/>
  <c r="BH49" i="65"/>
  <c r="AX49" i="65"/>
  <c r="AT49" i="65"/>
  <c r="AQ49" i="65"/>
  <c r="AM49" i="65"/>
  <c r="AN49" i="65" s="1"/>
  <c r="Z49" i="65"/>
  <c r="Z45" i="65" s="1"/>
  <c r="Y49" i="65"/>
  <c r="W49" i="65"/>
  <c r="I49" i="65"/>
  <c r="E49" i="65"/>
  <c r="F49" i="65" s="1"/>
  <c r="BT48" i="65"/>
  <c r="BR48" i="65"/>
  <c r="BP48" i="65"/>
  <c r="BO48" i="65"/>
  <c r="BN48" i="65"/>
  <c r="BM48" i="65"/>
  <c r="BJ48" i="65"/>
  <c r="BH48" i="65"/>
  <c r="BA48" i="65"/>
  <c r="AX48" i="65"/>
  <c r="AT48" i="65"/>
  <c r="AQ48" i="65"/>
  <c r="AM48" i="65"/>
  <c r="AN48" i="65" s="1"/>
  <c r="AC48" i="65"/>
  <c r="W48" i="65"/>
  <c r="R48" i="65"/>
  <c r="S48" i="65" s="1"/>
  <c r="P48" i="65"/>
  <c r="M48" i="65"/>
  <c r="H48" i="65"/>
  <c r="I48" i="65" s="1"/>
  <c r="E48" i="65"/>
  <c r="F48" i="65" s="1"/>
  <c r="BR47" i="65"/>
  <c r="BN47" i="65"/>
  <c r="BM47" i="65"/>
  <c r="BO47" i="65" s="1"/>
  <c r="BH47" i="65"/>
  <c r="AM47" i="65"/>
  <c r="AN47" i="65" s="1"/>
  <c r="Y47" i="65"/>
  <c r="Y45" i="65" s="1"/>
  <c r="W47" i="65"/>
  <c r="I47" i="65"/>
  <c r="E47" i="65"/>
  <c r="F47" i="65" s="1"/>
  <c r="BR46" i="65"/>
  <c r="BN46" i="65"/>
  <c r="BM46" i="65"/>
  <c r="BO46" i="65" s="1"/>
  <c r="BH46" i="65"/>
  <c r="AM46" i="65"/>
  <c r="AN46" i="65" s="1"/>
  <c r="Z46" i="65"/>
  <c r="W46" i="65"/>
  <c r="Y46" i="65" s="1"/>
  <c r="I46" i="65"/>
  <c r="F46" i="65"/>
  <c r="E46" i="65"/>
  <c r="BS45" i="65"/>
  <c r="BR45" i="65"/>
  <c r="BM45" i="65"/>
  <c r="BI45" i="65"/>
  <c r="BH45" i="65"/>
  <c r="BG45" i="65"/>
  <c r="AW45" i="65"/>
  <c r="AX45" i="65" s="1"/>
  <c r="AU45" i="65"/>
  <c r="AS45" i="65"/>
  <c r="AT45" i="65" s="1"/>
  <c r="AR45" i="65"/>
  <c r="AQ45" i="65"/>
  <c r="AP45" i="65"/>
  <c r="AM45" i="65"/>
  <c r="AN45" i="65" s="1"/>
  <c r="AK45" i="65"/>
  <c r="AJ45" i="65"/>
  <c r="AH45" i="65"/>
  <c r="AI45" i="65" s="1"/>
  <c r="AC45" i="65"/>
  <c r="AB45" i="65"/>
  <c r="X45" i="65"/>
  <c r="U45" i="65"/>
  <c r="T45" i="65"/>
  <c r="Q45" i="65"/>
  <c r="P45" i="65"/>
  <c r="O45" i="65"/>
  <c r="N45" i="65"/>
  <c r="L45" i="65"/>
  <c r="M45" i="65" s="1"/>
  <c r="K45" i="65"/>
  <c r="J45" i="65"/>
  <c r="H45" i="65"/>
  <c r="D45" i="65"/>
  <c r="BR44" i="65"/>
  <c r="BN44" i="65"/>
  <c r="BM44" i="65"/>
  <c r="BO44" i="65" s="1"/>
  <c r="BH44" i="65"/>
  <c r="AM44" i="65"/>
  <c r="AN44" i="65" s="1"/>
  <c r="Z44" i="65"/>
  <c r="Y44" i="65"/>
  <c r="W44" i="65"/>
  <c r="I44" i="65"/>
  <c r="E44" i="65"/>
  <c r="F44" i="65" s="1"/>
  <c r="BR43" i="65"/>
  <c r="BN43" i="65"/>
  <c r="BM43" i="65"/>
  <c r="BH43" i="65"/>
  <c r="AM43" i="65"/>
  <c r="AN43" i="65" s="1"/>
  <c r="Z43" i="65"/>
  <c r="W43" i="65"/>
  <c r="Y43" i="65" s="1"/>
  <c r="I43" i="65"/>
  <c r="F43" i="65"/>
  <c r="E43" i="65"/>
  <c r="BR42" i="65"/>
  <c r="BO42" i="65"/>
  <c r="BN42" i="65"/>
  <c r="BM42" i="65"/>
  <c r="BH42" i="65"/>
  <c r="AU42" i="65"/>
  <c r="AN42" i="65"/>
  <c r="AM42" i="65"/>
  <c r="W42" i="65"/>
  <c r="Z42" i="65" s="1"/>
  <c r="I42" i="65"/>
  <c r="E42" i="65"/>
  <c r="F42" i="65" s="1"/>
  <c r="D42" i="65"/>
  <c r="BR41" i="65"/>
  <c r="BN41" i="65"/>
  <c r="BM41" i="65"/>
  <c r="BO41" i="65" s="1"/>
  <c r="BH41" i="65"/>
  <c r="AM41" i="65"/>
  <c r="AN41" i="65" s="1"/>
  <c r="Z41" i="65"/>
  <c r="W41" i="65"/>
  <c r="Y41" i="65" s="1"/>
  <c r="I41" i="65"/>
  <c r="F41" i="65"/>
  <c r="E41" i="65"/>
  <c r="BT40" i="65"/>
  <c r="BQ40" i="65"/>
  <c r="BR40" i="65" s="1"/>
  <c r="BR36" i="65" s="1"/>
  <c r="BR33" i="65" s="1"/>
  <c r="BM40" i="65"/>
  <c r="BJ40" i="65"/>
  <c r="BH40" i="65"/>
  <c r="AX40" i="65"/>
  <c r="AT40" i="65"/>
  <c r="AQ40" i="65"/>
  <c r="AM40" i="65"/>
  <c r="AN40" i="65" s="1"/>
  <c r="Z40" i="65"/>
  <c r="W40" i="65"/>
  <c r="Y40" i="65" s="1"/>
  <c r="M40" i="65"/>
  <c r="I40" i="65"/>
  <c r="H40" i="65"/>
  <c r="E40" i="65"/>
  <c r="F40" i="65" s="1"/>
  <c r="BT39" i="65"/>
  <c r="BT36" i="65" s="1"/>
  <c r="BT33" i="65" s="1"/>
  <c r="BQ39" i="65"/>
  <c r="BR39" i="65" s="1"/>
  <c r="BP39" i="65"/>
  <c r="BM39" i="65"/>
  <c r="BJ39" i="65"/>
  <c r="BH39" i="65"/>
  <c r="AX39" i="65"/>
  <c r="AT39" i="65"/>
  <c r="AQ39" i="65"/>
  <c r="AN39" i="65"/>
  <c r="AM39" i="65"/>
  <c r="AC39" i="65"/>
  <c r="Z39" i="65"/>
  <c r="Z36" i="65" s="1"/>
  <c r="Y39" i="65"/>
  <c r="W39" i="65"/>
  <c r="R39" i="65"/>
  <c r="S39" i="65" s="1"/>
  <c r="M39" i="65"/>
  <c r="H39" i="65"/>
  <c r="I39" i="65" s="1"/>
  <c r="F39" i="65"/>
  <c r="E39" i="65"/>
  <c r="BT38" i="65"/>
  <c r="BR38" i="65"/>
  <c r="BP38" i="65"/>
  <c r="BO38" i="65"/>
  <c r="BN38" i="65"/>
  <c r="BM38" i="65"/>
  <c r="BJ38" i="65"/>
  <c r="BJ36" i="65" s="1"/>
  <c r="BJ33" i="65" s="1"/>
  <c r="BH38" i="65"/>
  <c r="AX38" i="65"/>
  <c r="AT38" i="65"/>
  <c r="AQ38" i="65"/>
  <c r="AN38" i="65"/>
  <c r="AM38" i="65"/>
  <c r="AC38" i="65"/>
  <c r="W38" i="65"/>
  <c r="S38" i="65"/>
  <c r="R38" i="65"/>
  <c r="P38" i="65"/>
  <c r="M38" i="65"/>
  <c r="I38" i="65"/>
  <c r="H38" i="65"/>
  <c r="E38" i="65"/>
  <c r="F38" i="65" s="1"/>
  <c r="BR37" i="65"/>
  <c r="BN37" i="65"/>
  <c r="BM37" i="65"/>
  <c r="BO37" i="65" s="1"/>
  <c r="BH37" i="65"/>
  <c r="AM37" i="65"/>
  <c r="AN37" i="65" s="1"/>
  <c r="Z37" i="65"/>
  <c r="Y37" i="65"/>
  <c r="W37" i="65"/>
  <c r="I37" i="65"/>
  <c r="E37" i="65"/>
  <c r="F37" i="65" s="1"/>
  <c r="BS36" i="65"/>
  <c r="BQ36" i="65"/>
  <c r="BN36" i="65"/>
  <c r="BM36" i="65"/>
  <c r="BI36" i="65"/>
  <c r="BH36" i="65"/>
  <c r="BG36" i="65"/>
  <c r="AW36" i="65"/>
  <c r="AX36" i="65" s="1"/>
  <c r="AU36" i="65"/>
  <c r="AU33" i="65" s="1"/>
  <c r="AT36" i="65"/>
  <c r="AS36" i="65"/>
  <c r="AR36" i="65"/>
  <c r="AQ36" i="65"/>
  <c r="AP36" i="65"/>
  <c r="AM36" i="65" s="1"/>
  <c r="AN36" i="65" s="1"/>
  <c r="AO36" i="65"/>
  <c r="AK36" i="65"/>
  <c r="AK33" i="65" s="1"/>
  <c r="AK23" i="65" s="1"/>
  <c r="AK78" i="65" s="1"/>
  <c r="AJ36" i="65"/>
  <c r="AB36" i="65"/>
  <c r="AC36" i="65" s="1"/>
  <c r="X36" i="65"/>
  <c r="V36" i="65"/>
  <c r="W36" i="65" s="1"/>
  <c r="T36" i="65"/>
  <c r="R36" i="65"/>
  <c r="S36" i="65" s="1"/>
  <c r="Q36" i="65"/>
  <c r="O36" i="65"/>
  <c r="P36" i="65" s="1"/>
  <c r="N36" i="65"/>
  <c r="M36" i="65"/>
  <c r="L36" i="65"/>
  <c r="K36" i="65"/>
  <c r="J36" i="65"/>
  <c r="I36" i="65"/>
  <c r="H36" i="65"/>
  <c r="D36" i="65"/>
  <c r="BR35" i="65"/>
  <c r="BN35" i="65"/>
  <c r="BP35" i="65" s="1"/>
  <c r="BP34" i="65" s="1"/>
  <c r="BM35" i="65"/>
  <c r="BH35" i="65"/>
  <c r="BH34" i="65" s="1"/>
  <c r="BH33" i="65" s="1"/>
  <c r="AM35" i="65"/>
  <c r="E35" i="65" s="1"/>
  <c r="F35" i="65" s="1"/>
  <c r="W35" i="65"/>
  <c r="I35" i="65"/>
  <c r="BR34" i="65"/>
  <c r="BQ34" i="65"/>
  <c r="BN34" i="65" s="1"/>
  <c r="BM34" i="65"/>
  <c r="AU34" i="65"/>
  <c r="AP34" i="65"/>
  <c r="AM34" i="65" s="1"/>
  <c r="AN34" i="65" s="1"/>
  <c r="AK34" i="65"/>
  <c r="AJ34" i="65"/>
  <c r="AJ33" i="65" s="1"/>
  <c r="X34" i="65"/>
  <c r="W34" i="65"/>
  <c r="Z34" i="65" s="1"/>
  <c r="Z33" i="65" s="1"/>
  <c r="Z23" i="65" s="1"/>
  <c r="Z78" i="65" s="1"/>
  <c r="V34" i="65"/>
  <c r="V33" i="65" s="1"/>
  <c r="G34" i="65"/>
  <c r="I34" i="65" s="1"/>
  <c r="E34" i="65"/>
  <c r="F34" i="65" s="1"/>
  <c r="BS33" i="65"/>
  <c r="BM33" i="65"/>
  <c r="BI33" i="65"/>
  <c r="BG33" i="65"/>
  <c r="BG23" i="65" s="1"/>
  <c r="BG76" i="65" s="1"/>
  <c r="AW33" i="65"/>
  <c r="AX33" i="65" s="1"/>
  <c r="AT33" i="65"/>
  <c r="AS33" i="65"/>
  <c r="AR33" i="65"/>
  <c r="AO33" i="65"/>
  <c r="AB33" i="65"/>
  <c r="AC33" i="65" s="1"/>
  <c r="X33" i="65"/>
  <c r="T33" i="65"/>
  <c r="Q33" i="65"/>
  <c r="O33" i="65"/>
  <c r="N33" i="65"/>
  <c r="M33" i="65"/>
  <c r="L33" i="65"/>
  <c r="K33" i="65"/>
  <c r="J33" i="65"/>
  <c r="I33" i="65"/>
  <c r="H33" i="65"/>
  <c r="D33" i="65"/>
  <c r="BR32" i="65"/>
  <c r="BN32" i="65"/>
  <c r="BM32" i="65"/>
  <c r="BH32" i="65"/>
  <c r="AM32" i="65"/>
  <c r="AN32" i="65" s="1"/>
  <c r="Z32" i="65"/>
  <c r="W32" i="65"/>
  <c r="Y32" i="65" s="1"/>
  <c r="I32" i="65"/>
  <c r="F32" i="65"/>
  <c r="E32" i="65"/>
  <c r="BR31" i="65"/>
  <c r="BO31" i="65"/>
  <c r="BN31" i="65"/>
  <c r="BM31" i="65"/>
  <c r="BH31" i="65"/>
  <c r="AN31" i="65"/>
  <c r="AM31" i="65"/>
  <c r="W31" i="65"/>
  <c r="I31" i="65"/>
  <c r="E31" i="65"/>
  <c r="F31" i="65" s="1"/>
  <c r="BR30" i="65"/>
  <c r="BO30" i="65"/>
  <c r="BN30" i="65"/>
  <c r="BM30" i="65"/>
  <c r="BH30" i="65"/>
  <c r="AN30" i="65"/>
  <c r="AM30" i="65"/>
  <c r="Y30" i="65"/>
  <c r="W30" i="65"/>
  <c r="Z30" i="65" s="1"/>
  <c r="I30" i="65"/>
  <c r="E30" i="65"/>
  <c r="F30" i="65" s="1"/>
  <c r="BR29" i="65"/>
  <c r="BN29" i="65"/>
  <c r="BM29" i="65"/>
  <c r="BO29" i="65" s="1"/>
  <c r="BH29" i="65"/>
  <c r="AU29" i="65"/>
  <c r="AM29" i="65"/>
  <c r="AN29" i="65" s="1"/>
  <c r="AJ29" i="65"/>
  <c r="Y29" i="65"/>
  <c r="W29" i="65"/>
  <c r="Z29" i="65" s="1"/>
  <c r="I29" i="65"/>
  <c r="G29" i="65"/>
  <c r="F29" i="65"/>
  <c r="E29" i="65"/>
  <c r="BT28" i="65"/>
  <c r="BR28" i="65"/>
  <c r="BP28" i="65"/>
  <c r="BO28" i="65"/>
  <c r="BN28" i="65"/>
  <c r="BM28" i="65"/>
  <c r="BJ28" i="65"/>
  <c r="BH28" i="65"/>
  <c r="AX28" i="65"/>
  <c r="AT28" i="65"/>
  <c r="AQ28" i="65"/>
  <c r="AN28" i="65"/>
  <c r="AM28" i="65"/>
  <c r="P28" i="65"/>
  <c r="M28" i="65"/>
  <c r="I28" i="65"/>
  <c r="H28" i="65"/>
  <c r="E28" i="65"/>
  <c r="F28" i="65" s="1"/>
  <c r="BT27" i="65"/>
  <c r="BR27" i="65"/>
  <c r="BQ27" i="65"/>
  <c r="BP27" i="65"/>
  <c r="BO27" i="65"/>
  <c r="BN27" i="65"/>
  <c r="BM27" i="65"/>
  <c r="BJ27" i="65"/>
  <c r="AX27" i="65"/>
  <c r="AT27" i="65"/>
  <c r="AQ27" i="65"/>
  <c r="AN27" i="65"/>
  <c r="AM27" i="65"/>
  <c r="AI27" i="65"/>
  <c r="AC27" i="65"/>
  <c r="W27" i="65"/>
  <c r="Q27" i="65"/>
  <c r="P27" i="65"/>
  <c r="M27" i="65"/>
  <c r="I27" i="65"/>
  <c r="D27" i="65"/>
  <c r="BT26" i="65"/>
  <c r="BR26" i="65"/>
  <c r="BP26" i="65"/>
  <c r="BP24" i="65" s="1"/>
  <c r="BO26" i="65"/>
  <c r="BN26" i="65"/>
  <c r="BM26" i="65"/>
  <c r="BJ26" i="65"/>
  <c r="AX26" i="65"/>
  <c r="AT26" i="65"/>
  <c r="AQ26" i="65"/>
  <c r="AN26" i="65"/>
  <c r="AM26" i="65"/>
  <c r="AI26" i="65"/>
  <c r="AF26" i="65"/>
  <c r="AE26" i="65"/>
  <c r="AE27" i="65" s="1"/>
  <c r="AC26" i="65"/>
  <c r="W26" i="65"/>
  <c r="S26" i="65"/>
  <c r="R26" i="65"/>
  <c r="Q26" i="65"/>
  <c r="P26" i="65"/>
  <c r="M26" i="65"/>
  <c r="J26" i="65"/>
  <c r="I26" i="65"/>
  <c r="G26" i="65"/>
  <c r="F26" i="65"/>
  <c r="E26" i="65"/>
  <c r="D26" i="65"/>
  <c r="BN25" i="65"/>
  <c r="BM25" i="65"/>
  <c r="BO25" i="65" s="1"/>
  <c r="AN25" i="65"/>
  <c r="AM25" i="65"/>
  <c r="Z25" i="65"/>
  <c r="Y25" i="65"/>
  <c r="W25" i="65"/>
  <c r="I25" i="65"/>
  <c r="F25" i="65"/>
  <c r="E25" i="65"/>
  <c r="BT24" i="65"/>
  <c r="BS24" i="65"/>
  <c r="BR24" i="65"/>
  <c r="BQ24" i="65"/>
  <c r="BN24" i="65"/>
  <c r="BM24" i="65"/>
  <c r="BO24" i="65" s="1"/>
  <c r="BI24" i="65"/>
  <c r="BG24" i="65"/>
  <c r="AW24" i="65"/>
  <c r="AX24" i="65" s="1"/>
  <c r="AU24" i="65"/>
  <c r="AU23" i="65" s="1"/>
  <c r="AT24" i="65"/>
  <c r="AS24" i="65"/>
  <c r="AR24" i="65"/>
  <c r="AQ24" i="65"/>
  <c r="AP24" i="65"/>
  <c r="AO24" i="65"/>
  <c r="AM24" i="65"/>
  <c r="AN24" i="65" s="1"/>
  <c r="AK24" i="65"/>
  <c r="AJ24" i="65"/>
  <c r="AH24" i="65"/>
  <c r="AH23" i="65" s="1"/>
  <c r="AI23" i="65" s="1"/>
  <c r="AB24" i="65"/>
  <c r="AB23" i="65" s="1"/>
  <c r="Z24" i="65"/>
  <c r="Y24" i="65"/>
  <c r="X24" i="65"/>
  <c r="W24" i="65"/>
  <c r="V24" i="65"/>
  <c r="T24" i="65"/>
  <c r="Q24" i="65"/>
  <c r="O24" i="65"/>
  <c r="P24" i="65" s="1"/>
  <c r="N24" i="65"/>
  <c r="N23" i="65" s="1"/>
  <c r="M24" i="65"/>
  <c r="L24" i="65"/>
  <c r="K24" i="65"/>
  <c r="I24" i="65"/>
  <c r="H24" i="65"/>
  <c r="G24" i="65"/>
  <c r="D24" i="65"/>
  <c r="BS23" i="65"/>
  <c r="BS76" i="65" s="1"/>
  <c r="BM23" i="65"/>
  <c r="BI23" i="65"/>
  <c r="BI76" i="65" s="1"/>
  <c r="AX23" i="65"/>
  <c r="AW23" i="65"/>
  <c r="AS23" i="65"/>
  <c r="AR23" i="65"/>
  <c r="AJ23" i="65"/>
  <c r="X23" i="65"/>
  <c r="X78" i="65" s="1"/>
  <c r="U23" i="65"/>
  <c r="T23" i="65"/>
  <c r="Q23" i="65"/>
  <c r="O23" i="65"/>
  <c r="L23" i="65"/>
  <c r="M23" i="65" s="1"/>
  <c r="K23" i="65"/>
  <c r="H23" i="65"/>
  <c r="G23" i="65"/>
  <c r="D23" i="65"/>
  <c r="AX22" i="65"/>
  <c r="AT22" i="65"/>
  <c r="AN22" i="65"/>
  <c r="AM22" i="65"/>
  <c r="E22" i="65" s="1"/>
  <c r="F22" i="65" s="1"/>
  <c r="W22" i="65"/>
  <c r="Z22" i="65" s="1"/>
  <c r="I22" i="65"/>
  <c r="D22" i="65"/>
  <c r="AX21" i="65"/>
  <c r="AT21" i="65"/>
  <c r="AQ21" i="65"/>
  <c r="AN21" i="65"/>
  <c r="AM21" i="65"/>
  <c r="E21" i="65" s="1"/>
  <c r="F21" i="65" s="1"/>
  <c r="Z21" i="65"/>
  <c r="Y21" i="65"/>
  <c r="I21" i="65"/>
  <c r="AM20" i="65"/>
  <c r="AN20" i="65" s="1"/>
  <c r="AI20" i="65"/>
  <c r="AF20" i="65"/>
  <c r="AC20" i="65"/>
  <c r="Y20" i="65"/>
  <c r="V20" i="65" s="1"/>
  <c r="I20" i="65"/>
  <c r="AN19" i="65"/>
  <c r="AM19" i="65"/>
  <c r="W19" i="65"/>
  <c r="Z19" i="65" s="1"/>
  <c r="I19" i="65"/>
  <c r="E19" i="65"/>
  <c r="F19" i="65" s="1"/>
  <c r="AN18" i="65"/>
  <c r="AM18" i="65"/>
  <c r="W18" i="65"/>
  <c r="Z18" i="65" s="1"/>
  <c r="I18" i="65"/>
  <c r="E18" i="65"/>
  <c r="F18" i="65" s="1"/>
  <c r="AQ17" i="65"/>
  <c r="AM17" i="65"/>
  <c r="AN17" i="65" s="1"/>
  <c r="Z17" i="65"/>
  <c r="W17" i="65"/>
  <c r="Y17" i="65" s="1"/>
  <c r="I17" i="65"/>
  <c r="F17" i="65"/>
  <c r="E17" i="65"/>
  <c r="AM16" i="65"/>
  <c r="AN16" i="65" s="1"/>
  <c r="W16" i="65"/>
  <c r="Z16" i="65" s="1"/>
  <c r="I16" i="65"/>
  <c r="F16" i="65"/>
  <c r="E16" i="65"/>
  <c r="BQ15" i="65"/>
  <c r="AX15" i="65"/>
  <c r="AT15" i="65"/>
  <c r="AQ15" i="65"/>
  <c r="AP15" i="65"/>
  <c r="AN15" i="65"/>
  <c r="AM15" i="65"/>
  <c r="W15" i="65"/>
  <c r="Z15" i="65" s="1"/>
  <c r="P15" i="65"/>
  <c r="M15" i="65"/>
  <c r="J15" i="65"/>
  <c r="I15" i="65"/>
  <c r="H15" i="65"/>
  <c r="E15" i="65"/>
  <c r="F15" i="65" s="1"/>
  <c r="BQ14" i="65"/>
  <c r="BQ16" i="65" s="1"/>
  <c r="AX14" i="65"/>
  <c r="AW14" i="65"/>
  <c r="AS14" i="65"/>
  <c r="AS11" i="65" s="1"/>
  <c r="AQ14" i="65"/>
  <c r="AP14" i="65"/>
  <c r="AM14" i="65"/>
  <c r="AN14" i="65" s="1"/>
  <c r="AK14" i="65"/>
  <c r="W14" i="65"/>
  <c r="Z14" i="65" s="1"/>
  <c r="P14" i="65"/>
  <c r="O14" i="65"/>
  <c r="M14" i="65"/>
  <c r="J14" i="65"/>
  <c r="J11" i="65" s="1"/>
  <c r="BA13" i="65"/>
  <c r="AN13" i="65"/>
  <c r="Z13" i="65"/>
  <c r="Y13" i="65"/>
  <c r="W13" i="65"/>
  <c r="E13" i="65"/>
  <c r="F13" i="65" s="1"/>
  <c r="AN12" i="65"/>
  <c r="Z12" i="65"/>
  <c r="Y12" i="65"/>
  <c r="W12" i="65"/>
  <c r="E12" i="65"/>
  <c r="F12" i="65" s="1"/>
  <c r="BW11" i="65"/>
  <c r="BS11" i="65"/>
  <c r="BU12" i="65" s="1"/>
  <c r="BR11" i="65"/>
  <c r="BP11" i="65"/>
  <c r="BM11" i="65"/>
  <c r="BO11" i="65" s="1"/>
  <c r="BJ11" i="65"/>
  <c r="BI11" i="65"/>
  <c r="AW11" i="65"/>
  <c r="AR11" i="65"/>
  <c r="BB13" i="65" s="1"/>
  <c r="AQ11" i="65"/>
  <c r="AP11" i="65"/>
  <c r="BQ12" i="65" s="1"/>
  <c r="BQ17" i="65" s="1"/>
  <c r="AK11" i="65"/>
  <c r="AI11" i="65"/>
  <c r="AH11" i="65"/>
  <c r="AE11" i="65"/>
  <c r="AF11" i="65" s="1"/>
  <c r="BH11" i="65" s="1"/>
  <c r="AC11" i="65"/>
  <c r="AB11" i="65"/>
  <c r="Z11" i="65"/>
  <c r="Y11" i="65"/>
  <c r="X11" i="65"/>
  <c r="T11" i="65"/>
  <c r="T76" i="65" s="1"/>
  <c r="T88" i="65" s="1"/>
  <c r="O11" i="65"/>
  <c r="O4" i="65" s="1"/>
  <c r="N11" i="65"/>
  <c r="K11" i="65"/>
  <c r="G11" i="65"/>
  <c r="D11" i="65"/>
  <c r="Q4" i="65"/>
  <c r="R4" i="65" s="1"/>
  <c r="H4" i="65"/>
  <c r="BJ45" i="65" l="1"/>
  <c r="E50" i="65"/>
  <c r="F50" i="65" s="1"/>
  <c r="BJ76" i="65"/>
  <c r="BR23" i="65"/>
  <c r="N75" i="65"/>
  <c r="N78" i="65"/>
  <c r="P23" i="65"/>
  <c r="AU78" i="65"/>
  <c r="AU79" i="65" s="1"/>
  <c r="AU80" i="65" s="1"/>
  <c r="AU76" i="65"/>
  <c r="W33" i="65"/>
  <c r="AS76" i="65"/>
  <c r="AT11" i="65"/>
  <c r="BT11" i="65"/>
  <c r="AM11" i="65"/>
  <c r="AB75" i="65"/>
  <c r="AB78" i="65"/>
  <c r="AC23" i="65"/>
  <c r="AF27" i="65"/>
  <c r="BH27" i="65"/>
  <c r="R27" i="65"/>
  <c r="AE24" i="65"/>
  <c r="W20" i="65"/>
  <c r="R20" i="65"/>
  <c r="V11" i="65"/>
  <c r="H93" i="65"/>
  <c r="AS78" i="65"/>
  <c r="AS87" i="65"/>
  <c r="AS75" i="65"/>
  <c r="D76" i="65"/>
  <c r="P11" i="65"/>
  <c r="Z76" i="65"/>
  <c r="Z79" i="65" s="1"/>
  <c r="Z80" i="65" s="1"/>
  <c r="AX11" i="65"/>
  <c r="Y14" i="65"/>
  <c r="AT14" i="65"/>
  <c r="Y15" i="65"/>
  <c r="Y18" i="65"/>
  <c r="Y19" i="65"/>
  <c r="Y22" i="65"/>
  <c r="I23" i="65"/>
  <c r="Q78" i="65"/>
  <c r="Q76" i="65"/>
  <c r="U78" i="65"/>
  <c r="U79" i="65" s="1"/>
  <c r="U80" i="65" s="1"/>
  <c r="U76" i="65"/>
  <c r="AJ78" i="65"/>
  <c r="AJ76" i="65"/>
  <c r="AT23" i="65"/>
  <c r="AC24" i="65"/>
  <c r="AI24" i="65"/>
  <c r="BR76" i="65"/>
  <c r="BO32" i="65"/>
  <c r="P33" i="65"/>
  <c r="AP33" i="65"/>
  <c r="BQ33" i="65"/>
  <c r="BN33" i="65" s="1"/>
  <c r="Y34" i="65"/>
  <c r="Z35" i="65"/>
  <c r="Y35" i="65"/>
  <c r="BO36" i="65"/>
  <c r="Y36" i="65"/>
  <c r="BN40" i="65"/>
  <c r="S53" i="65"/>
  <c r="E53" i="65"/>
  <c r="F53" i="65" s="1"/>
  <c r="S62" i="65"/>
  <c r="E62" i="65"/>
  <c r="F62" i="65" s="1"/>
  <c r="T78" i="65"/>
  <c r="T79" i="65" s="1"/>
  <c r="T80" i="65" s="1"/>
  <c r="M5" i="65"/>
  <c r="N5" i="65" s="1"/>
  <c r="AB76" i="65"/>
  <c r="AH75" i="65"/>
  <c r="AH76" i="65" s="1"/>
  <c r="AI76" i="65" s="1"/>
  <c r="H14" i="65"/>
  <c r="Y16" i="65"/>
  <c r="BM75" i="65"/>
  <c r="H100" i="65"/>
  <c r="O102" i="65"/>
  <c r="BJ24" i="65"/>
  <c r="BJ23" i="65" s="1"/>
  <c r="Z31" i="65"/>
  <c r="Y31" i="65"/>
  <c r="E36" i="65"/>
  <c r="F36" i="65" s="1"/>
  <c r="BO55" i="65"/>
  <c r="S57" i="65"/>
  <c r="E57" i="65"/>
  <c r="F57" i="65" s="1"/>
  <c r="S58" i="65"/>
  <c r="E58" i="65"/>
  <c r="F58" i="65" s="1"/>
  <c r="N76" i="65"/>
  <c r="V83" i="65"/>
  <c r="X76" i="65"/>
  <c r="G78" i="65"/>
  <c r="G75" i="65"/>
  <c r="K78" i="65"/>
  <c r="K75" i="65"/>
  <c r="K76" i="65" s="1"/>
  <c r="O78" i="65"/>
  <c r="O75" i="65"/>
  <c r="AR87" i="65"/>
  <c r="AR75" i="65"/>
  <c r="AR78" i="65"/>
  <c r="AR79" i="65" s="1"/>
  <c r="AW75" i="65"/>
  <c r="AW76" i="65" s="1"/>
  <c r="BH26" i="65"/>
  <c r="R33" i="65"/>
  <c r="BO33" i="65"/>
  <c r="AN35" i="65"/>
  <c r="BO35" i="65"/>
  <c r="Y42" i="65"/>
  <c r="BO43" i="65"/>
  <c r="I45" i="65"/>
  <c r="S52" i="65"/>
  <c r="E52" i="65"/>
  <c r="F52" i="65" s="1"/>
  <c r="S54" i="65"/>
  <c r="E54" i="65"/>
  <c r="F54" i="65" s="1"/>
  <c r="O76" i="65"/>
  <c r="AK76" i="65"/>
  <c r="AK79" i="65" s="1"/>
  <c r="AK80" i="65" s="1"/>
  <c r="D88" i="65"/>
  <c r="D78" i="65"/>
  <c r="D79" i="65" s="1"/>
  <c r="D80" i="65" s="1"/>
  <c r="X79" i="65"/>
  <c r="X80" i="65" s="1"/>
  <c r="AX75" i="65"/>
  <c r="BO34" i="65"/>
  <c r="BP40" i="65"/>
  <c r="BP36" i="65" s="1"/>
  <c r="BP33" i="65" s="1"/>
  <c r="BO40" i="65"/>
  <c r="V45" i="65"/>
  <c r="W45" i="65" s="1"/>
  <c r="I50" i="65"/>
  <c r="AI50" i="65"/>
  <c r="BP50" i="65"/>
  <c r="BP45" i="65" s="1"/>
  <c r="R55" i="65"/>
  <c r="I59" i="65"/>
  <c r="BN59" i="65"/>
  <c r="BP59" i="65" s="1"/>
  <c r="BT66" i="65"/>
  <c r="BT45" i="65" s="1"/>
  <c r="AT66" i="65"/>
  <c r="F71" i="65"/>
  <c r="BN39" i="65"/>
  <c r="BO39" i="65" s="1"/>
  <c r="BQ45" i="65"/>
  <c r="E56" i="65"/>
  <c r="F56" i="65" s="1"/>
  <c r="E61" i="65"/>
  <c r="F61" i="65" s="1"/>
  <c r="Z70" i="65"/>
  <c r="Y70" i="65"/>
  <c r="AA76" i="65"/>
  <c r="AA79" i="65"/>
  <c r="AA80" i="65" s="1"/>
  <c r="X109" i="65"/>
  <c r="AE109" i="65" s="1"/>
  <c r="X103" i="65"/>
  <c r="AE103" i="65" s="1"/>
  <c r="BN55" i="65"/>
  <c r="BP55" i="65" s="1"/>
  <c r="Z72" i="65"/>
  <c r="Y72" i="65"/>
  <c r="H95" i="65"/>
  <c r="I94" i="65"/>
  <c r="AB109" i="65"/>
  <c r="BO63" i="65"/>
  <c r="AK103" i="65"/>
  <c r="R111" i="65"/>
  <c r="AQ63" i="65"/>
  <c r="M100" i="65"/>
  <c r="AB103" i="65"/>
  <c r="H101" i="65" s="1"/>
  <c r="X105" i="65"/>
  <c r="BT23" i="65" l="1"/>
  <c r="BT76" i="65"/>
  <c r="BP23" i="65"/>
  <c r="BN45" i="65"/>
  <c r="BO45" i="65" s="1"/>
  <c r="BQ23" i="65"/>
  <c r="BH76" i="65"/>
  <c r="BH24" i="65"/>
  <c r="BH23" i="65" s="1"/>
  <c r="K79" i="65"/>
  <c r="I14" i="65"/>
  <c r="H11" i="65"/>
  <c r="E14" i="65"/>
  <c r="F14" i="65" s="1"/>
  <c r="AS79" i="65"/>
  <c r="AS80" i="65" s="1"/>
  <c r="AN11" i="65"/>
  <c r="V23" i="65"/>
  <c r="P78" i="65"/>
  <c r="P79" i="65" s="1"/>
  <c r="P80" i="65" s="1"/>
  <c r="E55" i="65"/>
  <c r="F55" i="65" s="1"/>
  <c r="S55" i="65"/>
  <c r="R45" i="65"/>
  <c r="AM33" i="65"/>
  <c r="AN33" i="65" s="1"/>
  <c r="AQ33" i="65"/>
  <c r="AP23" i="65"/>
  <c r="AJ79" i="65"/>
  <c r="AJ80" i="65" s="1"/>
  <c r="Q79" i="65"/>
  <c r="Q80" i="65" s="1"/>
  <c r="AF24" i="65"/>
  <c r="AE23" i="65"/>
  <c r="AC75" i="65"/>
  <c r="AC78" i="65"/>
  <c r="N79" i="65"/>
  <c r="N80" i="65" s="1"/>
  <c r="O79" i="65"/>
  <c r="O80" i="65" s="1"/>
  <c r="G76" i="65"/>
  <c r="G79" i="65" s="1"/>
  <c r="G80" i="65" s="1"/>
  <c r="AI75" i="65"/>
  <c r="BJ75" i="65"/>
  <c r="AS100" i="65"/>
  <c r="U113" i="65"/>
  <c r="V75" i="65"/>
  <c r="V76" i="65" s="1"/>
  <c r="W76" i="65" s="1"/>
  <c r="W11" i="65"/>
  <c r="S27" i="65"/>
  <c r="E27" i="65"/>
  <c r="F27" i="65" s="1"/>
  <c r="R24" i="65"/>
  <c r="AB79" i="65"/>
  <c r="AB80" i="65" s="1"/>
  <c r="S33" i="65"/>
  <c r="E33" i="65"/>
  <c r="F33" i="65" s="1"/>
  <c r="AR80" i="65"/>
  <c r="BT75" i="65"/>
  <c r="K80" i="65"/>
  <c r="BO59" i="65"/>
  <c r="Y33" i="65"/>
  <c r="Y23" i="65" s="1"/>
  <c r="AT75" i="65"/>
  <c r="AT78" i="65"/>
  <c r="AT79" i="65" s="1"/>
  <c r="R11" i="65"/>
  <c r="S20" i="65"/>
  <c r="E20" i="65"/>
  <c r="F20" i="65" s="1"/>
  <c r="Y78" i="65" l="1"/>
  <c r="Y76" i="65"/>
  <c r="S11" i="65"/>
  <c r="V78" i="65"/>
  <c r="V79" i="65" s="1"/>
  <c r="V80" i="65" s="1"/>
  <c r="W23" i="65"/>
  <c r="W78" i="65" s="1"/>
  <c r="W79" i="65" s="1"/>
  <c r="BP75" i="65"/>
  <c r="BP100" i="65" s="1"/>
  <c r="BP22" i="65"/>
  <c r="AP87" i="65"/>
  <c r="AP75" i="65"/>
  <c r="AP78" i="65"/>
  <c r="AM23" i="65"/>
  <c r="AQ23" i="65"/>
  <c r="BA23" i="65"/>
  <c r="E24" i="65"/>
  <c r="F24" i="65" s="1"/>
  <c r="R23" i="65"/>
  <c r="R76" i="65" s="1"/>
  <c r="S24" i="65"/>
  <c r="AT80" i="65"/>
  <c r="AC76" i="65"/>
  <c r="AC79" i="65" s="1"/>
  <c r="AC80" i="65" s="1"/>
  <c r="I11" i="65"/>
  <c r="E11" i="65"/>
  <c r="L11" i="65"/>
  <c r="I4" i="65"/>
  <c r="H75" i="65"/>
  <c r="H78" i="65"/>
  <c r="AE75" i="65"/>
  <c r="AE76" i="65" s="1"/>
  <c r="AF76" i="65" s="1"/>
  <c r="AF23" i="65"/>
  <c r="BQ76" i="65"/>
  <c r="BQ101" i="65" s="1"/>
  <c r="BN23" i="65"/>
  <c r="W75" i="65"/>
  <c r="S45" i="65"/>
  <c r="E45" i="65"/>
  <c r="L76" i="65" l="1"/>
  <c r="O5" i="65"/>
  <c r="M11" i="65"/>
  <c r="L75" i="65"/>
  <c r="L78" i="65"/>
  <c r="I76" i="65"/>
  <c r="I78" i="65"/>
  <c r="W80" i="65"/>
  <c r="W99" i="65" s="1"/>
  <c r="AQ75" i="65"/>
  <c r="AQ78" i="65"/>
  <c r="L117" i="65"/>
  <c r="I75" i="65"/>
  <c r="H76" i="65"/>
  <c r="AP82" i="65"/>
  <c r="AP76" i="65"/>
  <c r="AP79" i="65" s="1"/>
  <c r="AP80" i="65" s="1"/>
  <c r="E97" i="65"/>
  <c r="F45" i="65"/>
  <c r="BN75" i="65"/>
  <c r="BO23" i="65"/>
  <c r="H79" i="65"/>
  <c r="H80" i="65" s="1"/>
  <c r="F11" i="65"/>
  <c r="R78" i="65"/>
  <c r="R79" i="65" s="1"/>
  <c r="R80" i="65" s="1"/>
  <c r="S23" i="65"/>
  <c r="S78" i="65" s="1"/>
  <c r="E23" i="65"/>
  <c r="AM75" i="65"/>
  <c r="AM78" i="65"/>
  <c r="AM87" i="65"/>
  <c r="AN23" i="65"/>
  <c r="Y79" i="65"/>
  <c r="Y80" i="65" s="1"/>
  <c r="AM79" i="65" l="1"/>
  <c r="AM80" i="65" s="1"/>
  <c r="AM76" i="65"/>
  <c r="E75" i="65"/>
  <c r="AQ76" i="65"/>
  <c r="AQ79" i="65" s="1"/>
  <c r="AQ80" i="65" s="1"/>
  <c r="M75" i="65"/>
  <c r="L4" i="65"/>
  <c r="S76" i="65"/>
  <c r="S79" i="65" s="1"/>
  <c r="S80" i="65" s="1"/>
  <c r="L79" i="65"/>
  <c r="L80" i="65" s="1"/>
  <c r="AN78" i="65"/>
  <c r="AN75" i="65"/>
  <c r="E81" i="65"/>
  <c r="E78" i="65"/>
  <c r="F23" i="65"/>
  <c r="F78" i="65" s="1"/>
  <c r="I79" i="65"/>
  <c r="I80" i="65" s="1"/>
  <c r="M78" i="65"/>
  <c r="F83" i="65" l="1"/>
  <c r="M79" i="65"/>
  <c r="M80" i="65" s="1"/>
  <c r="AN76" i="65"/>
  <c r="M76" i="65"/>
  <c r="AN79" i="65"/>
  <c r="AN80" i="65" s="1"/>
  <c r="F75" i="65"/>
  <c r="E104" i="65"/>
  <c r="E76" i="65"/>
  <c r="E102" i="65"/>
  <c r="F76" i="65" l="1"/>
  <c r="E4" i="65"/>
  <c r="E79" i="65"/>
  <c r="E80" i="65" s="1"/>
  <c r="F84" i="65" l="1"/>
  <c r="F79" i="65"/>
  <c r="F80" i="65" s="1"/>
  <c r="D27" i="27" l="1"/>
  <c r="D26" i="27"/>
  <c r="Q26" i="27"/>
  <c r="Q27" i="27"/>
  <c r="S75" i="27" l="1"/>
  <c r="G26" i="27"/>
  <c r="N23" i="27"/>
  <c r="N45" i="27"/>
  <c r="N36" i="27"/>
  <c r="N33" i="27" s="1"/>
  <c r="N24" i="27"/>
  <c r="N11" i="27"/>
  <c r="K11" i="27"/>
  <c r="K45" i="27"/>
  <c r="K24" i="27"/>
  <c r="K23" i="27" s="1"/>
  <c r="K33" i="27"/>
  <c r="K36" i="27"/>
  <c r="D71" i="27"/>
  <c r="AI76" i="27"/>
  <c r="AH76" i="27"/>
  <c r="V76" i="27"/>
  <c r="AI75" i="27"/>
  <c r="AH75" i="27"/>
  <c r="W75" i="27"/>
  <c r="AH50" i="27"/>
  <c r="V55" i="27"/>
  <c r="V20" i="27"/>
  <c r="Q45" i="27"/>
  <c r="Q36" i="27"/>
  <c r="Q33" i="27"/>
  <c r="Q24" i="27"/>
  <c r="Q71" i="27"/>
  <c r="Q23" i="27" l="1"/>
  <c r="Q76" i="27" s="1"/>
  <c r="K75" i="27"/>
  <c r="AP66" i="27" l="1"/>
  <c r="AP15" i="27"/>
  <c r="AP63" i="27"/>
  <c r="AP14" i="27"/>
  <c r="L116" i="64"/>
  <c r="L113" i="64"/>
  <c r="N113" i="64" s="1"/>
  <c r="L112" i="64"/>
  <c r="N112" i="64" s="1"/>
  <c r="N111" i="64"/>
  <c r="L111" i="64"/>
  <c r="N110" i="64"/>
  <c r="L110" i="64"/>
  <c r="N109" i="64"/>
  <c r="L109" i="64"/>
  <c r="N108" i="64"/>
  <c r="L108" i="64"/>
  <c r="AB107" i="64"/>
  <c r="N107" i="64"/>
  <c r="L107" i="64"/>
  <c r="AB106" i="64"/>
  <c r="X106" i="64"/>
  <c r="N106" i="64"/>
  <c r="L106" i="64"/>
  <c r="AB105" i="64"/>
  <c r="N105" i="64"/>
  <c r="L105" i="64"/>
  <c r="N104" i="64"/>
  <c r="L104" i="64"/>
  <c r="T103" i="64"/>
  <c r="N103" i="64"/>
  <c r="L103" i="64"/>
  <c r="AK102" i="64"/>
  <c r="X102" i="64"/>
  <c r="L102" i="64"/>
  <c r="X107" i="64" s="1"/>
  <c r="AK101" i="64"/>
  <c r="AK103" i="64" s="1"/>
  <c r="AB101" i="64"/>
  <c r="AB109" i="64" s="1"/>
  <c r="X101" i="64"/>
  <c r="O101" i="64"/>
  <c r="L101" i="64"/>
  <c r="AB100" i="64"/>
  <c r="X100" i="64"/>
  <c r="L100" i="64"/>
  <c r="L114" i="64" s="1"/>
  <c r="L115" i="64" s="1"/>
  <c r="H94" i="64"/>
  <c r="AO91" i="64"/>
  <c r="AK91" i="64"/>
  <c r="K90" i="64"/>
  <c r="K93" i="64" s="1"/>
  <c r="AO87" i="64"/>
  <c r="AL87" i="64"/>
  <c r="AO78" i="64"/>
  <c r="AO79" i="64" s="1"/>
  <c r="AO80" i="64" s="1"/>
  <c r="AL78" i="64"/>
  <c r="AL79" i="64" s="1"/>
  <c r="AL80" i="64" s="1"/>
  <c r="AA78" i="64"/>
  <c r="Q78" i="64"/>
  <c r="N78" i="64"/>
  <c r="K78" i="64"/>
  <c r="K79" i="64" s="1"/>
  <c r="K80" i="64" s="1"/>
  <c r="BM76" i="64"/>
  <c r="Q76" i="64"/>
  <c r="Q79" i="64" s="1"/>
  <c r="Q80" i="64" s="1"/>
  <c r="K76" i="64"/>
  <c r="BJ75" i="64"/>
  <c r="AI75" i="64"/>
  <c r="AH75" i="64"/>
  <c r="AG75" i="64"/>
  <c r="AA75" i="64"/>
  <c r="X75" i="64"/>
  <c r="S75" i="64"/>
  <c r="N75" i="64"/>
  <c r="BT74" i="64"/>
  <c r="BR74" i="64"/>
  <c r="BN74" i="64"/>
  <c r="BM74" i="64"/>
  <c r="BO74" i="64" s="1"/>
  <c r="BJ74" i="64"/>
  <c r="BH74" i="64"/>
  <c r="AM74" i="64"/>
  <c r="AN74" i="64" s="1"/>
  <c r="Z74" i="64"/>
  <c r="Y74" i="64"/>
  <c r="W74" i="64"/>
  <c r="I74" i="64"/>
  <c r="E74" i="64"/>
  <c r="F74" i="64" s="1"/>
  <c r="BT73" i="64"/>
  <c r="BR73" i="64"/>
  <c r="BN73" i="64"/>
  <c r="BO73" i="64" s="1"/>
  <c r="BM73" i="64"/>
  <c r="BJ73" i="64"/>
  <c r="BH73" i="64"/>
  <c r="AN73" i="64"/>
  <c r="AM73" i="64"/>
  <c r="Z73" i="64"/>
  <c r="W73" i="64"/>
  <c r="Y73" i="64" s="1"/>
  <c r="I73" i="64"/>
  <c r="F73" i="64"/>
  <c r="E73" i="64"/>
  <c r="BT72" i="64"/>
  <c r="BR72" i="64"/>
  <c r="BO72" i="64"/>
  <c r="BN72" i="64"/>
  <c r="BM72" i="64"/>
  <c r="BJ72" i="64"/>
  <c r="BH72" i="64"/>
  <c r="AM72" i="64"/>
  <c r="AN72" i="64" s="1"/>
  <c r="Y72" i="64"/>
  <c r="W72" i="64"/>
  <c r="Z72" i="64" s="1"/>
  <c r="I72" i="64"/>
  <c r="E72" i="64"/>
  <c r="F72" i="64" s="1"/>
  <c r="BT71" i="64"/>
  <c r="BR71" i="64"/>
  <c r="BN71" i="64"/>
  <c r="BM71" i="64"/>
  <c r="BJ71" i="64"/>
  <c r="BH71" i="64"/>
  <c r="AU71" i="64"/>
  <c r="AM71" i="64"/>
  <c r="AN71" i="64" s="1"/>
  <c r="AJ71" i="64"/>
  <c r="Z71" i="64"/>
  <c r="W71" i="64"/>
  <c r="Y71" i="64" s="1"/>
  <c r="V71" i="64"/>
  <c r="R71" i="64"/>
  <c r="E71" i="64" s="1"/>
  <c r="F71" i="64" s="1"/>
  <c r="I71" i="64"/>
  <c r="BT70" i="64"/>
  <c r="BR70" i="64"/>
  <c r="BN70" i="64"/>
  <c r="BM70" i="64"/>
  <c r="BO70" i="64" s="1"/>
  <c r="BJ70" i="64"/>
  <c r="BH70" i="64"/>
  <c r="AM70" i="64"/>
  <c r="AN70" i="64" s="1"/>
  <c r="Z70" i="64"/>
  <c r="Y70" i="64"/>
  <c r="W70" i="64"/>
  <c r="I70" i="64"/>
  <c r="E70" i="64"/>
  <c r="F70" i="64" s="1"/>
  <c r="BT69" i="64"/>
  <c r="BR69" i="64"/>
  <c r="BN69" i="64"/>
  <c r="BO69" i="64" s="1"/>
  <c r="BM69" i="64"/>
  <c r="BJ69" i="64"/>
  <c r="BH69" i="64"/>
  <c r="AN69" i="64"/>
  <c r="AM69" i="64"/>
  <c r="Z69" i="64"/>
  <c r="W69" i="64"/>
  <c r="Y69" i="64" s="1"/>
  <c r="I69" i="64"/>
  <c r="F69" i="64"/>
  <c r="E69" i="64"/>
  <c r="BT68" i="64"/>
  <c r="BR68" i="64"/>
  <c r="BN68" i="64"/>
  <c r="BM68" i="64"/>
  <c r="BO68" i="64" s="1"/>
  <c r="BJ68" i="64"/>
  <c r="BH68" i="64"/>
  <c r="AM68" i="64"/>
  <c r="AN68" i="64" s="1"/>
  <c r="Y68" i="64"/>
  <c r="W68" i="64"/>
  <c r="Z68" i="64" s="1"/>
  <c r="I68" i="64"/>
  <c r="E68" i="64"/>
  <c r="F68" i="64" s="1"/>
  <c r="BT67" i="64"/>
  <c r="BR67" i="64"/>
  <c r="BN67" i="64"/>
  <c r="BM67" i="64"/>
  <c r="BO67" i="64" s="1"/>
  <c r="BJ67" i="64"/>
  <c r="BH67" i="64"/>
  <c r="AU67" i="64"/>
  <c r="AQ67" i="64"/>
  <c r="AN67" i="64"/>
  <c r="AM67" i="64"/>
  <c r="AK67" i="64"/>
  <c r="E67" i="64" s="1"/>
  <c r="AJ67" i="64"/>
  <c r="Z67" i="64"/>
  <c r="W67" i="64"/>
  <c r="Y67" i="64" s="1"/>
  <c r="I67" i="64"/>
  <c r="F67" i="64"/>
  <c r="BT66" i="64"/>
  <c r="BQ66" i="64"/>
  <c r="BM66" i="64"/>
  <c r="BJ66" i="64"/>
  <c r="BH66" i="64"/>
  <c r="AX66" i="64"/>
  <c r="AT66" i="64"/>
  <c r="AR66" i="64"/>
  <c r="AQ66" i="64"/>
  <c r="AP66" i="64"/>
  <c r="AM66" i="64" s="1"/>
  <c r="AN66" i="64"/>
  <c r="AC66" i="64"/>
  <c r="Y66" i="64"/>
  <c r="X66" i="64"/>
  <c r="V66" i="64"/>
  <c r="T66" i="64"/>
  <c r="P66" i="64"/>
  <c r="O66" i="64"/>
  <c r="M66" i="64"/>
  <c r="L66" i="64"/>
  <c r="I66" i="64"/>
  <c r="H66" i="64"/>
  <c r="BT65" i="64"/>
  <c r="BR65" i="64"/>
  <c r="BO65" i="64"/>
  <c r="BN65" i="64"/>
  <c r="BM65" i="64"/>
  <c r="BJ65" i="64"/>
  <c r="BH65" i="64"/>
  <c r="AQ65" i="64"/>
  <c r="AN65" i="64"/>
  <c r="AM65" i="64"/>
  <c r="Z65" i="64"/>
  <c r="Y65" i="64" s="1"/>
  <c r="R65" i="64" s="1"/>
  <c r="E65" i="64" s="1"/>
  <c r="F65" i="64" s="1"/>
  <c r="W65" i="64"/>
  <c r="I65" i="64"/>
  <c r="BT64" i="64"/>
  <c r="BR64" i="64"/>
  <c r="BN64" i="64"/>
  <c r="BM64" i="64"/>
  <c r="BJ64" i="64"/>
  <c r="BH64" i="64"/>
  <c r="AQ64" i="64"/>
  <c r="AM64" i="64"/>
  <c r="AN64" i="64" s="1"/>
  <c r="Y64" i="64"/>
  <c r="R64" i="64" s="1"/>
  <c r="E64" i="64" s="1"/>
  <c r="F64" i="64" s="1"/>
  <c r="W64" i="64"/>
  <c r="Z64" i="64" s="1"/>
  <c r="I64" i="64"/>
  <c r="BT63" i="64"/>
  <c r="BQ63" i="64"/>
  <c r="BM63" i="64"/>
  <c r="BJ63" i="64"/>
  <c r="BH63" i="64"/>
  <c r="AX63" i="64"/>
  <c r="AT63" i="64"/>
  <c r="AQ63" i="64"/>
  <c r="AN63" i="64"/>
  <c r="AM63" i="64"/>
  <c r="Y63" i="64"/>
  <c r="R63" i="64" s="1"/>
  <c r="S63" i="64" s="1"/>
  <c r="X63" i="64"/>
  <c r="W63" i="64"/>
  <c r="T63" i="64"/>
  <c r="P63" i="64"/>
  <c r="O63" i="64"/>
  <c r="M63" i="64"/>
  <c r="L63" i="64"/>
  <c r="H63" i="64" s="1"/>
  <c r="BT62" i="64"/>
  <c r="BR62" i="64"/>
  <c r="BO62" i="64"/>
  <c r="BN62" i="64"/>
  <c r="BM62" i="64"/>
  <c r="BJ62" i="64"/>
  <c r="BH62" i="64"/>
  <c r="AQ62" i="64"/>
  <c r="AN62" i="64"/>
  <c r="AM62" i="64"/>
  <c r="Z62" i="64"/>
  <c r="Y62" i="64" s="1"/>
  <c r="R62" i="64" s="1"/>
  <c r="E62" i="64" s="1"/>
  <c r="F62" i="64" s="1"/>
  <c r="W62" i="64"/>
  <c r="T62" i="64"/>
  <c r="S62" i="64"/>
  <c r="I62" i="64"/>
  <c r="BT61" i="64"/>
  <c r="BR61" i="64"/>
  <c r="BO61" i="64"/>
  <c r="BN61" i="64"/>
  <c r="BP61" i="64" s="1"/>
  <c r="BM61" i="64"/>
  <c r="BJ61" i="64"/>
  <c r="BH61" i="64"/>
  <c r="AX61" i="64"/>
  <c r="AU61" i="64"/>
  <c r="AT61" i="64"/>
  <c r="AN61" i="64"/>
  <c r="AM61" i="64"/>
  <c r="AK61" i="64"/>
  <c r="AJ61" i="64"/>
  <c r="AC61" i="64"/>
  <c r="Z61" i="64"/>
  <c r="Y61" i="64" s="1"/>
  <c r="R61" i="64" s="1"/>
  <c r="S61" i="64" s="1"/>
  <c r="W61" i="64"/>
  <c r="P61" i="64"/>
  <c r="L61" i="64"/>
  <c r="M61" i="64" s="1"/>
  <c r="J61" i="64"/>
  <c r="BT60" i="64"/>
  <c r="BR60" i="64"/>
  <c r="BN60" i="64"/>
  <c r="BM60" i="64"/>
  <c r="BO60" i="64" s="1"/>
  <c r="BJ60" i="64"/>
  <c r="BH60" i="64"/>
  <c r="AQ60" i="64"/>
  <c r="AN60" i="64"/>
  <c r="AM60" i="64"/>
  <c r="Y60" i="64"/>
  <c r="R60" i="64" s="1"/>
  <c r="E60" i="64" s="1"/>
  <c r="F60" i="64" s="1"/>
  <c r="W60" i="64"/>
  <c r="Z60" i="64" s="1"/>
  <c r="I60" i="64"/>
  <c r="BV59" i="64"/>
  <c r="BT59" i="64"/>
  <c r="BQ59" i="64"/>
  <c r="BM59" i="64"/>
  <c r="BJ59" i="64"/>
  <c r="BH59" i="64"/>
  <c r="AX59" i="64"/>
  <c r="AT59" i="64"/>
  <c r="AQ59" i="64"/>
  <c r="AP59" i="64"/>
  <c r="AM59" i="64"/>
  <c r="AN59" i="64" s="1"/>
  <c r="AC59" i="64"/>
  <c r="X59" i="64"/>
  <c r="W59" i="64"/>
  <c r="T59" i="64"/>
  <c r="O59" i="64"/>
  <c r="P59" i="64" s="1"/>
  <c r="M59" i="64"/>
  <c r="L59" i="64"/>
  <c r="H59" i="64"/>
  <c r="BT58" i="64"/>
  <c r="BR58" i="64"/>
  <c r="BO58" i="64"/>
  <c r="BN58" i="64"/>
  <c r="BM58" i="64"/>
  <c r="BJ58" i="64"/>
  <c r="BH58" i="64"/>
  <c r="AQ58" i="64"/>
  <c r="AM58" i="64"/>
  <c r="AN58" i="64" s="1"/>
  <c r="Z58" i="64"/>
  <c r="Y58" i="64" s="1"/>
  <c r="R58" i="64" s="1"/>
  <c r="W58" i="64"/>
  <c r="S58" i="64"/>
  <c r="I58" i="64"/>
  <c r="E58" i="64"/>
  <c r="F58" i="64" s="1"/>
  <c r="BT57" i="64"/>
  <c r="BR57" i="64"/>
  <c r="BN57" i="64"/>
  <c r="BM57" i="64"/>
  <c r="BO57" i="64" s="1"/>
  <c r="BJ57" i="64"/>
  <c r="BH57" i="64"/>
  <c r="AQ57" i="64"/>
  <c r="AN57" i="64"/>
  <c r="AM57" i="64"/>
  <c r="Y57" i="64"/>
  <c r="R57" i="64" s="1"/>
  <c r="W57" i="64"/>
  <c r="Z57" i="64" s="1"/>
  <c r="I57" i="64"/>
  <c r="BT56" i="64"/>
  <c r="BR56" i="64"/>
  <c r="BO56" i="64"/>
  <c r="BN56" i="64"/>
  <c r="BM56" i="64"/>
  <c r="BJ56" i="64"/>
  <c r="BH56" i="64"/>
  <c r="AQ56" i="64"/>
  <c r="AM56" i="64"/>
  <c r="W56" i="64"/>
  <c r="S56" i="64"/>
  <c r="R56" i="64"/>
  <c r="I56" i="64"/>
  <c r="BT55" i="64"/>
  <c r="BR55" i="64"/>
  <c r="BQ55" i="64"/>
  <c r="BN55" i="64"/>
  <c r="BP55" i="64" s="1"/>
  <c r="BM55" i="64"/>
  <c r="BO55" i="64" s="1"/>
  <c r="BJ55" i="64"/>
  <c r="BH55" i="64"/>
  <c r="AX55" i="64"/>
  <c r="AT55" i="64"/>
  <c r="AQ55" i="64"/>
  <c r="AP55" i="64"/>
  <c r="AN55" i="64"/>
  <c r="AM55" i="64"/>
  <c r="AI55" i="64"/>
  <c r="AC55" i="64"/>
  <c r="Y55" i="64"/>
  <c r="X55" i="64"/>
  <c r="W55" i="64"/>
  <c r="R55" i="64"/>
  <c r="S55" i="64" s="1"/>
  <c r="P55" i="64"/>
  <c r="O55" i="64"/>
  <c r="L55" i="64"/>
  <c r="BT54" i="64"/>
  <c r="BR54" i="64"/>
  <c r="BN54" i="64"/>
  <c r="BM54" i="64"/>
  <c r="BO54" i="64" s="1"/>
  <c r="BJ54" i="64"/>
  <c r="BH54" i="64"/>
  <c r="AQ54" i="64"/>
  <c r="AN54" i="64"/>
  <c r="AM54" i="64"/>
  <c r="AI54" i="64"/>
  <c r="Z54" i="64"/>
  <c r="Y54" i="64" s="1"/>
  <c r="W54" i="64"/>
  <c r="R54" i="64"/>
  <c r="I54" i="64"/>
  <c r="BT53" i="64"/>
  <c r="BR53" i="64"/>
  <c r="BN53" i="64"/>
  <c r="BM53" i="64"/>
  <c r="BO53" i="64" s="1"/>
  <c r="BJ53" i="64"/>
  <c r="BH53" i="64"/>
  <c r="AQ53" i="64"/>
  <c r="AN53" i="64"/>
  <c r="AM53" i="64"/>
  <c r="AI53" i="64"/>
  <c r="W53" i="64"/>
  <c r="Z53" i="64" s="1"/>
  <c r="Y53" i="64" s="1"/>
  <c r="R53" i="64" s="1"/>
  <c r="I53" i="64"/>
  <c r="BT52" i="64"/>
  <c r="BR52" i="64"/>
  <c r="BO52" i="64"/>
  <c r="BN52" i="64"/>
  <c r="BM52" i="64"/>
  <c r="BJ52" i="64"/>
  <c r="BH52" i="64"/>
  <c r="AZ52" i="64"/>
  <c r="AQ52" i="64"/>
  <c r="AN52" i="64"/>
  <c r="AM52" i="64"/>
  <c r="AI52" i="64"/>
  <c r="Y52" i="64"/>
  <c r="W52" i="64"/>
  <c r="S52" i="64"/>
  <c r="R52" i="64"/>
  <c r="I52" i="64"/>
  <c r="F52" i="64"/>
  <c r="E52" i="64"/>
  <c r="BT51" i="64"/>
  <c r="BR51" i="64"/>
  <c r="BO51" i="64"/>
  <c r="BN51" i="64"/>
  <c r="BM51" i="64"/>
  <c r="BJ51" i="64"/>
  <c r="BH51" i="64"/>
  <c r="AQ51" i="64"/>
  <c r="AN51" i="64"/>
  <c r="AM51" i="64"/>
  <c r="AI51" i="64"/>
  <c r="Z51" i="64"/>
  <c r="Y51" i="64" s="1"/>
  <c r="W51" i="64"/>
  <c r="I51" i="64"/>
  <c r="F51" i="64"/>
  <c r="E51" i="64"/>
  <c r="BT50" i="64"/>
  <c r="BR50" i="64"/>
  <c r="BQ50" i="64"/>
  <c r="BN50" i="64"/>
  <c r="BP50" i="64" s="1"/>
  <c r="BM50" i="64"/>
  <c r="BJ50" i="64"/>
  <c r="BH50" i="64"/>
  <c r="AZ50" i="64"/>
  <c r="AX50" i="64"/>
  <c r="AT50" i="64"/>
  <c r="AP50" i="64"/>
  <c r="AI50" i="64"/>
  <c r="AC50" i="64"/>
  <c r="X50" i="64"/>
  <c r="W50" i="64"/>
  <c r="R50" i="64"/>
  <c r="S50" i="64" s="1"/>
  <c r="P50" i="64"/>
  <c r="O50" i="64"/>
  <c r="L50" i="64"/>
  <c r="BT49" i="64"/>
  <c r="BR49" i="64"/>
  <c r="BO49" i="64"/>
  <c r="BN49" i="64"/>
  <c r="BP49" i="64" s="1"/>
  <c r="BM49" i="64"/>
  <c r="BJ49" i="64"/>
  <c r="BH49" i="64"/>
  <c r="AX49" i="64"/>
  <c r="AT49" i="64"/>
  <c r="AP49" i="64"/>
  <c r="W49" i="64"/>
  <c r="Z49" i="64" s="1"/>
  <c r="I49" i="64"/>
  <c r="BT48" i="64"/>
  <c r="BT45" i="64" s="1"/>
  <c r="BR48" i="64"/>
  <c r="BO48" i="64"/>
  <c r="BN48" i="64"/>
  <c r="BM48" i="64"/>
  <c r="BP48" i="64" s="1"/>
  <c r="BJ48" i="64"/>
  <c r="BH48" i="64"/>
  <c r="BA48" i="64"/>
  <c r="AX48" i="64"/>
  <c r="AT48" i="64"/>
  <c r="AQ48" i="64"/>
  <c r="AP48" i="64"/>
  <c r="AM48" i="64" s="1"/>
  <c r="AN48" i="64" s="1"/>
  <c r="AC48" i="64"/>
  <c r="X48" i="64"/>
  <c r="W48" i="64"/>
  <c r="R48" i="64"/>
  <c r="P48" i="64"/>
  <c r="O48" i="64"/>
  <c r="L48" i="64"/>
  <c r="BR47" i="64"/>
  <c r="BN47" i="64"/>
  <c r="BM47" i="64"/>
  <c r="BO47" i="64" s="1"/>
  <c r="BH47" i="64"/>
  <c r="AN47" i="64"/>
  <c r="AM47" i="64"/>
  <c r="Y47" i="64"/>
  <c r="W47" i="64"/>
  <c r="I47" i="64"/>
  <c r="E47" i="64"/>
  <c r="F47" i="64" s="1"/>
  <c r="BR46" i="64"/>
  <c r="BN46" i="64"/>
  <c r="BM46" i="64"/>
  <c r="BO46" i="64" s="1"/>
  <c r="BH46" i="64"/>
  <c r="AN46" i="64"/>
  <c r="AM46" i="64"/>
  <c r="Z46" i="64"/>
  <c r="Y46" i="64"/>
  <c r="W46" i="64"/>
  <c r="I46" i="64"/>
  <c r="F46" i="64"/>
  <c r="E46" i="64"/>
  <c r="BS45" i="64"/>
  <c r="BM45" i="64"/>
  <c r="BI45" i="64"/>
  <c r="BH45" i="64"/>
  <c r="BG45" i="64"/>
  <c r="AW45" i="64"/>
  <c r="AX45" i="64" s="1"/>
  <c r="AU45" i="64"/>
  <c r="AT45" i="64"/>
  <c r="AS45" i="64"/>
  <c r="AR45" i="64"/>
  <c r="AK45" i="64"/>
  <c r="AJ45" i="64"/>
  <c r="AH45" i="64"/>
  <c r="AI45" i="64" s="1"/>
  <c r="AC45" i="64"/>
  <c r="AB45" i="64"/>
  <c r="X45" i="64"/>
  <c r="U45" i="64"/>
  <c r="O45" i="64"/>
  <c r="P45" i="64" s="1"/>
  <c r="J45" i="64"/>
  <c r="D45" i="64"/>
  <c r="BR44" i="64"/>
  <c r="BN44" i="64"/>
  <c r="BM44" i="64"/>
  <c r="BO44" i="64" s="1"/>
  <c r="BH44" i="64"/>
  <c r="AM44" i="64"/>
  <c r="AN44" i="64" s="1"/>
  <c r="Z44" i="64"/>
  <c r="Y44" i="64"/>
  <c r="W44" i="64"/>
  <c r="I44" i="64"/>
  <c r="F44" i="64"/>
  <c r="E44" i="64"/>
  <c r="BR43" i="64"/>
  <c r="BN43" i="64"/>
  <c r="BM43" i="64"/>
  <c r="BH43" i="64"/>
  <c r="AM43" i="64"/>
  <c r="AN43" i="64" s="1"/>
  <c r="Z43" i="64"/>
  <c r="W43" i="64"/>
  <c r="Y43" i="64" s="1"/>
  <c r="I43" i="64"/>
  <c r="F43" i="64"/>
  <c r="E43" i="64"/>
  <c r="BR42" i="64"/>
  <c r="BO42" i="64"/>
  <c r="BN42" i="64"/>
  <c r="BM42" i="64"/>
  <c r="BH42" i="64"/>
  <c r="AU42" i="64"/>
  <c r="AN42" i="64"/>
  <c r="AM42" i="64"/>
  <c r="Y42" i="64"/>
  <c r="W42" i="64"/>
  <c r="Z42" i="64" s="1"/>
  <c r="I42" i="64"/>
  <c r="E42" i="64"/>
  <c r="F42" i="64" s="1"/>
  <c r="D42" i="64"/>
  <c r="BR41" i="64"/>
  <c r="BN41" i="64"/>
  <c r="BM41" i="64"/>
  <c r="BO41" i="64" s="1"/>
  <c r="BH41" i="64"/>
  <c r="AM41" i="64"/>
  <c r="AN41" i="64" s="1"/>
  <c r="Z41" i="64"/>
  <c r="W41" i="64"/>
  <c r="Y41" i="64" s="1"/>
  <c r="I41" i="64"/>
  <c r="F41" i="64"/>
  <c r="E41" i="64"/>
  <c r="BT40" i="64"/>
  <c r="BQ40" i="64"/>
  <c r="BM40" i="64"/>
  <c r="BJ40" i="64"/>
  <c r="BH40" i="64"/>
  <c r="AX40" i="64"/>
  <c r="AT40" i="64"/>
  <c r="AQ40" i="64"/>
  <c r="AM40" i="64"/>
  <c r="AN40" i="64" s="1"/>
  <c r="Z40" i="64"/>
  <c r="W40" i="64"/>
  <c r="Y40" i="64" s="1"/>
  <c r="L40" i="64"/>
  <c r="BT39" i="64"/>
  <c r="BQ39" i="64"/>
  <c r="BM39" i="64"/>
  <c r="BJ39" i="64"/>
  <c r="BJ36" i="64" s="1"/>
  <c r="BH39" i="64"/>
  <c r="AX39" i="64"/>
  <c r="AT39" i="64"/>
  <c r="AQ39" i="64"/>
  <c r="AM39" i="64"/>
  <c r="AN39" i="64" s="1"/>
  <c r="AC39" i="64"/>
  <c r="Z39" i="64"/>
  <c r="Z36" i="64" s="1"/>
  <c r="W39" i="64"/>
  <c r="Y39" i="64" s="1"/>
  <c r="S39" i="64"/>
  <c r="R39" i="64"/>
  <c r="L39" i="64"/>
  <c r="M39" i="64" s="1"/>
  <c r="H39" i="64"/>
  <c r="BT38" i="64"/>
  <c r="BT36" i="64" s="1"/>
  <c r="BR38" i="64"/>
  <c r="BN38" i="64"/>
  <c r="BP38" i="64" s="1"/>
  <c r="BM38" i="64"/>
  <c r="BO38" i="64" s="1"/>
  <c r="BJ38" i="64"/>
  <c r="BH38" i="64"/>
  <c r="AX38" i="64"/>
  <c r="AT38" i="64"/>
  <c r="AQ38" i="64"/>
  <c r="AM38" i="64"/>
  <c r="AN38" i="64" s="1"/>
  <c r="AC38" i="64"/>
  <c r="X38" i="64"/>
  <c r="W38" i="64"/>
  <c r="S38" i="64"/>
  <c r="R38" i="64"/>
  <c r="R36" i="64" s="1"/>
  <c r="S36" i="64" s="1"/>
  <c r="O38" i="64"/>
  <c r="P38" i="64" s="1"/>
  <c r="L38" i="64"/>
  <c r="BR37" i="64"/>
  <c r="BN37" i="64"/>
  <c r="BM37" i="64"/>
  <c r="BH37" i="64"/>
  <c r="AM37" i="64"/>
  <c r="AN37" i="64" s="1"/>
  <c r="Z37" i="64"/>
  <c r="W37" i="64"/>
  <c r="Y37" i="64" s="1"/>
  <c r="I37" i="64"/>
  <c r="F37" i="64"/>
  <c r="E37" i="64"/>
  <c r="BS36" i="64"/>
  <c r="BS33" i="64" s="1"/>
  <c r="BM36" i="64"/>
  <c r="BI36" i="64"/>
  <c r="BI33" i="64" s="1"/>
  <c r="BH36" i="64"/>
  <c r="BG36" i="64"/>
  <c r="AW36" i="64"/>
  <c r="AX36" i="64" s="1"/>
  <c r="AU36" i="64"/>
  <c r="AU33" i="64" s="1"/>
  <c r="AS36" i="64"/>
  <c r="AR36" i="64"/>
  <c r="AR33" i="64" s="1"/>
  <c r="AQ36" i="64"/>
  <c r="AP36" i="64"/>
  <c r="AO36" i="64"/>
  <c r="AN36" i="64"/>
  <c r="AM36" i="64"/>
  <c r="AK36" i="64"/>
  <c r="AJ36" i="64"/>
  <c r="AC36" i="64"/>
  <c r="AB36" i="64"/>
  <c r="X36" i="64"/>
  <c r="X33" i="64" s="1"/>
  <c r="W36" i="64"/>
  <c r="V36" i="64"/>
  <c r="T36" i="64"/>
  <c r="O36" i="64"/>
  <c r="P36" i="64" s="1"/>
  <c r="L36" i="64"/>
  <c r="M36" i="64" s="1"/>
  <c r="J36" i="64"/>
  <c r="D36" i="64"/>
  <c r="BR35" i="64"/>
  <c r="BR34" i="64" s="1"/>
  <c r="BP35" i="64"/>
  <c r="BP34" i="64" s="1"/>
  <c r="BN35" i="64"/>
  <c r="BM35" i="64"/>
  <c r="BO35" i="64" s="1"/>
  <c r="BH35" i="64"/>
  <c r="AP35" i="64"/>
  <c r="AM35" i="64"/>
  <c r="Z35" i="64"/>
  <c r="W35" i="64"/>
  <c r="Y35" i="64" s="1"/>
  <c r="I35" i="64"/>
  <c r="BQ34" i="64"/>
  <c r="BN34" i="64" s="1"/>
  <c r="BM34" i="64"/>
  <c r="BO34" i="64" s="1"/>
  <c r="BH34" i="64"/>
  <c r="BH33" i="64" s="1"/>
  <c r="AU34" i="64"/>
  <c r="AP34" i="64"/>
  <c r="AN34" i="64"/>
  <c r="AM34" i="64"/>
  <c r="AK34" i="64"/>
  <c r="AJ34" i="64"/>
  <c r="Z34" i="64"/>
  <c r="Y34" i="64"/>
  <c r="X34" i="64"/>
  <c r="V34" i="64"/>
  <c r="W34" i="64" s="1"/>
  <c r="I34" i="64"/>
  <c r="G34" i="64"/>
  <c r="E34" i="64"/>
  <c r="F34" i="64" s="1"/>
  <c r="BT33" i="64"/>
  <c r="BM33" i="64"/>
  <c r="BJ33" i="64"/>
  <c r="BG33" i="64"/>
  <c r="AW33" i="64"/>
  <c r="AX33" i="64" s="1"/>
  <c r="AS33" i="64"/>
  <c r="AQ33" i="64"/>
  <c r="AP33" i="64"/>
  <c r="AO33" i="64"/>
  <c r="AM33" i="64"/>
  <c r="AN33" i="64" s="1"/>
  <c r="AK33" i="64"/>
  <c r="AJ33" i="64"/>
  <c r="AB33" i="64"/>
  <c r="W33" i="64"/>
  <c r="V33" i="64"/>
  <c r="T33" i="64"/>
  <c r="R33" i="64"/>
  <c r="S33" i="64" s="1"/>
  <c r="O33" i="64"/>
  <c r="P33" i="64" s="1"/>
  <c r="J33" i="64"/>
  <c r="D33" i="64"/>
  <c r="BR32" i="64"/>
  <c r="BO32" i="64"/>
  <c r="BN32" i="64"/>
  <c r="BM32" i="64"/>
  <c r="BH32" i="64"/>
  <c r="AN32" i="64"/>
  <c r="AM32" i="64"/>
  <c r="W32" i="64"/>
  <c r="Y32" i="64" s="1"/>
  <c r="I32" i="64"/>
  <c r="F32" i="64"/>
  <c r="E32" i="64"/>
  <c r="BR31" i="64"/>
  <c r="BN31" i="64"/>
  <c r="BM31" i="64"/>
  <c r="BO31" i="64" s="1"/>
  <c r="BH31" i="64"/>
  <c r="AM31" i="64"/>
  <c r="AN31" i="64" s="1"/>
  <c r="Z31" i="64"/>
  <c r="Y31" i="64"/>
  <c r="W31" i="64"/>
  <c r="I31" i="64"/>
  <c r="E31" i="64"/>
  <c r="F31" i="64" s="1"/>
  <c r="BR30" i="64"/>
  <c r="BN30" i="64"/>
  <c r="BM30" i="64"/>
  <c r="BO30" i="64" s="1"/>
  <c r="BH30" i="64"/>
  <c r="AN30" i="64"/>
  <c r="AM30" i="64"/>
  <c r="W30" i="64"/>
  <c r="Y30" i="64" s="1"/>
  <c r="I30" i="64"/>
  <c r="F30" i="64"/>
  <c r="E30" i="64"/>
  <c r="BR29" i="64"/>
  <c r="BN29" i="64"/>
  <c r="BO29" i="64" s="1"/>
  <c r="BM29" i="64"/>
  <c r="BH29" i="64"/>
  <c r="AU29" i="64"/>
  <c r="AN29" i="64"/>
  <c r="AM29" i="64"/>
  <c r="AJ29" i="64"/>
  <c r="AJ23" i="64" s="1"/>
  <c r="Z29" i="64"/>
  <c r="Y29" i="64"/>
  <c r="W29" i="64"/>
  <c r="I29" i="64"/>
  <c r="G29" i="64"/>
  <c r="F29" i="64"/>
  <c r="E29" i="64"/>
  <c r="BT28" i="64"/>
  <c r="BR28" i="64"/>
  <c r="BP28" i="64"/>
  <c r="BN28" i="64"/>
  <c r="BM28" i="64"/>
  <c r="BO28" i="64" s="1"/>
  <c r="BJ28" i="64"/>
  <c r="BH28" i="64"/>
  <c r="AX28" i="64"/>
  <c r="AT28" i="64"/>
  <c r="AQ28" i="64"/>
  <c r="AM28" i="64"/>
  <c r="AN28" i="64" s="1"/>
  <c r="O28" i="64"/>
  <c r="P28" i="64" s="1"/>
  <c r="L28" i="64"/>
  <c r="M28" i="64" s="1"/>
  <c r="H28" i="64"/>
  <c r="I28" i="64" s="1"/>
  <c r="BT27" i="64"/>
  <c r="BR27" i="64"/>
  <c r="BQ27" i="64"/>
  <c r="BN27" i="64"/>
  <c r="BO27" i="64" s="1"/>
  <c r="BM27" i="64"/>
  <c r="BJ27" i="64"/>
  <c r="BJ24" i="64" s="1"/>
  <c r="AX27" i="64"/>
  <c r="AT27" i="64"/>
  <c r="AQ27" i="64"/>
  <c r="AP27" i="64"/>
  <c r="AM27" i="64" s="1"/>
  <c r="AN27" i="64" s="1"/>
  <c r="AI27" i="64"/>
  <c r="AE27" i="64"/>
  <c r="AC27" i="64"/>
  <c r="X27" i="64"/>
  <c r="W27" i="64"/>
  <c r="P27" i="64"/>
  <c r="O27" i="64"/>
  <c r="BT26" i="64"/>
  <c r="BT24" i="64" s="1"/>
  <c r="BT23" i="64" s="1"/>
  <c r="BR26" i="64"/>
  <c r="BN26" i="64"/>
  <c r="BM26" i="64"/>
  <c r="BP26" i="64" s="1"/>
  <c r="BJ26" i="64"/>
  <c r="BH26" i="64"/>
  <c r="AX26" i="64"/>
  <c r="AT26" i="64"/>
  <c r="AP26" i="64"/>
  <c r="AQ26" i="64" s="1"/>
  <c r="AI26" i="64"/>
  <c r="AF26" i="64"/>
  <c r="AE26" i="64"/>
  <c r="AC26" i="64"/>
  <c r="X26" i="64"/>
  <c r="W26" i="64"/>
  <c r="R26" i="64"/>
  <c r="O26" i="64"/>
  <c r="L26" i="64"/>
  <c r="J26" i="64"/>
  <c r="BN25" i="64"/>
  <c r="BM25" i="64"/>
  <c r="BO25" i="64" s="1"/>
  <c r="AM25" i="64"/>
  <c r="AN25" i="64" s="1"/>
  <c r="Z25" i="64"/>
  <c r="Y25" i="64"/>
  <c r="W25" i="64"/>
  <c r="I25" i="64"/>
  <c r="E25" i="64"/>
  <c r="F25" i="64" s="1"/>
  <c r="BS24" i="64"/>
  <c r="BS23" i="64" s="1"/>
  <c r="BS76" i="64" s="1"/>
  <c r="BQ24" i="64"/>
  <c r="BN24" i="64" s="1"/>
  <c r="BM24" i="64"/>
  <c r="BO24" i="64" s="1"/>
  <c r="BI24" i="64"/>
  <c r="BI23" i="64" s="1"/>
  <c r="BI76" i="64" s="1"/>
  <c r="BG24" i="64"/>
  <c r="BG23" i="64" s="1"/>
  <c r="BG76" i="64" s="1"/>
  <c r="AW24" i="64"/>
  <c r="AU24" i="64"/>
  <c r="AT24" i="64"/>
  <c r="AS24" i="64"/>
  <c r="AR24" i="64"/>
  <c r="AO24" i="64"/>
  <c r="AK24" i="64"/>
  <c r="AJ24" i="64"/>
  <c r="AI24" i="64"/>
  <c r="AH24" i="64"/>
  <c r="AC24" i="64"/>
  <c r="AB24" i="64"/>
  <c r="Z24" i="64"/>
  <c r="Y24" i="64"/>
  <c r="X24" i="64"/>
  <c r="V24" i="64"/>
  <c r="W24" i="64" s="1"/>
  <c r="T24" i="64"/>
  <c r="G24" i="64"/>
  <c r="D24" i="64"/>
  <c r="D23" i="64" s="1"/>
  <c r="BM23" i="64"/>
  <c r="AU23" i="64"/>
  <c r="AK23" i="64"/>
  <c r="AK78" i="64" s="1"/>
  <c r="AI23" i="64"/>
  <c r="AH23" i="64"/>
  <c r="X23" i="64"/>
  <c r="U23" i="64"/>
  <c r="G23" i="64"/>
  <c r="AX22" i="64"/>
  <c r="AT22" i="64"/>
  <c r="AM22" i="64"/>
  <c r="AN22" i="64" s="1"/>
  <c r="Z22" i="64"/>
  <c r="Y22" i="64"/>
  <c r="W22" i="64"/>
  <c r="I22" i="64"/>
  <c r="E22" i="64"/>
  <c r="F22" i="64" s="1"/>
  <c r="D22" i="64"/>
  <c r="AX21" i="64"/>
  <c r="AT21" i="64"/>
  <c r="AQ21" i="64"/>
  <c r="AP21" i="64"/>
  <c r="AM21" i="64" s="1"/>
  <c r="AN21" i="64"/>
  <c r="Z21" i="64"/>
  <c r="Y21" i="64"/>
  <c r="I21" i="64"/>
  <c r="E21" i="64"/>
  <c r="F21" i="64" s="1"/>
  <c r="AM20" i="64"/>
  <c r="AN20" i="64" s="1"/>
  <c r="AI20" i="64"/>
  <c r="Y20" i="64"/>
  <c r="Y11" i="64" s="1"/>
  <c r="I20" i="64"/>
  <c r="AN19" i="64"/>
  <c r="AM19" i="64"/>
  <c r="W19" i="64"/>
  <c r="Y19" i="64" s="1"/>
  <c r="I19" i="64"/>
  <c r="F19" i="64"/>
  <c r="E19" i="64"/>
  <c r="AN18" i="64"/>
  <c r="AM18" i="64"/>
  <c r="W18" i="64"/>
  <c r="Y18" i="64" s="1"/>
  <c r="I18" i="64"/>
  <c r="F18" i="64"/>
  <c r="E18" i="64"/>
  <c r="AP17" i="64"/>
  <c r="AQ17" i="64" s="1"/>
  <c r="AM17" i="64"/>
  <c r="AN17" i="64" s="1"/>
  <c r="Y17" i="64"/>
  <c r="W17" i="64"/>
  <c r="Z17" i="64" s="1"/>
  <c r="I17" i="64"/>
  <c r="AN16" i="64"/>
  <c r="AM16" i="64"/>
  <c r="W16" i="64"/>
  <c r="Y16" i="64" s="1"/>
  <c r="I16" i="64"/>
  <c r="F16" i="64"/>
  <c r="E16" i="64"/>
  <c r="BQ15" i="64"/>
  <c r="AX15" i="64"/>
  <c r="AT15" i="64"/>
  <c r="AP15" i="64"/>
  <c r="AQ15" i="64" s="1"/>
  <c r="AM15" i="64"/>
  <c r="AN15" i="64" s="1"/>
  <c r="Y15" i="64"/>
  <c r="W15" i="64"/>
  <c r="Z15" i="64" s="1"/>
  <c r="P15" i="64"/>
  <c r="O15" i="64"/>
  <c r="M15" i="64"/>
  <c r="J15" i="64"/>
  <c r="I15" i="64"/>
  <c r="H15" i="64"/>
  <c r="BQ14" i="64"/>
  <c r="AW14" i="64"/>
  <c r="AX14" i="64" s="1"/>
  <c r="AS14" i="64"/>
  <c r="AT14" i="64" s="1"/>
  <c r="AK14" i="64"/>
  <c r="Z14" i="64"/>
  <c r="W14" i="64"/>
  <c r="Y14" i="64" s="1"/>
  <c r="O14" i="64"/>
  <c r="P14" i="64" s="1"/>
  <c r="M14" i="64"/>
  <c r="J14" i="64"/>
  <c r="H14" i="64" s="1"/>
  <c r="BA13" i="64"/>
  <c r="AN13" i="64"/>
  <c r="W13" i="64"/>
  <c r="Z13" i="64" s="1"/>
  <c r="F13" i="64"/>
  <c r="E13" i="64"/>
  <c r="AN12" i="64"/>
  <c r="W12" i="64"/>
  <c r="Z12" i="64" s="1"/>
  <c r="F12" i="64"/>
  <c r="E12" i="64"/>
  <c r="BW11" i="64"/>
  <c r="BS11" i="64"/>
  <c r="BU12" i="64" s="1"/>
  <c r="BP11" i="64"/>
  <c r="BM11" i="64"/>
  <c r="BO11" i="64" s="1"/>
  <c r="BI11" i="64"/>
  <c r="AR11" i="64"/>
  <c r="BB13" i="64" s="1"/>
  <c r="AK11" i="64"/>
  <c r="AH11" i="64"/>
  <c r="AI11" i="64" s="1"/>
  <c r="BJ11" i="64" s="1"/>
  <c r="Z11" i="64"/>
  <c r="X11" i="64"/>
  <c r="T11" i="64"/>
  <c r="J11" i="64"/>
  <c r="G11" i="64"/>
  <c r="G76" i="64" s="1"/>
  <c r="D11" i="64"/>
  <c r="N5" i="64"/>
  <c r="M5" i="64"/>
  <c r="Q4" i="64"/>
  <c r="R4" i="64" s="1"/>
  <c r="H4" i="64"/>
  <c r="I14" i="64" l="1"/>
  <c r="H11" i="64"/>
  <c r="D88" i="64"/>
  <c r="D78" i="64"/>
  <c r="S26" i="64"/>
  <c r="E39" i="64"/>
  <c r="F39" i="64" s="1"/>
  <c r="I39" i="64"/>
  <c r="AP45" i="64"/>
  <c r="AM49" i="64"/>
  <c r="AQ49" i="64"/>
  <c r="E63" i="64"/>
  <c r="F63" i="64" s="1"/>
  <c r="I63" i="64"/>
  <c r="AS11" i="64"/>
  <c r="Z16" i="64"/>
  <c r="BH27" i="64"/>
  <c r="AF27" i="64"/>
  <c r="R27" i="64"/>
  <c r="S27" i="64" s="1"/>
  <c r="AE24" i="64"/>
  <c r="Z30" i="64"/>
  <c r="E17" i="64"/>
  <c r="F17" i="64" s="1"/>
  <c r="AU78" i="64"/>
  <c r="AU76" i="64"/>
  <c r="BM75" i="64"/>
  <c r="BP63" i="64"/>
  <c r="AJ78" i="64"/>
  <c r="AJ79" i="64" s="1"/>
  <c r="AJ80" i="64" s="1"/>
  <c r="AJ76" i="64"/>
  <c r="AT33" i="64"/>
  <c r="BP39" i="64"/>
  <c r="H40" i="64"/>
  <c r="M40" i="64"/>
  <c r="R59" i="64"/>
  <c r="S59" i="64" s="1"/>
  <c r="T45" i="64"/>
  <c r="T23" i="64" s="1"/>
  <c r="G78" i="64"/>
  <c r="G79" i="64" s="1"/>
  <c r="G80" i="64" s="1"/>
  <c r="Z33" i="64"/>
  <c r="BQ36" i="64"/>
  <c r="BR39" i="64"/>
  <c r="BN39" i="64"/>
  <c r="BO39" i="64" s="1"/>
  <c r="BP40" i="64"/>
  <c r="BO40" i="64"/>
  <c r="S53" i="64"/>
  <c r="E53" i="64"/>
  <c r="F53" i="64" s="1"/>
  <c r="E15" i="64"/>
  <c r="F15" i="64" s="1"/>
  <c r="BR24" i="64"/>
  <c r="S48" i="64"/>
  <c r="S57" i="64"/>
  <c r="E57" i="64"/>
  <c r="F57" i="64" s="1"/>
  <c r="E59" i="64"/>
  <c r="F59" i="64" s="1"/>
  <c r="I59" i="64"/>
  <c r="BQ45" i="64"/>
  <c r="BN45" i="64" s="1"/>
  <c r="BO45" i="64" s="1"/>
  <c r="BR59" i="64"/>
  <c r="BR45" i="64" s="1"/>
  <c r="BN59" i="64"/>
  <c r="BP59" i="64" s="1"/>
  <c r="D76" i="64"/>
  <c r="X76" i="64"/>
  <c r="V83" i="64"/>
  <c r="Y12" i="64"/>
  <c r="Y13" i="64"/>
  <c r="BQ16" i="64"/>
  <c r="Z19" i="64"/>
  <c r="X78" i="64"/>
  <c r="X79" i="64" s="1"/>
  <c r="X80" i="64" s="1"/>
  <c r="AP24" i="64"/>
  <c r="M26" i="64"/>
  <c r="H26" i="64"/>
  <c r="AC33" i="64"/>
  <c r="AB23" i="64"/>
  <c r="O11" i="64"/>
  <c r="AK76" i="64"/>
  <c r="AK79" i="64" s="1"/>
  <c r="AK80" i="64" s="1"/>
  <c r="AW11" i="64"/>
  <c r="AP14" i="64"/>
  <c r="Z18" i="64"/>
  <c r="AS23" i="64"/>
  <c r="AR23" i="64"/>
  <c r="AX24" i="64"/>
  <c r="AW23" i="64"/>
  <c r="P26" i="64"/>
  <c r="O24" i="64"/>
  <c r="AM26" i="64"/>
  <c r="AN26" i="64" s="1"/>
  <c r="BH76" i="64"/>
  <c r="BH24" i="64"/>
  <c r="BH23" i="64" s="1"/>
  <c r="BO26" i="64"/>
  <c r="BP27" i="64"/>
  <c r="BP24" i="64" s="1"/>
  <c r="BP23" i="64" s="1"/>
  <c r="E28" i="64"/>
  <c r="F28" i="64" s="1"/>
  <c r="Z32" i="64"/>
  <c r="L33" i="64"/>
  <c r="M33" i="64" s="1"/>
  <c r="H38" i="64"/>
  <c r="M38" i="64"/>
  <c r="BR40" i="64"/>
  <c r="BN40" i="64"/>
  <c r="Z45" i="64"/>
  <c r="Z23" i="64" s="1"/>
  <c r="Y49" i="64"/>
  <c r="Y45" i="64" s="1"/>
  <c r="Y23" i="64" s="1"/>
  <c r="AT36" i="64"/>
  <c r="H48" i="64"/>
  <c r="L45" i="64"/>
  <c r="M45" i="64" s="1"/>
  <c r="M48" i="64"/>
  <c r="BO50" i="64"/>
  <c r="H55" i="64"/>
  <c r="M55" i="64"/>
  <c r="BO59" i="64"/>
  <c r="W66" i="64"/>
  <c r="V45" i="64"/>
  <c r="BO66" i="64"/>
  <c r="U76" i="64"/>
  <c r="U78" i="64"/>
  <c r="U79" i="64" s="1"/>
  <c r="U80" i="64" s="1"/>
  <c r="BT76" i="64"/>
  <c r="E35" i="64"/>
  <c r="F35" i="64" s="1"/>
  <c r="AN35" i="64"/>
  <c r="BO37" i="64"/>
  <c r="BP36" i="64"/>
  <c r="BP33" i="64" s="1"/>
  <c r="Y36" i="64"/>
  <c r="Y33" i="64" s="1"/>
  <c r="BO43" i="64"/>
  <c r="H50" i="64"/>
  <c r="M50" i="64"/>
  <c r="AM50" i="64"/>
  <c r="AN50" i="64" s="1"/>
  <c r="AQ50" i="64"/>
  <c r="BJ45" i="64"/>
  <c r="BJ76" i="64" s="1"/>
  <c r="S54" i="64"/>
  <c r="E54" i="64"/>
  <c r="F54" i="64" s="1"/>
  <c r="E56" i="64"/>
  <c r="F56" i="64" s="1"/>
  <c r="AN56" i="64"/>
  <c r="BO64" i="64"/>
  <c r="N76" i="64"/>
  <c r="N79" i="64" s="1"/>
  <c r="N80" i="64" s="1"/>
  <c r="X103" i="64"/>
  <c r="BR63" i="64"/>
  <c r="BN63" i="64"/>
  <c r="BO63" i="64" s="1"/>
  <c r="BR66" i="64"/>
  <c r="BN66" i="64"/>
  <c r="BP66" i="64" s="1"/>
  <c r="BP45" i="64" s="1"/>
  <c r="I94" i="64"/>
  <c r="P109" i="64"/>
  <c r="H61" i="64"/>
  <c r="R66" i="64"/>
  <c r="S66" i="64" s="1"/>
  <c r="BO71" i="64"/>
  <c r="AA76" i="64"/>
  <c r="AA79" i="64" s="1"/>
  <c r="AA80" i="64" s="1"/>
  <c r="R111" i="64"/>
  <c r="M100" i="64"/>
  <c r="N102" i="64"/>
  <c r="AB103" i="64"/>
  <c r="X105" i="64"/>
  <c r="X109" i="64" s="1"/>
  <c r="AE109" i="64" s="1"/>
  <c r="Y63" i="27"/>
  <c r="Y55" i="27"/>
  <c r="H15" i="27"/>
  <c r="E73" i="27"/>
  <c r="Y66" i="27"/>
  <c r="Z78" i="64" l="1"/>
  <c r="Z79" i="64" s="1"/>
  <c r="Z80" i="64" s="1"/>
  <c r="Z76" i="64"/>
  <c r="BP75" i="64"/>
  <c r="BP100" i="64" s="1"/>
  <c r="BP22" i="64"/>
  <c r="Y78" i="64"/>
  <c r="Y76" i="64"/>
  <c r="T78" i="64"/>
  <c r="T79" i="64" s="1"/>
  <c r="T80" i="64" s="1"/>
  <c r="T76" i="64"/>
  <c r="T88" i="64" s="1"/>
  <c r="I50" i="64"/>
  <c r="E50" i="64"/>
  <c r="F50" i="64" s="1"/>
  <c r="BQ33" i="64"/>
  <c r="BN33" i="64" s="1"/>
  <c r="BO33" i="64" s="1"/>
  <c r="BN36" i="64"/>
  <c r="BO36" i="64" s="1"/>
  <c r="D79" i="64"/>
  <c r="D80" i="64" s="1"/>
  <c r="AE103" i="64"/>
  <c r="W45" i="64"/>
  <c r="V23" i="64"/>
  <c r="I38" i="64"/>
  <c r="H36" i="64"/>
  <c r="E38" i="64"/>
  <c r="F38" i="64" s="1"/>
  <c r="AW75" i="64"/>
  <c r="AX23" i="64"/>
  <c r="R45" i="64"/>
  <c r="S45" i="64" s="1"/>
  <c r="AU79" i="64"/>
  <c r="AU80" i="64" s="1"/>
  <c r="AT11" i="64"/>
  <c r="BT11" i="64"/>
  <c r="AN49" i="64"/>
  <c r="E49" i="64"/>
  <c r="F49" i="64" s="1"/>
  <c r="BJ23" i="64"/>
  <c r="I61" i="64"/>
  <c r="E61" i="64"/>
  <c r="F61" i="64" s="1"/>
  <c r="AQ24" i="64"/>
  <c r="AM24" i="64"/>
  <c r="AN24" i="64" s="1"/>
  <c r="AP23" i="64"/>
  <c r="AE23" i="64"/>
  <c r="AF24" i="64"/>
  <c r="I11" i="64"/>
  <c r="L11" i="64"/>
  <c r="I48" i="64"/>
  <c r="H45" i="64"/>
  <c r="E48" i="64"/>
  <c r="F48" i="64" s="1"/>
  <c r="AQ14" i="64"/>
  <c r="AM14" i="64"/>
  <c r="AP11" i="64"/>
  <c r="P11" i="64"/>
  <c r="O4" i="64"/>
  <c r="E26" i="64"/>
  <c r="F26" i="64" s="1"/>
  <c r="I26" i="64"/>
  <c r="AM45" i="64"/>
  <c r="AN45" i="64" s="1"/>
  <c r="AQ45" i="64"/>
  <c r="R24" i="64"/>
  <c r="AS78" i="64"/>
  <c r="AS75" i="64"/>
  <c r="AS87" i="64"/>
  <c r="AT23" i="64"/>
  <c r="I55" i="64"/>
  <c r="E55" i="64"/>
  <c r="F55" i="64" s="1"/>
  <c r="E66" i="64"/>
  <c r="F66" i="64" s="1"/>
  <c r="P24" i="64"/>
  <c r="O23" i="64"/>
  <c r="AR87" i="64"/>
  <c r="AR78" i="64"/>
  <c r="AR79" i="64" s="1"/>
  <c r="AR75" i="64"/>
  <c r="AW76" i="64"/>
  <c r="AX11" i="64"/>
  <c r="AB20" i="64"/>
  <c r="AC23" i="64"/>
  <c r="BR36" i="64"/>
  <c r="BR33" i="64" s="1"/>
  <c r="BR76" i="64" s="1"/>
  <c r="I40" i="64"/>
  <c r="E40" i="64"/>
  <c r="F40" i="64" s="1"/>
  <c r="S24" i="64" l="1"/>
  <c r="R23" i="64"/>
  <c r="AN14" i="64"/>
  <c r="E14" i="64"/>
  <c r="F14" i="64" s="1"/>
  <c r="E36" i="64"/>
  <c r="F36" i="64" s="1"/>
  <c r="I36" i="64"/>
  <c r="H33" i="64"/>
  <c r="M11" i="64"/>
  <c r="O5" i="64"/>
  <c r="AX75" i="64"/>
  <c r="AP75" i="64"/>
  <c r="AP87" i="64"/>
  <c r="AP78" i="64"/>
  <c r="BA23" i="64"/>
  <c r="AM23" i="64"/>
  <c r="AQ23" i="64"/>
  <c r="BR23" i="64"/>
  <c r="AS100" i="64"/>
  <c r="AS76" i="64"/>
  <c r="AS79" i="64" s="1"/>
  <c r="AS80" i="64" s="1"/>
  <c r="W23" i="64"/>
  <c r="Y79" i="64"/>
  <c r="Y80" i="64" s="1"/>
  <c r="AR80" i="64"/>
  <c r="BT75" i="64"/>
  <c r="AT75" i="64"/>
  <c r="AT78" i="64"/>
  <c r="AT79" i="64" s="1"/>
  <c r="AC20" i="64"/>
  <c r="AB11" i="64"/>
  <c r="O78" i="64"/>
  <c r="O75" i="64"/>
  <c r="P23" i="64"/>
  <c r="P78" i="64" s="1"/>
  <c r="P79" i="64" s="1"/>
  <c r="P80" i="64" s="1"/>
  <c r="BQ23" i="64"/>
  <c r="AP76" i="64"/>
  <c r="BR11" i="64"/>
  <c r="AQ11" i="64"/>
  <c r="BQ12" i="64"/>
  <c r="BQ17" i="64" s="1"/>
  <c r="AM11" i="64"/>
  <c r="E45" i="64"/>
  <c r="I45" i="64"/>
  <c r="AE20" i="64"/>
  <c r="AF23" i="64"/>
  <c r="AN11" i="64" l="1"/>
  <c r="O80" i="64"/>
  <c r="O76" i="64"/>
  <c r="AM78" i="64"/>
  <c r="AM75" i="64"/>
  <c r="AM87" i="64"/>
  <c r="AN23" i="64"/>
  <c r="BQ76" i="64"/>
  <c r="BQ101" i="64" s="1"/>
  <c r="BN23" i="64"/>
  <c r="AQ76" i="64"/>
  <c r="AC11" i="64"/>
  <c r="AB75" i="64"/>
  <c r="AB78" i="64"/>
  <c r="AT80" i="64"/>
  <c r="AP79" i="64"/>
  <c r="AF20" i="64"/>
  <c r="AE11" i="64"/>
  <c r="O79" i="64"/>
  <c r="E33" i="64"/>
  <c r="F33" i="64" s="1"/>
  <c r="I33" i="64"/>
  <c r="E97" i="64"/>
  <c r="F45" i="64"/>
  <c r="AQ78" i="64"/>
  <c r="AQ75" i="64"/>
  <c r="S23" i="64"/>
  <c r="V20" i="64"/>
  <c r="AP82" i="64"/>
  <c r="AP80" i="64"/>
  <c r="AB80" i="64" l="1"/>
  <c r="AN76" i="64"/>
  <c r="BN75" i="64"/>
  <c r="BO23" i="64"/>
  <c r="W20" i="64"/>
  <c r="R20" i="64"/>
  <c r="V11" i="64"/>
  <c r="AQ80" i="64"/>
  <c r="AC78" i="64"/>
  <c r="AC75" i="64"/>
  <c r="AC76" i="64" s="1"/>
  <c r="AM76" i="64"/>
  <c r="AM79" i="64" s="1"/>
  <c r="AM80" i="64" s="1"/>
  <c r="AB79" i="64"/>
  <c r="AQ79" i="64"/>
  <c r="AE76" i="64"/>
  <c r="AF76" i="64" s="1"/>
  <c r="AF11" i="64"/>
  <c r="BH11" i="64" s="1"/>
  <c r="AE75" i="64"/>
  <c r="AB76" i="64"/>
  <c r="AN78" i="64"/>
  <c r="AN79" i="64" s="1"/>
  <c r="AN75" i="64"/>
  <c r="S20" i="64" l="1"/>
  <c r="E20" i="64"/>
  <c r="F20" i="64" s="1"/>
  <c r="R11" i="64"/>
  <c r="AN80" i="64"/>
  <c r="AC79" i="64"/>
  <c r="AC80" i="64" s="1"/>
  <c r="V75" i="64"/>
  <c r="V76" i="64" s="1"/>
  <c r="W76" i="64" s="1"/>
  <c r="U113" i="64"/>
  <c r="W11" i="64"/>
  <c r="W78" i="64" s="1"/>
  <c r="V78" i="64"/>
  <c r="W79" i="64" l="1"/>
  <c r="R76" i="64"/>
  <c r="S11" i="64"/>
  <c r="E11" i="64"/>
  <c r="R78" i="64"/>
  <c r="V79" i="64"/>
  <c r="V80" i="64" s="1"/>
  <c r="W75" i="64"/>
  <c r="S76" i="64" l="1"/>
  <c r="S78" i="64"/>
  <c r="R79" i="64"/>
  <c r="R80" i="64" s="1"/>
  <c r="W80" i="64"/>
  <c r="W99" i="64"/>
  <c r="F11" i="64"/>
  <c r="S79" i="64" l="1"/>
  <c r="S80" i="64" s="1"/>
  <c r="L115" i="63" l="1"/>
  <c r="L112" i="63"/>
  <c r="N112" i="63" s="1"/>
  <c r="L111" i="63"/>
  <c r="N111" i="63" s="1"/>
  <c r="N110" i="63"/>
  <c r="L110" i="63"/>
  <c r="P108" i="63" s="1"/>
  <c r="N109" i="63"/>
  <c r="L109" i="63"/>
  <c r="N108" i="63"/>
  <c r="L108" i="63"/>
  <c r="N107" i="63"/>
  <c r="L107" i="63"/>
  <c r="AB106" i="63"/>
  <c r="N106" i="63"/>
  <c r="L106" i="63"/>
  <c r="AB105" i="63"/>
  <c r="X105" i="63"/>
  <c r="N105" i="63"/>
  <c r="L105" i="63"/>
  <c r="AB104" i="63"/>
  <c r="N104" i="63"/>
  <c r="L104" i="63"/>
  <c r="N103" i="63"/>
  <c r="L103" i="63"/>
  <c r="T102" i="63"/>
  <c r="N102" i="63"/>
  <c r="L102" i="63"/>
  <c r="AK101" i="63"/>
  <c r="X101" i="63"/>
  <c r="L101" i="63"/>
  <c r="X106" i="63" s="1"/>
  <c r="AK100" i="63"/>
  <c r="AK102" i="63" s="1"/>
  <c r="AB100" i="63"/>
  <c r="AB108" i="63" s="1"/>
  <c r="X100" i="63"/>
  <c r="O100" i="63"/>
  <c r="L100" i="63"/>
  <c r="AB99" i="63"/>
  <c r="X99" i="63"/>
  <c r="L99" i="63"/>
  <c r="L113" i="63" s="1"/>
  <c r="L114" i="63" s="1"/>
  <c r="H93" i="63"/>
  <c r="AO90" i="63"/>
  <c r="AK90" i="63"/>
  <c r="K89" i="63"/>
  <c r="K92" i="63" s="1"/>
  <c r="AO86" i="63"/>
  <c r="AL86" i="63"/>
  <c r="AO77" i="63"/>
  <c r="AO78" i="63" s="1"/>
  <c r="AO79" i="63" s="1"/>
  <c r="AL77" i="63"/>
  <c r="AL78" i="63" s="1"/>
  <c r="AL79" i="63" s="1"/>
  <c r="AA77" i="63"/>
  <c r="Q77" i="63"/>
  <c r="N77" i="63"/>
  <c r="K77" i="63"/>
  <c r="K78" i="63" s="1"/>
  <c r="K79" i="63" s="1"/>
  <c r="BM75" i="63"/>
  <c r="Q75" i="63"/>
  <c r="Q78" i="63" s="1"/>
  <c r="Q79" i="63" s="1"/>
  <c r="K75" i="63"/>
  <c r="BJ74" i="63"/>
  <c r="AI74" i="63"/>
  <c r="AH74" i="63"/>
  <c r="AG74" i="63"/>
  <c r="AA74" i="63"/>
  <c r="X74" i="63"/>
  <c r="S74" i="63"/>
  <c r="N74" i="63"/>
  <c r="BT73" i="63"/>
  <c r="BR73" i="63"/>
  <c r="BO73" i="63"/>
  <c r="BN73" i="63"/>
  <c r="BM73" i="63"/>
  <c r="BJ73" i="63"/>
  <c r="BH73" i="63"/>
  <c r="AM73" i="63"/>
  <c r="AN73" i="63" s="1"/>
  <c r="Z73" i="63"/>
  <c r="Y73" i="63"/>
  <c r="W73" i="63"/>
  <c r="I73" i="63"/>
  <c r="E73" i="63"/>
  <c r="F73" i="63" s="1"/>
  <c r="BT72" i="63"/>
  <c r="BR72" i="63"/>
  <c r="BN72" i="63"/>
  <c r="BO72" i="63" s="1"/>
  <c r="BM72" i="63"/>
  <c r="BJ72" i="63"/>
  <c r="BH72" i="63"/>
  <c r="AN72" i="63"/>
  <c r="AM72" i="63"/>
  <c r="W72" i="63"/>
  <c r="I72" i="63"/>
  <c r="F72" i="63"/>
  <c r="E72" i="63"/>
  <c r="BT71" i="63"/>
  <c r="BR71" i="63"/>
  <c r="BN71" i="63"/>
  <c r="BM71" i="63"/>
  <c r="BO71" i="63" s="1"/>
  <c r="BJ71" i="63"/>
  <c r="BH71" i="63"/>
  <c r="AM71" i="63"/>
  <c r="AN71" i="63" s="1"/>
  <c r="Y71" i="63"/>
  <c r="W71" i="63"/>
  <c r="Z71" i="63" s="1"/>
  <c r="I71" i="63"/>
  <c r="E71" i="63"/>
  <c r="F71" i="63" s="1"/>
  <c r="BT70" i="63"/>
  <c r="BR70" i="63"/>
  <c r="BN70" i="63"/>
  <c r="BM70" i="63"/>
  <c r="BJ70" i="63"/>
  <c r="BH70" i="63"/>
  <c r="AU70" i="63"/>
  <c r="AM70" i="63"/>
  <c r="AN70" i="63" s="1"/>
  <c r="AJ70" i="63"/>
  <c r="W70" i="63"/>
  <c r="Y70" i="63" s="1"/>
  <c r="V70" i="63"/>
  <c r="R70" i="63"/>
  <c r="E70" i="63" s="1"/>
  <c r="F70" i="63" s="1"/>
  <c r="I70" i="63"/>
  <c r="BT69" i="63"/>
  <c r="BR69" i="63"/>
  <c r="BO69" i="63"/>
  <c r="BN69" i="63"/>
  <c r="BM69" i="63"/>
  <c r="BJ69" i="63"/>
  <c r="BH69" i="63"/>
  <c r="AM69" i="63"/>
  <c r="AN69" i="63" s="1"/>
  <c r="Z69" i="63"/>
  <c r="Y69" i="63"/>
  <c r="W69" i="63"/>
  <c r="I69" i="63"/>
  <c r="E69" i="63"/>
  <c r="F69" i="63" s="1"/>
  <c r="BT68" i="63"/>
  <c r="BR68" i="63"/>
  <c r="BN68" i="63"/>
  <c r="BO68" i="63" s="1"/>
  <c r="BM68" i="63"/>
  <c r="BJ68" i="63"/>
  <c r="BH68" i="63"/>
  <c r="AN68" i="63"/>
  <c r="AM68" i="63"/>
  <c r="Z68" i="63"/>
  <c r="W68" i="63"/>
  <c r="Y68" i="63" s="1"/>
  <c r="I68" i="63"/>
  <c r="F68" i="63"/>
  <c r="E68" i="63"/>
  <c r="BT67" i="63"/>
  <c r="BR67" i="63"/>
  <c r="BN67" i="63"/>
  <c r="BM67" i="63"/>
  <c r="BO67" i="63" s="1"/>
  <c r="BJ67" i="63"/>
  <c r="BH67" i="63"/>
  <c r="AM67" i="63"/>
  <c r="AN67" i="63" s="1"/>
  <c r="Y67" i="63"/>
  <c r="W67" i="63"/>
  <c r="Z67" i="63" s="1"/>
  <c r="I67" i="63"/>
  <c r="E67" i="63"/>
  <c r="F67" i="63" s="1"/>
  <c r="BT66" i="63"/>
  <c r="BR66" i="63"/>
  <c r="BN66" i="63"/>
  <c r="BM66" i="63"/>
  <c r="BO66" i="63" s="1"/>
  <c r="BJ66" i="63"/>
  <c r="BH66" i="63"/>
  <c r="AU66" i="63"/>
  <c r="AQ66" i="63"/>
  <c r="AN66" i="63"/>
  <c r="AM66" i="63"/>
  <c r="AK66" i="63"/>
  <c r="E66" i="63" s="1"/>
  <c r="AJ66" i="63"/>
  <c r="W66" i="63"/>
  <c r="Y66" i="63" s="1"/>
  <c r="I66" i="63"/>
  <c r="F66" i="63"/>
  <c r="BT65" i="63"/>
  <c r="BQ65" i="63"/>
  <c r="BM65" i="63"/>
  <c r="BJ65" i="63"/>
  <c r="BH65" i="63"/>
  <c r="AX65" i="63"/>
  <c r="AT65" i="63"/>
  <c r="AR65" i="63"/>
  <c r="AQ65" i="63"/>
  <c r="AM65" i="63"/>
  <c r="AN65" i="63" s="1"/>
  <c r="AC65" i="63"/>
  <c r="X65" i="63"/>
  <c r="W65" i="63"/>
  <c r="T65" i="63"/>
  <c r="R65" i="63"/>
  <c r="S65" i="63" s="1"/>
  <c r="O65" i="63"/>
  <c r="P65" i="63" s="1"/>
  <c r="L65" i="63"/>
  <c r="M65" i="63" s="1"/>
  <c r="BT64" i="63"/>
  <c r="BR64" i="63"/>
  <c r="BN64" i="63"/>
  <c r="BM64" i="63"/>
  <c r="BO64" i="63" s="1"/>
  <c r="BJ64" i="63"/>
  <c r="BH64" i="63"/>
  <c r="AQ64" i="63"/>
  <c r="AM64" i="63"/>
  <c r="AN64" i="63" s="1"/>
  <c r="W64" i="63"/>
  <c r="Z64" i="63" s="1"/>
  <c r="Y64" i="63" s="1"/>
  <c r="R64" i="63" s="1"/>
  <c r="E64" i="63" s="1"/>
  <c r="F64" i="63" s="1"/>
  <c r="I64" i="63"/>
  <c r="BT63" i="63"/>
  <c r="BR63" i="63"/>
  <c r="BO63" i="63"/>
  <c r="BN63" i="63"/>
  <c r="BM63" i="63"/>
  <c r="BJ63" i="63"/>
  <c r="BH63" i="63"/>
  <c r="AQ63" i="63"/>
  <c r="AN63" i="63"/>
  <c r="AM63" i="63"/>
  <c r="Z63" i="63"/>
  <c r="Y63" i="63" s="1"/>
  <c r="R63" i="63" s="1"/>
  <c r="E63" i="63" s="1"/>
  <c r="F63" i="63" s="1"/>
  <c r="W63" i="63"/>
  <c r="I63" i="63"/>
  <c r="BT62" i="63"/>
  <c r="BR62" i="63"/>
  <c r="BQ62" i="63"/>
  <c r="BP62" i="63"/>
  <c r="BN62" i="63"/>
  <c r="BM62" i="63"/>
  <c r="BJ62" i="63"/>
  <c r="BH62" i="63"/>
  <c r="AX62" i="63"/>
  <c r="AT62" i="63"/>
  <c r="AQ62" i="63"/>
  <c r="AM62" i="63"/>
  <c r="AN62" i="63" s="1"/>
  <c r="X62" i="63"/>
  <c r="W62" i="63"/>
  <c r="T62" i="63"/>
  <c r="S62" i="63"/>
  <c r="R62" i="63"/>
  <c r="P62" i="63"/>
  <c r="O62" i="63"/>
  <c r="M62" i="63"/>
  <c r="L62" i="63"/>
  <c r="H62" i="63" s="1"/>
  <c r="BT61" i="63"/>
  <c r="BR61" i="63"/>
  <c r="BO61" i="63"/>
  <c r="BN61" i="63"/>
  <c r="BM61" i="63"/>
  <c r="BJ61" i="63"/>
  <c r="BH61" i="63"/>
  <c r="AQ61" i="63"/>
  <c r="AN61" i="63"/>
  <c r="AM61" i="63"/>
  <c r="Z61" i="63"/>
  <c r="Y61" i="63"/>
  <c r="W61" i="63"/>
  <c r="T61" i="63"/>
  <c r="R61" i="63"/>
  <c r="S61" i="63" s="1"/>
  <c r="I61" i="63"/>
  <c r="E61" i="63"/>
  <c r="F61" i="63" s="1"/>
  <c r="BT60" i="63"/>
  <c r="BR60" i="63"/>
  <c r="BN60" i="63"/>
  <c r="BP60" i="63" s="1"/>
  <c r="BM60" i="63"/>
  <c r="BO60" i="63" s="1"/>
  <c r="BJ60" i="63"/>
  <c r="BH60" i="63"/>
  <c r="AX60" i="63"/>
  <c r="AU60" i="63"/>
  <c r="AU44" i="63" s="1"/>
  <c r="AT60" i="63"/>
  <c r="AM60" i="63"/>
  <c r="AN60" i="63" s="1"/>
  <c r="AK60" i="63"/>
  <c r="AK44" i="63" s="1"/>
  <c r="AJ60" i="63"/>
  <c r="AC60" i="63"/>
  <c r="Z60" i="63"/>
  <c r="Y60" i="63" s="1"/>
  <c r="W60" i="63"/>
  <c r="R60" i="63"/>
  <c r="S60" i="63" s="1"/>
  <c r="P60" i="63"/>
  <c r="L60" i="63"/>
  <c r="M60" i="63" s="1"/>
  <c r="J60" i="63"/>
  <c r="BT59" i="63"/>
  <c r="BR59" i="63"/>
  <c r="BN59" i="63"/>
  <c r="BO59" i="63" s="1"/>
  <c r="BM59" i="63"/>
  <c r="BJ59" i="63"/>
  <c r="BH59" i="63"/>
  <c r="AQ59" i="63"/>
  <c r="AN59" i="63"/>
  <c r="AM59" i="63"/>
  <c r="Z59" i="63"/>
  <c r="Y59" i="63"/>
  <c r="R59" i="63" s="1"/>
  <c r="W59" i="63"/>
  <c r="I59" i="63"/>
  <c r="E59" i="63"/>
  <c r="F59" i="63" s="1"/>
  <c r="BV58" i="63"/>
  <c r="BT58" i="63"/>
  <c r="BQ58" i="63"/>
  <c r="BR58" i="63" s="1"/>
  <c r="BN58" i="63"/>
  <c r="BP58" i="63" s="1"/>
  <c r="BM58" i="63"/>
  <c r="BJ58" i="63"/>
  <c r="BH58" i="63"/>
  <c r="AX58" i="63"/>
  <c r="AT58" i="63"/>
  <c r="AP58" i="63"/>
  <c r="AQ58" i="63" s="1"/>
  <c r="AM58" i="63"/>
  <c r="AN58" i="63" s="1"/>
  <c r="AC58" i="63"/>
  <c r="X58" i="63"/>
  <c r="W58" i="63"/>
  <c r="T58" i="63"/>
  <c r="O58" i="63"/>
  <c r="P58" i="63" s="1"/>
  <c r="L58" i="63"/>
  <c r="M58" i="63" s="1"/>
  <c r="H58" i="63"/>
  <c r="BT57" i="63"/>
  <c r="BR57" i="63"/>
  <c r="BN57" i="63"/>
  <c r="BO57" i="63" s="1"/>
  <c r="BM57" i="63"/>
  <c r="BJ57" i="63"/>
  <c r="BH57" i="63"/>
  <c r="AQ57" i="63"/>
  <c r="AM57" i="63"/>
  <c r="AN57" i="63" s="1"/>
  <c r="Z57" i="63"/>
  <c r="Y57" i="63"/>
  <c r="R57" i="63" s="1"/>
  <c r="W57" i="63"/>
  <c r="S57" i="63"/>
  <c r="I57" i="63"/>
  <c r="BT56" i="63"/>
  <c r="BR56" i="63"/>
  <c r="BN56" i="63"/>
  <c r="BM56" i="63"/>
  <c r="BO56" i="63" s="1"/>
  <c r="BJ56" i="63"/>
  <c r="BH56" i="63"/>
  <c r="AQ56" i="63"/>
  <c r="AM56" i="63"/>
  <c r="AN56" i="63" s="1"/>
  <c r="W56" i="63"/>
  <c r="Z56" i="63" s="1"/>
  <c r="Y56" i="63" s="1"/>
  <c r="R56" i="63" s="1"/>
  <c r="I56" i="63"/>
  <c r="BT55" i="63"/>
  <c r="BR55" i="63"/>
  <c r="BN55" i="63"/>
  <c r="BO55" i="63" s="1"/>
  <c r="BM55" i="63"/>
  <c r="BJ55" i="63"/>
  <c r="BH55" i="63"/>
  <c r="AQ55" i="63"/>
  <c r="AM55" i="63"/>
  <c r="W55" i="63"/>
  <c r="S55" i="63"/>
  <c r="R55" i="63"/>
  <c r="I55" i="63"/>
  <c r="BT54" i="63"/>
  <c r="BR54" i="63"/>
  <c r="BQ54" i="63"/>
  <c r="BN54" i="63"/>
  <c r="BP54" i="63" s="1"/>
  <c r="BM54" i="63"/>
  <c r="BO54" i="63" s="1"/>
  <c r="BJ54" i="63"/>
  <c r="BH54" i="63"/>
  <c r="AX54" i="63"/>
  <c r="AT54" i="63"/>
  <c r="AQ54" i="63"/>
  <c r="AP54" i="63"/>
  <c r="AN54" i="63"/>
  <c r="AM54" i="63"/>
  <c r="AI54" i="63"/>
  <c r="AC54" i="63"/>
  <c r="X54" i="63"/>
  <c r="W54" i="63"/>
  <c r="S54" i="63"/>
  <c r="R54" i="63"/>
  <c r="P54" i="63"/>
  <c r="O54" i="63"/>
  <c r="M54" i="63"/>
  <c r="L54" i="63"/>
  <c r="I54" i="63"/>
  <c r="H54" i="63"/>
  <c r="E54" i="63" s="1"/>
  <c r="F54" i="63" s="1"/>
  <c r="BT53" i="63"/>
  <c r="BR53" i="63"/>
  <c r="BN53" i="63"/>
  <c r="BM53" i="63"/>
  <c r="BO53" i="63" s="1"/>
  <c r="BJ53" i="63"/>
  <c r="BH53" i="63"/>
  <c r="AQ53" i="63"/>
  <c r="AN53" i="63"/>
  <c r="AM53" i="63"/>
  <c r="AI53" i="63"/>
  <c r="W53" i="63"/>
  <c r="Z53" i="63" s="1"/>
  <c r="Y53" i="63" s="1"/>
  <c r="R53" i="63" s="1"/>
  <c r="I53" i="63"/>
  <c r="BT52" i="63"/>
  <c r="BR52" i="63"/>
  <c r="BN52" i="63"/>
  <c r="BO52" i="63" s="1"/>
  <c r="BM52" i="63"/>
  <c r="BJ52" i="63"/>
  <c r="BH52" i="63"/>
  <c r="AQ52" i="63"/>
  <c r="AM52" i="63"/>
  <c r="AN52" i="63" s="1"/>
  <c r="AI52" i="63"/>
  <c r="W52" i="63"/>
  <c r="Z52" i="63" s="1"/>
  <c r="Y52" i="63" s="1"/>
  <c r="R52" i="63" s="1"/>
  <c r="I52" i="63"/>
  <c r="BT51" i="63"/>
  <c r="BR51" i="63"/>
  <c r="BO51" i="63"/>
  <c r="BN51" i="63"/>
  <c r="BM51" i="63"/>
  <c r="BJ51" i="63"/>
  <c r="BH51" i="63"/>
  <c r="AZ51" i="63"/>
  <c r="AQ51" i="63"/>
  <c r="AM51" i="63"/>
  <c r="AN51" i="63" s="1"/>
  <c r="AI51" i="63"/>
  <c r="Y51" i="63"/>
  <c r="R51" i="63" s="1"/>
  <c r="W51" i="63"/>
  <c r="S51" i="63"/>
  <c r="I51" i="63"/>
  <c r="BT50" i="63"/>
  <c r="BR50" i="63"/>
  <c r="BN50" i="63"/>
  <c r="BM50" i="63"/>
  <c r="BJ50" i="63"/>
  <c r="BH50" i="63"/>
  <c r="AQ50" i="63"/>
  <c r="AM50" i="63"/>
  <c r="AN50" i="63" s="1"/>
  <c r="AI50" i="63"/>
  <c r="Z50" i="63"/>
  <c r="Y50" i="63" s="1"/>
  <c r="W50" i="63"/>
  <c r="I50" i="63"/>
  <c r="F50" i="63"/>
  <c r="E50" i="63"/>
  <c r="BT49" i="63"/>
  <c r="BQ49" i="63"/>
  <c r="BM49" i="63"/>
  <c r="BJ49" i="63"/>
  <c r="BH49" i="63"/>
  <c r="AZ49" i="63"/>
  <c r="AX49" i="63"/>
  <c r="AT49" i="63"/>
  <c r="AQ49" i="63"/>
  <c r="AP49" i="63"/>
  <c r="AN49" i="63"/>
  <c r="AM49" i="63"/>
  <c r="AI49" i="63"/>
  <c r="AC49" i="63"/>
  <c r="X49" i="63"/>
  <c r="W49" i="63"/>
  <c r="S49" i="63"/>
  <c r="R49" i="63"/>
  <c r="P49" i="63"/>
  <c r="O49" i="63"/>
  <c r="M49" i="63"/>
  <c r="L49" i="63"/>
  <c r="I49" i="63"/>
  <c r="H49" i="63"/>
  <c r="E49" i="63" s="1"/>
  <c r="F49" i="63" s="1"/>
  <c r="BT48" i="63"/>
  <c r="BR48" i="63"/>
  <c r="BN48" i="63"/>
  <c r="BP48" i="63" s="1"/>
  <c r="BM48" i="63"/>
  <c r="BJ48" i="63"/>
  <c r="BH48" i="63"/>
  <c r="AX48" i="63"/>
  <c r="AT48" i="63"/>
  <c r="AQ48" i="63"/>
  <c r="AP48" i="63"/>
  <c r="AN48" i="63"/>
  <c r="AM48" i="63"/>
  <c r="E48" i="63" s="1"/>
  <c r="F48" i="63" s="1"/>
  <c r="W48" i="63"/>
  <c r="Z48" i="63" s="1"/>
  <c r="I48" i="63"/>
  <c r="BT47" i="63"/>
  <c r="BT44" i="63" s="1"/>
  <c r="BR47" i="63"/>
  <c r="BP47" i="63"/>
  <c r="BN47" i="63"/>
  <c r="BM47" i="63"/>
  <c r="BO47" i="63" s="1"/>
  <c r="BJ47" i="63"/>
  <c r="BH47" i="63"/>
  <c r="BA47" i="63"/>
  <c r="AX47" i="63"/>
  <c r="AT47" i="63"/>
  <c r="AP47" i="63"/>
  <c r="AC47" i="63"/>
  <c r="X47" i="63"/>
  <c r="X44" i="63" s="1"/>
  <c r="W47" i="63"/>
  <c r="S47" i="63"/>
  <c r="R47" i="63"/>
  <c r="P47" i="63"/>
  <c r="O47" i="63"/>
  <c r="M47" i="63"/>
  <c r="L47" i="63"/>
  <c r="I47" i="63"/>
  <c r="H47" i="63"/>
  <c r="BR46" i="63"/>
  <c r="BN46" i="63"/>
  <c r="BO46" i="63" s="1"/>
  <c r="BM46" i="63"/>
  <c r="BH46" i="63"/>
  <c r="AM46" i="63"/>
  <c r="AN46" i="63" s="1"/>
  <c r="W46" i="63"/>
  <c r="Y46" i="63" s="1"/>
  <c r="I46" i="63"/>
  <c r="F46" i="63"/>
  <c r="E46" i="63"/>
  <c r="BR45" i="63"/>
  <c r="BN45" i="63"/>
  <c r="BO45" i="63" s="1"/>
  <c r="BM45" i="63"/>
  <c r="BH45" i="63"/>
  <c r="AM45" i="63"/>
  <c r="AN45" i="63" s="1"/>
  <c r="Y45" i="63"/>
  <c r="W45" i="63"/>
  <c r="Z45" i="63" s="1"/>
  <c r="I45" i="63"/>
  <c r="E45" i="63"/>
  <c r="F45" i="63" s="1"/>
  <c r="BS44" i="63"/>
  <c r="BQ44" i="63"/>
  <c r="BN44" i="63" s="1"/>
  <c r="BM44" i="63"/>
  <c r="BO44" i="63" s="1"/>
  <c r="BI44" i="63"/>
  <c r="BG44" i="63"/>
  <c r="AW44" i="63"/>
  <c r="AX44" i="63" s="1"/>
  <c r="AT44" i="63"/>
  <c r="AS44" i="63"/>
  <c r="AR44" i="63"/>
  <c r="AJ44" i="63"/>
  <c r="AH44" i="63"/>
  <c r="AI44" i="63" s="1"/>
  <c r="AB44" i="63"/>
  <c r="AC44" i="63" s="1"/>
  <c r="W44" i="63"/>
  <c r="V44" i="63"/>
  <c r="U44" i="63"/>
  <c r="M44" i="63"/>
  <c r="L44" i="63"/>
  <c r="J44" i="63"/>
  <c r="D44" i="63"/>
  <c r="BR43" i="63"/>
  <c r="BN43" i="63"/>
  <c r="BO43" i="63" s="1"/>
  <c r="BM43" i="63"/>
  <c r="BH43" i="63"/>
  <c r="AM43" i="63"/>
  <c r="AN43" i="63" s="1"/>
  <c r="Y43" i="63"/>
  <c r="W43" i="63"/>
  <c r="Z43" i="63" s="1"/>
  <c r="I43" i="63"/>
  <c r="E43" i="63"/>
  <c r="F43" i="63" s="1"/>
  <c r="BR42" i="63"/>
  <c r="BO42" i="63"/>
  <c r="BN42" i="63"/>
  <c r="BM42" i="63"/>
  <c r="BH42" i="63"/>
  <c r="AN42" i="63"/>
  <c r="AM42" i="63"/>
  <c r="W42" i="63"/>
  <c r="Y42" i="63" s="1"/>
  <c r="I42" i="63"/>
  <c r="F42" i="63"/>
  <c r="E42" i="63"/>
  <c r="BR41" i="63"/>
  <c r="BN41" i="63"/>
  <c r="BM41" i="63"/>
  <c r="BO41" i="63" s="1"/>
  <c r="BH41" i="63"/>
  <c r="AU41" i="63"/>
  <c r="AN41" i="63"/>
  <c r="AM41" i="63"/>
  <c r="W41" i="63"/>
  <c r="Y41" i="63" s="1"/>
  <c r="I41" i="63"/>
  <c r="E41" i="63"/>
  <c r="D41" i="63"/>
  <c r="F41" i="63" s="1"/>
  <c r="BR40" i="63"/>
  <c r="BN40" i="63"/>
  <c r="BM40" i="63"/>
  <c r="BO40" i="63" s="1"/>
  <c r="BH40" i="63"/>
  <c r="AN40" i="63"/>
  <c r="AM40" i="63"/>
  <c r="Z40" i="63"/>
  <c r="W40" i="63"/>
  <c r="Y40" i="63" s="1"/>
  <c r="I40" i="63"/>
  <c r="F40" i="63"/>
  <c r="E40" i="63"/>
  <c r="BT39" i="63"/>
  <c r="BQ39" i="63"/>
  <c r="BM39" i="63"/>
  <c r="BP39" i="63" s="1"/>
  <c r="BJ39" i="63"/>
  <c r="BH39" i="63"/>
  <c r="BH35" i="63" s="1"/>
  <c r="AX39" i="63"/>
  <c r="AT39" i="63"/>
  <c r="AQ39" i="63"/>
  <c r="AN39" i="63"/>
  <c r="AM39" i="63"/>
  <c r="Z39" i="63"/>
  <c r="W39" i="63"/>
  <c r="Y39" i="63" s="1"/>
  <c r="Y35" i="63" s="1"/>
  <c r="Y32" i="63" s="1"/>
  <c r="L39" i="63"/>
  <c r="M39" i="63" s="1"/>
  <c r="BT38" i="63"/>
  <c r="BR38" i="63"/>
  <c r="BQ38" i="63"/>
  <c r="BP38" i="63"/>
  <c r="BN38" i="63"/>
  <c r="BO38" i="63" s="1"/>
  <c r="BM38" i="63"/>
  <c r="BJ38" i="63"/>
  <c r="BH38" i="63"/>
  <c r="AX38" i="63"/>
  <c r="AT38" i="63"/>
  <c r="AQ38" i="63"/>
  <c r="AM38" i="63"/>
  <c r="AN38" i="63" s="1"/>
  <c r="AC38" i="63"/>
  <c r="Z38" i="63"/>
  <c r="W38" i="63"/>
  <c r="Y38" i="63" s="1"/>
  <c r="R38" i="63"/>
  <c r="S38" i="63" s="1"/>
  <c r="L38" i="63"/>
  <c r="M38" i="63" s="1"/>
  <c r="H38" i="63"/>
  <c r="I38" i="63" s="1"/>
  <c r="BT37" i="63"/>
  <c r="BR37" i="63"/>
  <c r="BP37" i="63"/>
  <c r="BN37" i="63"/>
  <c r="BM37" i="63"/>
  <c r="BO37" i="63" s="1"/>
  <c r="BJ37" i="63"/>
  <c r="BH37" i="63"/>
  <c r="AX37" i="63"/>
  <c r="AT37" i="63"/>
  <c r="AQ37" i="63"/>
  <c r="AN37" i="63"/>
  <c r="AM37" i="63"/>
  <c r="AC37" i="63"/>
  <c r="X37" i="63"/>
  <c r="X35" i="63" s="1"/>
  <c r="X32" i="63" s="1"/>
  <c r="W37" i="63"/>
  <c r="R37" i="63"/>
  <c r="S37" i="63" s="1"/>
  <c r="O37" i="63"/>
  <c r="P37" i="63" s="1"/>
  <c r="L37" i="63"/>
  <c r="M37" i="63" s="1"/>
  <c r="BR36" i="63"/>
  <c r="BN36" i="63"/>
  <c r="BM36" i="63"/>
  <c r="BO36" i="63" s="1"/>
  <c r="BH36" i="63"/>
  <c r="AN36" i="63"/>
  <c r="AM36" i="63"/>
  <c r="Z36" i="63"/>
  <c r="W36" i="63"/>
  <c r="Y36" i="63" s="1"/>
  <c r="I36" i="63"/>
  <c r="F36" i="63"/>
  <c r="E36" i="63"/>
  <c r="BT35" i="63"/>
  <c r="BT32" i="63" s="1"/>
  <c r="BS35" i="63"/>
  <c r="BP35" i="63"/>
  <c r="BM35" i="63"/>
  <c r="BJ35" i="63"/>
  <c r="BI35" i="63"/>
  <c r="BG35" i="63"/>
  <c r="BG32" i="63" s="1"/>
  <c r="AX35" i="63"/>
  <c r="AW35" i="63"/>
  <c r="AU35" i="63"/>
  <c r="AS35" i="63"/>
  <c r="AT35" i="63" s="1"/>
  <c r="AR35" i="63"/>
  <c r="AQ35" i="63"/>
  <c r="AP35" i="63"/>
  <c r="AO35" i="63"/>
  <c r="AK35" i="63"/>
  <c r="AJ35" i="63"/>
  <c r="AB35" i="63"/>
  <c r="AC35" i="63" s="1"/>
  <c r="W35" i="63"/>
  <c r="V35" i="63"/>
  <c r="V32" i="63" s="1"/>
  <c r="T35" i="63"/>
  <c r="T32" i="63" s="1"/>
  <c r="O35" i="63"/>
  <c r="P35" i="63" s="1"/>
  <c r="J35" i="63"/>
  <c r="J32" i="63" s="1"/>
  <c r="D35" i="63"/>
  <c r="BR34" i="63"/>
  <c r="BN34" i="63"/>
  <c r="BO34" i="63" s="1"/>
  <c r="BM34" i="63"/>
  <c r="BH34" i="63"/>
  <c r="AP34" i="63"/>
  <c r="AM34" i="63" s="1"/>
  <c r="E34" i="63" s="1"/>
  <c r="AN34" i="63"/>
  <c r="W34" i="63"/>
  <c r="Y34" i="63" s="1"/>
  <c r="I34" i="63"/>
  <c r="F34" i="63"/>
  <c r="BR33" i="63"/>
  <c r="BQ33" i="63"/>
  <c r="BN33" i="63"/>
  <c r="BO33" i="63" s="1"/>
  <c r="BM33" i="63"/>
  <c r="BH33" i="63"/>
  <c r="BH32" i="63" s="1"/>
  <c r="AU33" i="63"/>
  <c r="AP33" i="63"/>
  <c r="AP32" i="63" s="1"/>
  <c r="AQ32" i="63" s="1"/>
  <c r="AK33" i="63"/>
  <c r="AK32" i="63" s="1"/>
  <c r="AK22" i="63" s="1"/>
  <c r="AK77" i="63" s="1"/>
  <c r="AJ33" i="63"/>
  <c r="Y33" i="63"/>
  <c r="X33" i="63"/>
  <c r="W33" i="63"/>
  <c r="V33" i="63"/>
  <c r="I33" i="63"/>
  <c r="G33" i="63"/>
  <c r="BS32" i="63"/>
  <c r="BM32" i="63"/>
  <c r="BJ32" i="63"/>
  <c r="BI32" i="63"/>
  <c r="AX32" i="63"/>
  <c r="AW32" i="63"/>
  <c r="AU32" i="63"/>
  <c r="AR32" i="63"/>
  <c r="AO32" i="63"/>
  <c r="AJ32" i="63"/>
  <c r="W32" i="63"/>
  <c r="D32" i="63"/>
  <c r="BR31" i="63"/>
  <c r="BN31" i="63"/>
  <c r="BM31" i="63"/>
  <c r="BO31" i="63" s="1"/>
  <c r="BH31" i="63"/>
  <c r="AN31" i="63"/>
  <c r="AM31" i="63"/>
  <c r="Z31" i="63"/>
  <c r="W31" i="63"/>
  <c r="Y31" i="63" s="1"/>
  <c r="I31" i="63"/>
  <c r="F31" i="63"/>
  <c r="E31" i="63"/>
  <c r="BR30" i="63"/>
  <c r="BN30" i="63"/>
  <c r="BM30" i="63"/>
  <c r="BO30" i="63" s="1"/>
  <c r="BH30" i="63"/>
  <c r="AM30" i="63"/>
  <c r="AN30" i="63" s="1"/>
  <c r="Z30" i="63"/>
  <c r="Y30" i="63"/>
  <c r="W30" i="63"/>
  <c r="I30" i="63"/>
  <c r="E30" i="63"/>
  <c r="F30" i="63" s="1"/>
  <c r="BR29" i="63"/>
  <c r="BN29" i="63"/>
  <c r="BM29" i="63"/>
  <c r="BO29" i="63" s="1"/>
  <c r="BH29" i="63"/>
  <c r="AN29" i="63"/>
  <c r="AM29" i="63"/>
  <c r="Z29" i="63"/>
  <c r="W29" i="63"/>
  <c r="Y29" i="63" s="1"/>
  <c r="I29" i="63"/>
  <c r="F29" i="63"/>
  <c r="E29" i="63"/>
  <c r="BR28" i="63"/>
  <c r="BO28" i="63"/>
  <c r="BN28" i="63"/>
  <c r="BM28" i="63"/>
  <c r="BH28" i="63"/>
  <c r="AU28" i="63"/>
  <c r="AN28" i="63"/>
  <c r="AM28" i="63"/>
  <c r="AJ28" i="63"/>
  <c r="Z28" i="63"/>
  <c r="Y28" i="63"/>
  <c r="W28" i="63"/>
  <c r="G28" i="63"/>
  <c r="I28" i="63" s="1"/>
  <c r="F28" i="63"/>
  <c r="E28" i="63"/>
  <c r="BT27" i="63"/>
  <c r="BR27" i="63"/>
  <c r="BN27" i="63"/>
  <c r="BM27" i="63"/>
  <c r="BP27" i="63" s="1"/>
  <c r="BJ27" i="63"/>
  <c r="BH27" i="63"/>
  <c r="AX27" i="63"/>
  <c r="AT27" i="63"/>
  <c r="AQ27" i="63"/>
  <c r="AM27" i="63"/>
  <c r="AN27" i="63" s="1"/>
  <c r="P27" i="63"/>
  <c r="O27" i="63"/>
  <c r="L27" i="63"/>
  <c r="M27" i="63" s="1"/>
  <c r="H27" i="63"/>
  <c r="E27" i="63" s="1"/>
  <c r="F27" i="63" s="1"/>
  <c r="BT26" i="63"/>
  <c r="BR26" i="63"/>
  <c r="BQ26" i="63"/>
  <c r="BP26" i="63"/>
  <c r="BO26" i="63"/>
  <c r="BN26" i="63"/>
  <c r="BM26" i="63"/>
  <c r="BJ26" i="63"/>
  <c r="AX26" i="63"/>
  <c r="AT26" i="63"/>
  <c r="AP26" i="63"/>
  <c r="AM26" i="63" s="1"/>
  <c r="AN26" i="63" s="1"/>
  <c r="AI26" i="63"/>
  <c r="AE26" i="63"/>
  <c r="R26" i="63" s="1"/>
  <c r="AC26" i="63"/>
  <c r="X26" i="63"/>
  <c r="W26" i="63"/>
  <c r="S26" i="63"/>
  <c r="O26" i="63"/>
  <c r="BT25" i="63"/>
  <c r="BR25" i="63"/>
  <c r="BN25" i="63"/>
  <c r="BO25" i="63" s="1"/>
  <c r="BM25" i="63"/>
  <c r="BP25" i="63" s="1"/>
  <c r="BJ25" i="63"/>
  <c r="AX25" i="63"/>
  <c r="AT25" i="63"/>
  <c r="AP25" i="63"/>
  <c r="AQ25" i="63" s="1"/>
  <c r="AI25" i="63"/>
  <c r="AF25" i="63"/>
  <c r="AE25" i="63"/>
  <c r="AC25" i="63"/>
  <c r="X25" i="63"/>
  <c r="W25" i="63"/>
  <c r="R25" i="63"/>
  <c r="S25" i="63" s="1"/>
  <c r="O25" i="63"/>
  <c r="M25" i="63"/>
  <c r="L25" i="63"/>
  <c r="J25" i="63"/>
  <c r="H25" i="63"/>
  <c r="I25" i="63" s="1"/>
  <c r="BN24" i="63"/>
  <c r="BM24" i="63"/>
  <c r="BO24" i="63" s="1"/>
  <c r="AM24" i="63"/>
  <c r="AN24" i="63" s="1"/>
  <c r="Z24" i="63"/>
  <c r="Y24" i="63"/>
  <c r="W24" i="63"/>
  <c r="I24" i="63"/>
  <c r="F24" i="63"/>
  <c r="E24" i="63"/>
  <c r="BS23" i="63"/>
  <c r="BN23" i="63" s="1"/>
  <c r="BQ23" i="63"/>
  <c r="BM23" i="63"/>
  <c r="BI23" i="63"/>
  <c r="BI22" i="63" s="1"/>
  <c r="BI75" i="63" s="1"/>
  <c r="BG23" i="63"/>
  <c r="BG22" i="63" s="1"/>
  <c r="BG75" i="63" s="1"/>
  <c r="AW23" i="63"/>
  <c r="AU23" i="63"/>
  <c r="AU22" i="63" s="1"/>
  <c r="AS23" i="63"/>
  <c r="AR23" i="63"/>
  <c r="AT23" i="63" s="1"/>
  <c r="AO23" i="63"/>
  <c r="AK23" i="63"/>
  <c r="AJ23" i="63"/>
  <c r="AH23" i="63"/>
  <c r="AH22" i="63" s="1"/>
  <c r="AI22" i="63" s="1"/>
  <c r="AC23" i="63"/>
  <c r="AB23" i="63"/>
  <c r="Z23" i="63"/>
  <c r="Y23" i="63"/>
  <c r="X23" i="63"/>
  <c r="X22" i="63" s="1"/>
  <c r="X77" i="63" s="1"/>
  <c r="V23" i="63"/>
  <c r="W23" i="63" s="1"/>
  <c r="T23" i="63"/>
  <c r="G23" i="63"/>
  <c r="D23" i="63"/>
  <c r="BM22" i="63"/>
  <c r="AJ22" i="63"/>
  <c r="V22" i="63"/>
  <c r="U22" i="63"/>
  <c r="G22" i="63"/>
  <c r="G77" i="63" s="1"/>
  <c r="AX21" i="63"/>
  <c r="AT21" i="63"/>
  <c r="AM21" i="63"/>
  <c r="AN21" i="63" s="1"/>
  <c r="Z21" i="63"/>
  <c r="Y21" i="63"/>
  <c r="W21" i="63"/>
  <c r="I21" i="63"/>
  <c r="F21" i="63"/>
  <c r="E21" i="63"/>
  <c r="D21" i="63"/>
  <c r="AX20" i="63"/>
  <c r="AT20" i="63"/>
  <c r="AQ20" i="63"/>
  <c r="AP20" i="63"/>
  <c r="AM20" i="63"/>
  <c r="E20" i="63" s="1"/>
  <c r="F20" i="63" s="1"/>
  <c r="Z20" i="63"/>
  <c r="Y20" i="63"/>
  <c r="I20" i="63"/>
  <c r="AM19" i="63"/>
  <c r="AN19" i="63" s="1"/>
  <c r="AI19" i="63"/>
  <c r="Y19" i="63"/>
  <c r="I19" i="63"/>
  <c r="AN18" i="63"/>
  <c r="AM18" i="63"/>
  <c r="Z18" i="63"/>
  <c r="W18" i="63"/>
  <c r="Y18" i="63" s="1"/>
  <c r="I18" i="63"/>
  <c r="F18" i="63"/>
  <c r="E18" i="63"/>
  <c r="AN17" i="63"/>
  <c r="AM17" i="63"/>
  <c r="Z17" i="63"/>
  <c r="W17" i="63"/>
  <c r="Y17" i="63" s="1"/>
  <c r="I17" i="63"/>
  <c r="F17" i="63"/>
  <c r="E17" i="63"/>
  <c r="AP16" i="63"/>
  <c r="AQ16" i="63" s="1"/>
  <c r="AN16" i="63"/>
  <c r="AM16" i="63"/>
  <c r="Y16" i="63"/>
  <c r="W16" i="63"/>
  <c r="Z16" i="63" s="1"/>
  <c r="I16" i="63"/>
  <c r="E16" i="63"/>
  <c r="F16" i="63" s="1"/>
  <c r="BQ15" i="63"/>
  <c r="AN15" i="63"/>
  <c r="AM15" i="63"/>
  <c r="Z15" i="63"/>
  <c r="Y15" i="63"/>
  <c r="W15" i="63"/>
  <c r="I15" i="63"/>
  <c r="E15" i="63"/>
  <c r="F15" i="63" s="1"/>
  <c r="BQ14" i="63"/>
  <c r="AX14" i="63"/>
  <c r="AT14" i="63"/>
  <c r="AQ14" i="63"/>
  <c r="AP14" i="63"/>
  <c r="AM14" i="63"/>
  <c r="Z14" i="63"/>
  <c r="Y14" i="63"/>
  <c r="W14" i="63"/>
  <c r="P14" i="63"/>
  <c r="O14" i="63"/>
  <c r="M14" i="63"/>
  <c r="L14" i="63"/>
  <c r="J14" i="63"/>
  <c r="I14" i="63"/>
  <c r="BQ13" i="63"/>
  <c r="AX13" i="63"/>
  <c r="AW13" i="63"/>
  <c r="AS13" i="63"/>
  <c r="AP13" i="63"/>
  <c r="AM13" i="63" s="1"/>
  <c r="AK13" i="63"/>
  <c r="W13" i="63"/>
  <c r="Y13" i="63" s="1"/>
  <c r="O13" i="63"/>
  <c r="P13" i="63" s="1"/>
  <c r="J13" i="63"/>
  <c r="J10" i="63" s="1"/>
  <c r="I13" i="63"/>
  <c r="H13" i="63"/>
  <c r="BA12" i="63"/>
  <c r="AN12" i="63"/>
  <c r="Z12" i="63"/>
  <c r="Y12" i="63"/>
  <c r="W12" i="63"/>
  <c r="E12" i="63"/>
  <c r="F12" i="63" s="1"/>
  <c r="AN11" i="63"/>
  <c r="Z11" i="63"/>
  <c r="Y11" i="63"/>
  <c r="W11" i="63"/>
  <c r="F11" i="63"/>
  <c r="E11" i="63"/>
  <c r="BW10" i="63"/>
  <c r="BS10" i="63"/>
  <c r="BU11" i="63" s="1"/>
  <c r="BP10" i="63"/>
  <c r="BM10" i="63"/>
  <c r="BO10" i="63" s="1"/>
  <c r="BI10" i="63"/>
  <c r="BJ10" i="63" s="1"/>
  <c r="AW10" i="63"/>
  <c r="AX10" i="63" s="1"/>
  <c r="AR10" i="63"/>
  <c r="BB12" i="63" s="1"/>
  <c r="AP10" i="63"/>
  <c r="AK10" i="63"/>
  <c r="AI10" i="63"/>
  <c r="AH10" i="63"/>
  <c r="Z10" i="63"/>
  <c r="Y10" i="63"/>
  <c r="X10" i="63"/>
  <c r="T10" i="63"/>
  <c r="I10" i="63"/>
  <c r="H10" i="63"/>
  <c r="G10" i="63"/>
  <c r="D10" i="63"/>
  <c r="N4" i="63"/>
  <c r="M4" i="63"/>
  <c r="R3" i="63"/>
  <c r="Q3" i="63"/>
  <c r="H3" i="63"/>
  <c r="AU77" i="63" l="1"/>
  <c r="AU78" i="63" s="1"/>
  <c r="AU79" i="63" s="1"/>
  <c r="AU75" i="63"/>
  <c r="BO23" i="63"/>
  <c r="X78" i="63"/>
  <c r="X79" i="63" s="1"/>
  <c r="T22" i="63"/>
  <c r="T77" i="63" s="1"/>
  <c r="S53" i="63"/>
  <c r="E53" i="63"/>
  <c r="F53" i="63" s="1"/>
  <c r="AN13" i="63"/>
  <c r="E13" i="63"/>
  <c r="F13" i="63" s="1"/>
  <c r="S56" i="63"/>
  <c r="E56" i="63"/>
  <c r="F56" i="63" s="1"/>
  <c r="BQ11" i="63"/>
  <c r="BQ16" i="63" s="1"/>
  <c r="AJ77" i="63"/>
  <c r="AJ78" i="63" s="1"/>
  <c r="AJ79" i="63" s="1"/>
  <c r="AJ75" i="63"/>
  <c r="BO49" i="63"/>
  <c r="I58" i="63"/>
  <c r="O10" i="63"/>
  <c r="AQ10" i="63"/>
  <c r="L13" i="63"/>
  <c r="M13" i="63" s="1"/>
  <c r="Z13" i="63"/>
  <c r="AQ13" i="63"/>
  <c r="AN20" i="63"/>
  <c r="BM74" i="63"/>
  <c r="BS22" i="63"/>
  <c r="BS75" i="63" s="1"/>
  <c r="AP23" i="63"/>
  <c r="P25" i="63"/>
  <c r="O23" i="63"/>
  <c r="BP23" i="63"/>
  <c r="BT75" i="63"/>
  <c r="BT23" i="63"/>
  <c r="BT22" i="63" s="1"/>
  <c r="P26" i="63"/>
  <c r="I27" i="63"/>
  <c r="AB32" i="63"/>
  <c r="AC32" i="63" s="1"/>
  <c r="AS32" i="63"/>
  <c r="BP34" i="63"/>
  <c r="BP33" i="63" s="1"/>
  <c r="BP32" i="63" s="1"/>
  <c r="R35" i="63"/>
  <c r="AM35" i="63"/>
  <c r="AN35" i="63" s="1"/>
  <c r="H37" i="63"/>
  <c r="E38" i="63"/>
  <c r="F38" i="63" s="1"/>
  <c r="H39" i="63"/>
  <c r="BO39" i="63"/>
  <c r="Z41" i="63"/>
  <c r="Z22" i="63" s="1"/>
  <c r="Z42" i="63"/>
  <c r="BR49" i="63"/>
  <c r="BR44" i="63" s="1"/>
  <c r="BN49" i="63"/>
  <c r="BP49" i="63" s="1"/>
  <c r="BO50" i="63"/>
  <c r="E51" i="63"/>
  <c r="F51" i="63" s="1"/>
  <c r="BO58" i="63"/>
  <c r="E62" i="63"/>
  <c r="F62" i="63" s="1"/>
  <c r="I62" i="63"/>
  <c r="AN14" i="63"/>
  <c r="E14" i="63"/>
  <c r="F14" i="63" s="1"/>
  <c r="W22" i="63"/>
  <c r="E25" i="63"/>
  <c r="F25" i="63" s="1"/>
  <c r="AM25" i="63"/>
  <c r="AN25" i="63" s="1"/>
  <c r="BH26" i="63"/>
  <c r="O32" i="63"/>
  <c r="P32" i="63" s="1"/>
  <c r="Z35" i="63"/>
  <c r="BQ35" i="63"/>
  <c r="BR39" i="63"/>
  <c r="BR35" i="63" s="1"/>
  <c r="BR32" i="63" s="1"/>
  <c r="BR75" i="63" s="1"/>
  <c r="BN39" i="63"/>
  <c r="AM47" i="63"/>
  <c r="AN47" i="63" s="1"/>
  <c r="AQ47" i="63"/>
  <c r="Z44" i="63"/>
  <c r="Y48" i="63"/>
  <c r="Y44" i="63" s="1"/>
  <c r="Y22" i="63" s="1"/>
  <c r="E57" i="63"/>
  <c r="F57" i="63" s="1"/>
  <c r="Y72" i="63"/>
  <c r="Z72" i="63"/>
  <c r="T75" i="63"/>
  <c r="T87" i="63" s="1"/>
  <c r="X75" i="63"/>
  <c r="V82" i="63"/>
  <c r="AK75" i="63"/>
  <c r="AK78" i="63" s="1"/>
  <c r="AK79" i="63" s="1"/>
  <c r="BR10" i="63"/>
  <c r="AT13" i="63"/>
  <c r="AS10" i="63"/>
  <c r="AM10" i="63"/>
  <c r="U75" i="63"/>
  <c r="U77" i="63"/>
  <c r="U78" i="63" s="1"/>
  <c r="U79" i="63" s="1"/>
  <c r="D22" i="63"/>
  <c r="D75" i="63" s="1"/>
  <c r="R23" i="63"/>
  <c r="AI23" i="63"/>
  <c r="AR22" i="63"/>
  <c r="AX23" i="63"/>
  <c r="AW22" i="63"/>
  <c r="BR23" i="63"/>
  <c r="AE23" i="63"/>
  <c r="BH25" i="63"/>
  <c r="AF26" i="63"/>
  <c r="AQ26" i="63"/>
  <c r="BJ23" i="63"/>
  <c r="BJ22" i="63" s="1"/>
  <c r="BO27" i="63"/>
  <c r="Z33" i="63"/>
  <c r="Z32" i="63" s="1"/>
  <c r="AM33" i="63"/>
  <c r="Z34" i="63"/>
  <c r="L35" i="63"/>
  <c r="AP44" i="63"/>
  <c r="BH44" i="63"/>
  <c r="E47" i="63"/>
  <c r="F47" i="63" s="1"/>
  <c r="O44" i="63"/>
  <c r="P44" i="63" s="1"/>
  <c r="BJ44" i="63"/>
  <c r="BO48" i="63"/>
  <c r="S52" i="63"/>
  <c r="E52" i="63"/>
  <c r="F52" i="63" s="1"/>
  <c r="E55" i="63"/>
  <c r="F55" i="63" s="1"/>
  <c r="AN55" i="63"/>
  <c r="R58" i="63"/>
  <c r="T44" i="63"/>
  <c r="G75" i="63"/>
  <c r="G78" i="63" s="1"/>
  <c r="G79" i="63" s="1"/>
  <c r="BJ75" i="63"/>
  <c r="H60" i="63"/>
  <c r="H65" i="63"/>
  <c r="BO70" i="63"/>
  <c r="X108" i="63"/>
  <c r="AE108" i="63" s="1"/>
  <c r="X102" i="63"/>
  <c r="BR65" i="63"/>
  <c r="BN65" i="63"/>
  <c r="BP65" i="63" s="1"/>
  <c r="BP44" i="63" s="1"/>
  <c r="N79" i="63"/>
  <c r="N75" i="63"/>
  <c r="N78" i="63" s="1"/>
  <c r="AA75" i="63"/>
  <c r="AA78" i="63" s="1"/>
  <c r="AA79" i="63" s="1"/>
  <c r="I93" i="63"/>
  <c r="BO62" i="63"/>
  <c r="Z66" i="63"/>
  <c r="Z70" i="63"/>
  <c r="R110" i="63"/>
  <c r="M99" i="63"/>
  <c r="N101" i="63"/>
  <c r="AB102" i="63"/>
  <c r="X104" i="63"/>
  <c r="AA10" i="53"/>
  <c r="AA8" i="53" s="1"/>
  <c r="AA12" i="53"/>
  <c r="Y77" i="63" l="1"/>
  <c r="Y78" i="63" s="1"/>
  <c r="Y79" i="63" s="1"/>
  <c r="Y75" i="63"/>
  <c r="Z77" i="63"/>
  <c r="Z75" i="63"/>
  <c r="AN33" i="63"/>
  <c r="E33" i="63"/>
  <c r="F33" i="63" s="1"/>
  <c r="BR22" i="63"/>
  <c r="AP22" i="63"/>
  <c r="AQ23" i="63"/>
  <c r="AM23" i="63"/>
  <c r="AN23" i="63" s="1"/>
  <c r="AM44" i="63"/>
  <c r="AN44" i="63" s="1"/>
  <c r="AQ44" i="63"/>
  <c r="AW74" i="63"/>
  <c r="AW75" i="63" s="1"/>
  <c r="AX22" i="63"/>
  <c r="AX74" i="63" s="1"/>
  <c r="AB22" i="63"/>
  <c r="BT10" i="63"/>
  <c r="AT10" i="63"/>
  <c r="BQ32" i="63"/>
  <c r="BN35" i="63"/>
  <c r="BO35" i="63" s="1"/>
  <c r="I39" i="63"/>
  <c r="E39" i="63"/>
  <c r="F39" i="63" s="1"/>
  <c r="S35" i="63"/>
  <c r="R32" i="63"/>
  <c r="S32" i="63" s="1"/>
  <c r="BP22" i="63"/>
  <c r="O3" i="63"/>
  <c r="P10" i="63"/>
  <c r="BO65" i="63"/>
  <c r="AE102" i="63"/>
  <c r="I65" i="63"/>
  <c r="E65" i="63"/>
  <c r="F65" i="63" s="1"/>
  <c r="M35" i="63"/>
  <c r="L32" i="63"/>
  <c r="BH75" i="63"/>
  <c r="BH23" i="63"/>
  <c r="BH22" i="63" s="1"/>
  <c r="S23" i="63"/>
  <c r="R22" i="63"/>
  <c r="O22" i="63"/>
  <c r="P23" i="63"/>
  <c r="L10" i="63"/>
  <c r="E60" i="63"/>
  <c r="F60" i="63" s="1"/>
  <c r="H44" i="63"/>
  <c r="I60" i="63"/>
  <c r="S58" i="63"/>
  <c r="R44" i="63"/>
  <c r="S44" i="63" s="1"/>
  <c r="AF23" i="63"/>
  <c r="AE22" i="63"/>
  <c r="AR86" i="63"/>
  <c r="AR77" i="63"/>
  <c r="AR78" i="63" s="1"/>
  <c r="AR74" i="63"/>
  <c r="D87" i="63"/>
  <c r="D77" i="63"/>
  <c r="D78" i="63" s="1"/>
  <c r="D79" i="63" s="1"/>
  <c r="AN10" i="63"/>
  <c r="I37" i="63"/>
  <c r="H35" i="63"/>
  <c r="E37" i="63"/>
  <c r="F37" i="63" s="1"/>
  <c r="AT32" i="63"/>
  <c r="AM32" i="63"/>
  <c r="AN32" i="63" s="1"/>
  <c r="AS22" i="63"/>
  <c r="E58" i="63"/>
  <c r="F58" i="63" s="1"/>
  <c r="T78" i="63"/>
  <c r="T79" i="63" s="1"/>
  <c r="U74" i="49"/>
  <c r="M32" i="63" l="1"/>
  <c r="AR79" i="63"/>
  <c r="BT74" i="63"/>
  <c r="AE19" i="63"/>
  <c r="AF22" i="63"/>
  <c r="S22" i="63"/>
  <c r="I44" i="63"/>
  <c r="E44" i="63"/>
  <c r="O4" i="63"/>
  <c r="M10" i="63"/>
  <c r="BQ22" i="63"/>
  <c r="BN32" i="63"/>
  <c r="BO32" i="63" s="1"/>
  <c r="AC22" i="63"/>
  <c r="AB19" i="63"/>
  <c r="AP74" i="63"/>
  <c r="AP86" i="63"/>
  <c r="AP77" i="63"/>
  <c r="AM22" i="63"/>
  <c r="AQ22" i="63"/>
  <c r="BA22" i="63"/>
  <c r="AS77" i="63"/>
  <c r="AS86" i="63"/>
  <c r="AS74" i="63"/>
  <c r="AT22" i="63"/>
  <c r="E35" i="63"/>
  <c r="F35" i="63" s="1"/>
  <c r="H32" i="63"/>
  <c r="I35" i="63"/>
  <c r="BP74" i="63"/>
  <c r="BP99" i="63" s="1"/>
  <c r="BP21" i="63"/>
  <c r="Z78" i="63"/>
  <c r="Z79" i="63" s="1"/>
  <c r="O77" i="63"/>
  <c r="O74" i="63"/>
  <c r="P22" i="63"/>
  <c r="P77" i="63" s="1"/>
  <c r="P78" i="63" s="1"/>
  <c r="P79" i="63" s="1"/>
  <c r="I4" i="62"/>
  <c r="AP78" i="63" l="1"/>
  <c r="BQ75" i="63"/>
  <c r="BQ100" i="63" s="1"/>
  <c r="BN22" i="63"/>
  <c r="E96" i="63"/>
  <c r="F44" i="63"/>
  <c r="O75" i="63"/>
  <c r="O78" i="63" s="1"/>
  <c r="O79" i="63" s="1"/>
  <c r="AT74" i="63"/>
  <c r="AT77" i="63"/>
  <c r="AT78" i="63" s="1"/>
  <c r="AS99" i="63"/>
  <c r="AS75" i="63"/>
  <c r="AS78" i="63" s="1"/>
  <c r="AS79" i="63" s="1"/>
  <c r="AQ77" i="63"/>
  <c r="AQ74" i="63"/>
  <c r="AP81" i="63"/>
  <c r="AP79" i="63"/>
  <c r="AP75" i="63"/>
  <c r="E32" i="63"/>
  <c r="F32" i="63" s="1"/>
  <c r="I32" i="63"/>
  <c r="AM77" i="63"/>
  <c r="AM74" i="63"/>
  <c r="AM86" i="63"/>
  <c r="AN22" i="63"/>
  <c r="AB10" i="63"/>
  <c r="AC19" i="63"/>
  <c r="V19" i="63"/>
  <c r="AE10" i="63"/>
  <c r="AF19" i="63"/>
  <c r="AB75" i="63" l="1"/>
  <c r="AC10" i="63"/>
  <c r="AB74" i="63"/>
  <c r="AB77" i="63"/>
  <c r="AM78" i="63"/>
  <c r="BN74" i="63"/>
  <c r="BO22" i="63"/>
  <c r="AN77" i="63"/>
  <c r="AN74" i="63"/>
  <c r="W19" i="63"/>
  <c r="R19" i="63"/>
  <c r="V10" i="63"/>
  <c r="AQ75" i="63"/>
  <c r="AQ78" i="63" s="1"/>
  <c r="AQ79" i="63" s="1"/>
  <c r="AF10" i="63"/>
  <c r="BH10" i="63" s="1"/>
  <c r="AE74" i="63"/>
  <c r="AE75" i="63" s="1"/>
  <c r="AF75" i="63" s="1"/>
  <c r="AM79" i="63"/>
  <c r="AM75" i="63"/>
  <c r="AT79" i="63"/>
  <c r="AC75" i="63" l="1"/>
  <c r="AC77" i="63"/>
  <c r="AC78" i="63" s="1"/>
  <c r="AC74" i="63"/>
  <c r="AN75" i="63"/>
  <c r="AN78" i="63" s="1"/>
  <c r="AN79" i="63" s="1"/>
  <c r="V74" i="63"/>
  <c r="U112" i="63"/>
  <c r="W10" i="63"/>
  <c r="W77" i="63" s="1"/>
  <c r="V75" i="63"/>
  <c r="W75" i="63" s="1"/>
  <c r="V77" i="63"/>
  <c r="AB78" i="63"/>
  <c r="AB79" i="63" s="1"/>
  <c r="R10" i="63"/>
  <c r="S19" i="63"/>
  <c r="E19" i="63"/>
  <c r="F19" i="63" s="1"/>
  <c r="R75" i="63" l="1"/>
  <c r="S10" i="63"/>
  <c r="E10" i="63"/>
  <c r="R77" i="63"/>
  <c r="R78" i="63" s="1"/>
  <c r="R79" i="63" s="1"/>
  <c r="W78" i="63"/>
  <c r="V78" i="63"/>
  <c r="V79" i="63" s="1"/>
  <c r="W74" i="63"/>
  <c r="AC79" i="63"/>
  <c r="W79" i="63" l="1"/>
  <c r="W98" i="63"/>
  <c r="F10" i="63"/>
  <c r="S75" i="63"/>
  <c r="S77" i="63"/>
  <c r="S78" i="63" s="1"/>
  <c r="S79" i="63" s="1"/>
  <c r="T66" i="27"/>
  <c r="T63" i="27"/>
  <c r="T59" i="27"/>
  <c r="R63" i="27" l="1"/>
  <c r="R64" i="27"/>
  <c r="R65" i="27"/>
  <c r="R66" i="27"/>
  <c r="R53" i="27"/>
  <c r="R54" i="27"/>
  <c r="R55" i="27"/>
  <c r="R56" i="27"/>
  <c r="R57" i="27"/>
  <c r="R58" i="27"/>
  <c r="R59" i="27"/>
  <c r="R60" i="27"/>
  <c r="R61" i="27"/>
  <c r="R52" i="27"/>
  <c r="R50" i="27"/>
  <c r="R48" i="27"/>
  <c r="R38" i="27"/>
  <c r="R27" i="27"/>
  <c r="R26" i="27"/>
  <c r="T11" i="27" l="1"/>
  <c r="X11" i="27"/>
  <c r="Z11" i="27"/>
  <c r="AR11" i="27"/>
  <c r="BB13" i="27" s="1"/>
  <c r="BI11" i="27"/>
  <c r="BM11" i="27"/>
  <c r="BO11" i="27" s="1"/>
  <c r="BP11" i="27"/>
  <c r="BS11" i="27"/>
  <c r="BW11" i="27"/>
  <c r="W12" i="27"/>
  <c r="Y12" i="27" s="1"/>
  <c r="AN12" i="27"/>
  <c r="W13" i="27"/>
  <c r="Z13" i="27" s="1"/>
  <c r="AN13" i="27"/>
  <c r="BA13" i="27"/>
  <c r="AI51" i="27"/>
  <c r="AI52" i="27"/>
  <c r="AI53" i="27"/>
  <c r="AI54" i="27"/>
  <c r="AI55" i="27"/>
  <c r="Z12" i="27" l="1"/>
  <c r="Y13" i="27"/>
  <c r="BU12" i="27"/>
  <c r="AR66" i="27" l="1"/>
  <c r="AR45" i="27" s="1"/>
  <c r="AR36" i="27"/>
  <c r="AR33" i="27" s="1"/>
  <c r="AR24" i="27"/>
  <c r="AR23" i="27" l="1"/>
  <c r="AR75" i="27" s="1"/>
  <c r="BT18" i="60" l="1"/>
  <c r="BT13" i="60"/>
  <c r="BT15" i="60" s="1"/>
  <c r="BT10" i="60"/>
  <c r="BT12" i="60" s="1"/>
  <c r="J37" i="57" l="1"/>
  <c r="J14" i="57"/>
  <c r="AK101" i="27"/>
  <c r="AK102" i="27" l="1"/>
  <c r="AK103" i="27" l="1"/>
  <c r="R71" i="27"/>
  <c r="V71" i="27" l="1"/>
  <c r="AO36" i="27"/>
  <c r="AO33" i="27" s="1"/>
  <c r="AO24" i="27"/>
  <c r="T103" i="27"/>
  <c r="AG75" i="27"/>
  <c r="T62" i="27"/>
  <c r="R62" i="27" s="1"/>
  <c r="AM41" i="27"/>
  <c r="AN41" i="27" s="1"/>
  <c r="AM42" i="27"/>
  <c r="AN42" i="27" s="1"/>
  <c r="AM43" i="27"/>
  <c r="AN43" i="27" s="1"/>
  <c r="AM44" i="27"/>
  <c r="AN44" i="27" s="1"/>
  <c r="AM46" i="27"/>
  <c r="AN46" i="27" s="1"/>
  <c r="AM47" i="27"/>
  <c r="AN47" i="27" s="1"/>
  <c r="AM51" i="27"/>
  <c r="AN51" i="27" s="1"/>
  <c r="AM52" i="27"/>
  <c r="AN52" i="27" s="1"/>
  <c r="AM53" i="27"/>
  <c r="AN53" i="27" s="1"/>
  <c r="AM54" i="27"/>
  <c r="AN54" i="27" s="1"/>
  <c r="AM56" i="27"/>
  <c r="AN56" i="27" s="1"/>
  <c r="AM57" i="27"/>
  <c r="AN57" i="27" s="1"/>
  <c r="AM58" i="27"/>
  <c r="AN58" i="27" s="1"/>
  <c r="AM60" i="27"/>
  <c r="AN60" i="27" s="1"/>
  <c r="AM61" i="27"/>
  <c r="AM62" i="27"/>
  <c r="AN62" i="27" s="1"/>
  <c r="AM63" i="27"/>
  <c r="AM64" i="27"/>
  <c r="AN64" i="27" s="1"/>
  <c r="AM65" i="27"/>
  <c r="AN65" i="27" s="1"/>
  <c r="AM66" i="27"/>
  <c r="AM67" i="27"/>
  <c r="AN67" i="27" s="1"/>
  <c r="AM68" i="27"/>
  <c r="AN68" i="27" s="1"/>
  <c r="AM69" i="27"/>
  <c r="AN69" i="27" s="1"/>
  <c r="AM70" i="27"/>
  <c r="AN70" i="27" s="1"/>
  <c r="AM71" i="27"/>
  <c r="AN71" i="27" s="1"/>
  <c r="AM72" i="27"/>
  <c r="AN72" i="27" s="1"/>
  <c r="AM73" i="27"/>
  <c r="AN73" i="27" s="1"/>
  <c r="AM35" i="27"/>
  <c r="AN35" i="27" s="1"/>
  <c r="AM37" i="27"/>
  <c r="AN37" i="27" s="1"/>
  <c r="AM38" i="27"/>
  <c r="AM39" i="27"/>
  <c r="AM40" i="27"/>
  <c r="AN29" i="27"/>
  <c r="AM29" i="27"/>
  <c r="AM30" i="27"/>
  <c r="AN30" i="27" s="1"/>
  <c r="AM31" i="27"/>
  <c r="AN31" i="27" s="1"/>
  <c r="AM32" i="27"/>
  <c r="AN32" i="27" s="1"/>
  <c r="AM25" i="27"/>
  <c r="AM26" i="27"/>
  <c r="AM27" i="27"/>
  <c r="AM28" i="27"/>
  <c r="AN25" i="27"/>
  <c r="AM21" i="27"/>
  <c r="AM17" i="27"/>
  <c r="AM15" i="27"/>
  <c r="AX66" i="27"/>
  <c r="AX63" i="27"/>
  <c r="AX61" i="27"/>
  <c r="AX59" i="27"/>
  <c r="AX55" i="27"/>
  <c r="AX50" i="27"/>
  <c r="AX49" i="27"/>
  <c r="AX48" i="27"/>
  <c r="AW45" i="27"/>
  <c r="AX45" i="27" s="1"/>
  <c r="AX40" i="27"/>
  <c r="AX39" i="27"/>
  <c r="AX38" i="27"/>
  <c r="AX28" i="27"/>
  <c r="AX27" i="27"/>
  <c r="AX26" i="27"/>
  <c r="AW24" i="27"/>
  <c r="AX22" i="27"/>
  <c r="AX21" i="27"/>
  <c r="AX15" i="27"/>
  <c r="AW14" i="27"/>
  <c r="AW11" i="27" s="1"/>
  <c r="AX11" i="27" s="1"/>
  <c r="AJ11" i="53"/>
  <c r="AJ15" i="53"/>
  <c r="AJ20" i="53"/>
  <c r="AJ21" i="53"/>
  <c r="AJ22" i="53"/>
  <c r="AJ23" i="53"/>
  <c r="AJ26" i="53"/>
  <c r="AJ27" i="53"/>
  <c r="AJ10" i="53"/>
  <c r="AJ6" i="53"/>
  <c r="AA75" i="27"/>
  <c r="AA76" i="27" s="1"/>
  <c r="AN61" i="27" l="1"/>
  <c r="AN40" i="27"/>
  <c r="AN39" i="27"/>
  <c r="AN28" i="27"/>
  <c r="AN27" i="27"/>
  <c r="AN63" i="27"/>
  <c r="AN26" i="27"/>
  <c r="AN66" i="27"/>
  <c r="AW36" i="27"/>
  <c r="AX14" i="27"/>
  <c r="AX24" i="27"/>
  <c r="Y20" i="27"/>
  <c r="Y11" i="27" s="1"/>
  <c r="AH6" i="53"/>
  <c r="AI6" i="53"/>
  <c r="U45" i="27"/>
  <c r="U23" i="27" s="1"/>
  <c r="U76" i="27" s="1"/>
  <c r="AW33" i="27" l="1"/>
  <c r="AX36" i="27"/>
  <c r="AX33" i="27" l="1"/>
  <c r="AW23" i="27"/>
  <c r="AW75" i="27" l="1"/>
  <c r="AW76" i="27" s="1"/>
  <c r="AX23" i="27"/>
  <c r="AX75" i="27" s="1"/>
  <c r="AH2" i="53" l="1"/>
  <c r="D24" i="27" l="1"/>
  <c r="AG10" i="53" l="1"/>
  <c r="X45" i="27" l="1"/>
  <c r="X36" i="27"/>
  <c r="Z24" i="27"/>
  <c r="Y24" i="27"/>
  <c r="X24" i="27"/>
  <c r="AO10" i="52" l="1"/>
  <c r="AA10" i="52"/>
  <c r="D36" i="27" l="1"/>
  <c r="D33" i="27" s="1"/>
  <c r="D11" i="27"/>
  <c r="D45" i="27"/>
  <c r="D23" i="27" l="1"/>
  <c r="D76" i="27" s="1"/>
  <c r="J72" i="57" l="1"/>
  <c r="J68" i="57"/>
  <c r="J62" i="57"/>
  <c r="J43" i="57"/>
  <c r="J35" i="57"/>
  <c r="J34" i="57" s="1"/>
  <c r="J25" i="57"/>
  <c r="J46" i="57" l="1"/>
  <c r="J24" i="57" s="1"/>
  <c r="J77" i="57" s="1"/>
  <c r="N66" i="42" l="1"/>
  <c r="K66" i="42"/>
  <c r="AC27" i="53" l="1"/>
  <c r="J15" i="53"/>
  <c r="J13" i="53" s="1"/>
  <c r="AC10" i="53"/>
  <c r="J20" i="53"/>
  <c r="J21" i="53"/>
  <c r="AC22" i="53"/>
  <c r="J23" i="53"/>
  <c r="J26" i="53"/>
  <c r="J27" i="53"/>
  <c r="D26" i="53"/>
  <c r="J22" i="53" l="1"/>
  <c r="AB101" i="27" l="1"/>
  <c r="AB100" i="27"/>
  <c r="AB103" i="27" l="1"/>
  <c r="AD8" i="53" s="1"/>
  <c r="I141" i="56"/>
  <c r="I142" i="56"/>
  <c r="I144" i="56"/>
  <c r="I152" i="56"/>
  <c r="I165" i="56"/>
  <c r="I168" i="56"/>
  <c r="I169" i="56"/>
  <c r="I170" i="56"/>
  <c r="I171" i="56"/>
  <c r="I172" i="56"/>
  <c r="I173" i="56"/>
  <c r="I174" i="56"/>
  <c r="I175" i="56"/>
  <c r="I176" i="56"/>
  <c r="I177" i="56"/>
  <c r="I178" i="56"/>
  <c r="I179" i="56"/>
  <c r="J70" i="56"/>
  <c r="J71" i="56"/>
  <c r="J72" i="56"/>
  <c r="J73" i="56"/>
  <c r="J74" i="56"/>
  <c r="J75" i="56"/>
  <c r="J76" i="56"/>
  <c r="J77" i="56"/>
  <c r="J78" i="56"/>
  <c r="J79" i="56"/>
  <c r="J80" i="56"/>
  <c r="J81" i="56"/>
  <c r="J82" i="56"/>
  <c r="J83" i="56"/>
  <c r="J84" i="56"/>
  <c r="J85" i="56"/>
  <c r="J86" i="56"/>
  <c r="J87" i="56"/>
  <c r="J88" i="56"/>
  <c r="J89" i="56"/>
  <c r="J90" i="56"/>
  <c r="J91" i="56"/>
  <c r="J92" i="56"/>
  <c r="J93" i="56"/>
  <c r="J94" i="56"/>
  <c r="J95" i="56"/>
  <c r="J96" i="56"/>
  <c r="J97" i="56"/>
  <c r="J98" i="56"/>
  <c r="J99" i="56"/>
  <c r="J100" i="56"/>
  <c r="J101" i="56"/>
  <c r="J102" i="56"/>
  <c r="J103" i="56"/>
  <c r="J104" i="56"/>
  <c r="J105" i="56"/>
  <c r="J106" i="56"/>
  <c r="J107" i="56"/>
  <c r="J108" i="56"/>
  <c r="J109" i="56"/>
  <c r="J110" i="56"/>
  <c r="J111" i="56"/>
  <c r="J112" i="56"/>
  <c r="J113" i="56"/>
  <c r="J114" i="56"/>
  <c r="J115" i="56"/>
  <c r="J116" i="56"/>
  <c r="J117" i="56"/>
  <c r="J118" i="56"/>
  <c r="J119" i="56"/>
  <c r="J120" i="56"/>
  <c r="J121" i="56"/>
  <c r="J122" i="56"/>
  <c r="J123" i="56"/>
  <c r="J124" i="56"/>
  <c r="J125" i="56"/>
  <c r="J126" i="56"/>
  <c r="J127" i="56"/>
  <c r="J128" i="56"/>
  <c r="J129" i="56"/>
  <c r="J130" i="56"/>
  <c r="J131" i="56"/>
  <c r="J132" i="56"/>
  <c r="J133" i="56"/>
  <c r="J69" i="56"/>
  <c r="J57" i="56"/>
  <c r="J58" i="56"/>
  <c r="J59" i="56"/>
  <c r="J60" i="56"/>
  <c r="J61" i="56"/>
  <c r="J62" i="56"/>
  <c r="J63" i="56"/>
  <c r="J64" i="56"/>
  <c r="J65" i="56"/>
  <c r="J66" i="56"/>
  <c r="J56" i="56"/>
  <c r="J53" i="56"/>
  <c r="J54" i="56"/>
  <c r="J52" i="56"/>
  <c r="J48" i="56"/>
  <c r="J49" i="56"/>
  <c r="J50" i="56"/>
  <c r="J47" i="56"/>
  <c r="J45" i="56"/>
  <c r="J38" i="56"/>
  <c r="J39" i="56"/>
  <c r="J37" i="56"/>
  <c r="G29" i="56"/>
  <c r="H29" i="56"/>
  <c r="I29" i="56"/>
  <c r="J28" i="56"/>
  <c r="J25" i="56"/>
  <c r="J24" i="56"/>
  <c r="J22" i="56"/>
  <c r="J18" i="56"/>
  <c r="J13" i="56"/>
  <c r="J14" i="56"/>
  <c r="J12" i="56"/>
  <c r="I143" i="56" l="1"/>
  <c r="J29" i="56"/>
  <c r="J134" i="56"/>
  <c r="I167" i="56"/>
  <c r="I180" i="56" s="1"/>
  <c r="F161" i="56" l="1"/>
  <c r="F159" i="56"/>
  <c r="AM50" i="27" l="1"/>
  <c r="R59" i="42"/>
  <c r="R27" i="42"/>
  <c r="R26" i="42"/>
  <c r="R15" i="42"/>
  <c r="AN50" i="27" l="1"/>
  <c r="AP11" i="27" l="1"/>
  <c r="AN15" i="27"/>
  <c r="AQ11" i="27" l="1"/>
  <c r="BR11" i="27"/>
  <c r="BQ12" i="27"/>
  <c r="AM59" i="27"/>
  <c r="AM55" i="27"/>
  <c r="AM49" i="27"/>
  <c r="AM48" i="27"/>
  <c r="AN55" i="27" l="1"/>
  <c r="AN59" i="27"/>
  <c r="AN49" i="27"/>
  <c r="AN48" i="27"/>
  <c r="K32" i="56" l="1"/>
  <c r="G168" i="56" l="1"/>
  <c r="H168" i="56"/>
  <c r="G169" i="56"/>
  <c r="H169" i="56"/>
  <c r="G170" i="56"/>
  <c r="H170" i="56"/>
  <c r="G171" i="56"/>
  <c r="H171" i="56"/>
  <c r="G173" i="56"/>
  <c r="H173" i="56"/>
  <c r="G174" i="56"/>
  <c r="H174" i="56"/>
  <c r="G175" i="56"/>
  <c r="H175" i="56"/>
  <c r="G176" i="56"/>
  <c r="H176" i="56"/>
  <c r="G177" i="56"/>
  <c r="H177" i="56"/>
  <c r="G178" i="56"/>
  <c r="H178" i="56"/>
  <c r="G179" i="56"/>
  <c r="H179" i="56"/>
  <c r="J157" i="56"/>
  <c r="J171" i="56" s="1"/>
  <c r="G165" i="56"/>
  <c r="H165" i="56"/>
  <c r="J164" i="56"/>
  <c r="J179" i="56" s="1"/>
  <c r="J163" i="56"/>
  <c r="J162" i="56"/>
  <c r="J177" i="56" s="1"/>
  <c r="J160" i="56"/>
  <c r="J175" i="56" s="1"/>
  <c r="J154" i="56"/>
  <c r="J149" i="56"/>
  <c r="J174" i="56" s="1"/>
  <c r="F142" i="56"/>
  <c r="F141" i="56"/>
  <c r="J151" i="56"/>
  <c r="J150" i="56"/>
  <c r="J146" i="56"/>
  <c r="J145" i="56"/>
  <c r="J178" i="56" l="1"/>
  <c r="J168" i="56"/>
  <c r="G144" i="56"/>
  <c r="G152" i="56" s="1"/>
  <c r="H144" i="56"/>
  <c r="H152" i="56" s="1"/>
  <c r="G142" i="56"/>
  <c r="G172" i="56" s="1"/>
  <c r="H142" i="56"/>
  <c r="H172" i="56" s="1"/>
  <c r="G141" i="56"/>
  <c r="H141" i="56"/>
  <c r="E135" i="56"/>
  <c r="E136" i="56" s="1"/>
  <c r="K43" i="56"/>
  <c r="K55" i="56"/>
  <c r="J155" i="56" s="1"/>
  <c r="J169" i="56" s="1"/>
  <c r="K46" i="56"/>
  <c r="K40" i="56"/>
  <c r="K36" i="56"/>
  <c r="K35" i="56"/>
  <c r="K34" i="56"/>
  <c r="K68" i="56"/>
  <c r="K67" i="56"/>
  <c r="J159" i="56" s="1"/>
  <c r="K41" i="56"/>
  <c r="K42" i="56"/>
  <c r="K33" i="56"/>
  <c r="J156" i="56" s="1"/>
  <c r="R3" i="56"/>
  <c r="K3" i="56"/>
  <c r="K5" i="56"/>
  <c r="K6" i="56"/>
  <c r="K7" i="56"/>
  <c r="J7" i="56" s="1"/>
  <c r="J8" i="56" s="1"/>
  <c r="J136" i="56" s="1"/>
  <c r="K26" i="56"/>
  <c r="P26" i="56"/>
  <c r="R26" i="56" s="1"/>
  <c r="K11" i="56"/>
  <c r="K21" i="56"/>
  <c r="K51" i="56"/>
  <c r="Q161" i="56" l="1"/>
  <c r="J153" i="56"/>
  <c r="J161" i="56"/>
  <c r="J176" i="56" s="1"/>
  <c r="Q176" i="56"/>
  <c r="P191" i="56" s="1"/>
  <c r="J142" i="56"/>
  <c r="K142" i="56" s="1"/>
  <c r="J158" i="56"/>
  <c r="J172" i="56" s="1"/>
  <c r="G167" i="56"/>
  <c r="G180" i="56" s="1"/>
  <c r="H143" i="56"/>
  <c r="H167" i="56"/>
  <c r="H180" i="56" s="1"/>
  <c r="G143" i="56"/>
  <c r="K134" i="56"/>
  <c r="J165" i="56" l="1"/>
  <c r="K17" i="56"/>
  <c r="K16" i="56"/>
  <c r="K23" i="56"/>
  <c r="K20" i="56"/>
  <c r="J147" i="56" s="1"/>
  <c r="J170" i="56" s="1"/>
  <c r="K27" i="56"/>
  <c r="K15" i="56"/>
  <c r="K19" i="56"/>
  <c r="K4" i="56"/>
  <c r="F164" i="56"/>
  <c r="F163" i="56"/>
  <c r="K163" i="56" s="1"/>
  <c r="F162" i="56"/>
  <c r="K162" i="56" s="1"/>
  <c r="K161" i="56"/>
  <c r="O161" i="56" s="1"/>
  <c r="F160" i="56"/>
  <c r="F158" i="56"/>
  <c r="F157" i="56"/>
  <c r="K157" i="56" s="1"/>
  <c r="F156" i="56"/>
  <c r="K156" i="56" s="1"/>
  <c r="F155" i="56"/>
  <c r="F154" i="56"/>
  <c r="F153" i="56"/>
  <c r="F151" i="56"/>
  <c r="F150" i="56"/>
  <c r="F149" i="56"/>
  <c r="F148" i="56"/>
  <c r="F147" i="56"/>
  <c r="F146" i="56"/>
  <c r="K146" i="56" s="1"/>
  <c r="F145" i="56"/>
  <c r="K145" i="56" s="1"/>
  <c r="F144" i="56"/>
  <c r="F143" i="56"/>
  <c r="I136" i="56"/>
  <c r="H136" i="56"/>
  <c r="G136" i="56"/>
  <c r="F135" i="56"/>
  <c r="F29" i="56"/>
  <c r="E17" i="56"/>
  <c r="F8" i="56"/>
  <c r="F167" i="56" l="1"/>
  <c r="F136" i="56"/>
  <c r="O157" i="56"/>
  <c r="O171" i="56" s="1"/>
  <c r="F176" i="56"/>
  <c r="K176" i="56" s="1"/>
  <c r="K150" i="56"/>
  <c r="O150" i="56" s="1"/>
  <c r="O176" i="56" s="1"/>
  <c r="F169" i="56"/>
  <c r="K169" i="56" s="1"/>
  <c r="O169" i="56" s="1"/>
  <c r="K155" i="56"/>
  <c r="F175" i="56"/>
  <c r="K175" i="56" s="1"/>
  <c r="O175" i="56" s="1"/>
  <c r="K160" i="56"/>
  <c r="F179" i="56"/>
  <c r="K179" i="56" s="1"/>
  <c r="O179" i="56" s="1"/>
  <c r="K164" i="56"/>
  <c r="F152" i="56"/>
  <c r="F165" i="56"/>
  <c r="K153" i="56"/>
  <c r="F171" i="56"/>
  <c r="K171" i="56" s="1"/>
  <c r="K29" i="56"/>
  <c r="J144" i="56"/>
  <c r="J152" i="56" s="1"/>
  <c r="F174" i="56"/>
  <c r="K174" i="56" s="1"/>
  <c r="O174" i="56" s="1"/>
  <c r="P188" i="56" s="1"/>
  <c r="K149" i="56"/>
  <c r="F168" i="56"/>
  <c r="K168" i="56" s="1"/>
  <c r="O168" i="56" s="1"/>
  <c r="P186" i="56" s="1"/>
  <c r="K154" i="56"/>
  <c r="F172" i="56"/>
  <c r="K172" i="56" s="1"/>
  <c r="O172" i="56" s="1"/>
  <c r="K158" i="56"/>
  <c r="F177" i="56"/>
  <c r="K177" i="56" s="1"/>
  <c r="O177" i="56" s="1"/>
  <c r="J148" i="56"/>
  <c r="J173" i="56" s="1"/>
  <c r="F173" i="56"/>
  <c r="K159" i="56"/>
  <c r="K8" i="56"/>
  <c r="J141" i="56"/>
  <c r="F170" i="56"/>
  <c r="K170" i="56" s="1"/>
  <c r="O170" i="56" s="1"/>
  <c r="P185" i="56" s="1"/>
  <c r="K147" i="56"/>
  <c r="F178" i="56"/>
  <c r="K178" i="56" s="1"/>
  <c r="O178" i="56" s="1"/>
  <c r="K151" i="56"/>
  <c r="Q157" i="56" l="1"/>
  <c r="Q171" i="56" s="1"/>
  <c r="Q180" i="56" s="1"/>
  <c r="P187" i="56"/>
  <c r="K135" i="56"/>
  <c r="K148" i="56"/>
  <c r="F180" i="56"/>
  <c r="K144" i="56"/>
  <c r="J167" i="56"/>
  <c r="K141" i="56"/>
  <c r="K143" i="56" s="1"/>
  <c r="J143" i="56"/>
  <c r="N165" i="56" s="1"/>
  <c r="K173" i="56"/>
  <c r="O173" i="56" s="1"/>
  <c r="P189" i="56" s="1"/>
  <c r="K165" i="56"/>
  <c r="L116" i="27"/>
  <c r="Q58" i="50"/>
  <c r="K167" i="56" l="1"/>
  <c r="J180" i="56"/>
  <c r="K152" i="56"/>
  <c r="L104" i="27"/>
  <c r="N104" i="27" s="1"/>
  <c r="AE26" i="27"/>
  <c r="AE27" i="27" s="1"/>
  <c r="AG20" i="53"/>
  <c r="AF13" i="53"/>
  <c r="AF24" i="53"/>
  <c r="AF18" i="53" s="1"/>
  <c r="AF8" i="53"/>
  <c r="AG5" i="53"/>
  <c r="AG27" i="53" s="1"/>
  <c r="AG26" i="53" l="1"/>
  <c r="AG21" i="53"/>
  <c r="AG24" i="53"/>
  <c r="AG11" i="53"/>
  <c r="AG23" i="53"/>
  <c r="AG15" i="53"/>
  <c r="AG22" i="53"/>
  <c r="K180" i="56"/>
  <c r="O167" i="56"/>
  <c r="AF6" i="53"/>
  <c r="AG18" i="53"/>
  <c r="AB11" i="53"/>
  <c r="J11" i="53" s="1"/>
  <c r="AB10" i="53"/>
  <c r="T83" i="55"/>
  <c r="Q83" i="55"/>
  <c r="K83" i="55"/>
  <c r="H83" i="55"/>
  <c r="J76" i="55"/>
  <c r="I76" i="55" s="1"/>
  <c r="M76" i="55" s="1"/>
  <c r="N76" i="55" s="1"/>
  <c r="G76" i="55"/>
  <c r="H76" i="55" s="1"/>
  <c r="F76" i="55"/>
  <c r="E76" i="55"/>
  <c r="E72" i="55"/>
  <c r="D72" i="55"/>
  <c r="C72" i="55" s="1"/>
  <c r="S71" i="55"/>
  <c r="T71" i="55" s="1"/>
  <c r="P71" i="55"/>
  <c r="Q71" i="55" s="1"/>
  <c r="J71" i="55"/>
  <c r="I71" i="55" s="1"/>
  <c r="G71" i="55"/>
  <c r="H71" i="55" s="1"/>
  <c r="F71" i="55"/>
  <c r="E71" i="55"/>
  <c r="C71" i="55"/>
  <c r="T70" i="55"/>
  <c r="R70" i="55"/>
  <c r="Q70" i="55"/>
  <c r="O70" i="55"/>
  <c r="J70" i="55"/>
  <c r="J72" i="55" s="1"/>
  <c r="K72" i="55" s="1"/>
  <c r="G70" i="55"/>
  <c r="H70" i="55" s="1"/>
  <c r="E70" i="55"/>
  <c r="C70" i="55"/>
  <c r="S68" i="55"/>
  <c r="P68" i="55"/>
  <c r="J68" i="55"/>
  <c r="K68" i="55" s="1"/>
  <c r="D68" i="55"/>
  <c r="E68" i="55" s="1"/>
  <c r="T67" i="55"/>
  <c r="Q67" i="55"/>
  <c r="O67" i="55"/>
  <c r="M67" i="55"/>
  <c r="K67" i="55"/>
  <c r="H67" i="55"/>
  <c r="F67" i="55"/>
  <c r="E67" i="55"/>
  <c r="C67" i="55"/>
  <c r="T66" i="55"/>
  <c r="T68" i="55" s="1"/>
  <c r="R66" i="55"/>
  <c r="R68" i="55" s="1"/>
  <c r="Q66" i="55"/>
  <c r="Q68" i="55" s="1"/>
  <c r="O66" i="55"/>
  <c r="O68" i="55" s="1"/>
  <c r="K66" i="55"/>
  <c r="I66" i="55"/>
  <c r="M66" i="55" s="1"/>
  <c r="H66" i="55"/>
  <c r="F66" i="55"/>
  <c r="E66" i="55"/>
  <c r="C66" i="55"/>
  <c r="S64" i="55"/>
  <c r="R64" i="55" s="1"/>
  <c r="P64" i="55"/>
  <c r="O64" i="55" s="1"/>
  <c r="J64" i="55"/>
  <c r="I64" i="55" s="1"/>
  <c r="M64" i="55" s="1"/>
  <c r="N64" i="55" s="1"/>
  <c r="E64" i="55"/>
  <c r="C64" i="55"/>
  <c r="D63" i="55" s="1"/>
  <c r="G63" i="55" s="1"/>
  <c r="T63" i="55"/>
  <c r="Q63" i="55"/>
  <c r="K63" i="55"/>
  <c r="K62" i="55"/>
  <c r="P61" i="55"/>
  <c r="O61" i="55" s="1"/>
  <c r="J61" i="55"/>
  <c r="K61" i="55" s="1"/>
  <c r="H61" i="55"/>
  <c r="F61" i="55"/>
  <c r="C61" i="55"/>
  <c r="S59" i="55"/>
  <c r="R59" i="55" s="1"/>
  <c r="P59" i="55"/>
  <c r="O59" i="55" s="1"/>
  <c r="J59" i="55"/>
  <c r="I59" i="55" s="1"/>
  <c r="E58" i="55"/>
  <c r="E57" i="55"/>
  <c r="T56" i="55"/>
  <c r="T59" i="55" s="1"/>
  <c r="Q56" i="55"/>
  <c r="Q59" i="55" s="1"/>
  <c r="K56" i="55"/>
  <c r="K59" i="55" s="1"/>
  <c r="D56" i="55"/>
  <c r="D59" i="55" s="1"/>
  <c r="E59" i="55" s="1"/>
  <c r="S54" i="55"/>
  <c r="T54" i="55" s="1"/>
  <c r="Q54" i="55"/>
  <c r="P54" i="55"/>
  <c r="O54" i="55"/>
  <c r="J54" i="55"/>
  <c r="K54" i="55" s="1"/>
  <c r="E54" i="55"/>
  <c r="C54" i="55"/>
  <c r="I54" i="55" s="1"/>
  <c r="T53" i="55"/>
  <c r="R53" i="55"/>
  <c r="Q53" i="55"/>
  <c r="O53" i="55"/>
  <c r="K53" i="55"/>
  <c r="I53" i="55"/>
  <c r="G53" i="55"/>
  <c r="H53" i="55" s="1"/>
  <c r="E53" i="55"/>
  <c r="C53" i="55"/>
  <c r="T52" i="55"/>
  <c r="R52" i="55"/>
  <c r="Q52" i="55"/>
  <c r="O52" i="55"/>
  <c r="K52" i="55"/>
  <c r="I52" i="55"/>
  <c r="G52" i="55"/>
  <c r="F52" i="55" s="1"/>
  <c r="E52" i="55"/>
  <c r="C52" i="55"/>
  <c r="K51" i="55"/>
  <c r="S50" i="55"/>
  <c r="R50" i="55" s="1"/>
  <c r="P50" i="55"/>
  <c r="Q50" i="55" s="1"/>
  <c r="J50" i="55"/>
  <c r="G50" i="55"/>
  <c r="H50" i="55" s="1"/>
  <c r="D50" i="55"/>
  <c r="E50" i="55" s="1"/>
  <c r="C50" i="55"/>
  <c r="T49" i="55"/>
  <c r="R49" i="55"/>
  <c r="Q49" i="55"/>
  <c r="O49" i="55"/>
  <c r="K49" i="55"/>
  <c r="I49" i="55"/>
  <c r="H49" i="55"/>
  <c r="F49" i="55"/>
  <c r="E49" i="55"/>
  <c r="C49" i="55"/>
  <c r="T48" i="55"/>
  <c r="R48" i="55"/>
  <c r="Q48" i="55"/>
  <c r="O48" i="55"/>
  <c r="K48" i="55"/>
  <c r="I48" i="55"/>
  <c r="H48" i="55"/>
  <c r="F48" i="55"/>
  <c r="E48" i="55"/>
  <c r="C48" i="55"/>
  <c r="T47" i="55"/>
  <c r="R47" i="55"/>
  <c r="Q47" i="55"/>
  <c r="O47" i="55"/>
  <c r="K47" i="55"/>
  <c r="I47" i="55"/>
  <c r="H47" i="55"/>
  <c r="F47" i="55"/>
  <c r="E47" i="55"/>
  <c r="C47" i="55"/>
  <c r="T46" i="55"/>
  <c r="R46" i="55"/>
  <c r="Q46" i="55"/>
  <c r="O46" i="55"/>
  <c r="K46" i="55"/>
  <c r="I46" i="55"/>
  <c r="H46" i="55"/>
  <c r="F46" i="55"/>
  <c r="E46" i="55"/>
  <c r="C46" i="55"/>
  <c r="T45" i="55"/>
  <c r="R45" i="55"/>
  <c r="Q45" i="55"/>
  <c r="O45" i="55"/>
  <c r="K45" i="55"/>
  <c r="I45" i="55"/>
  <c r="H45" i="55"/>
  <c r="F45" i="55"/>
  <c r="E45" i="55"/>
  <c r="C45" i="55"/>
  <c r="T44" i="55"/>
  <c r="R44" i="55"/>
  <c r="Q44" i="55"/>
  <c r="O44" i="55"/>
  <c r="K44" i="55"/>
  <c r="I44" i="55"/>
  <c r="H44" i="55"/>
  <c r="F44" i="55"/>
  <c r="E44" i="55"/>
  <c r="C44" i="55"/>
  <c r="J39" i="55"/>
  <c r="K39" i="55" s="1"/>
  <c r="D39" i="55"/>
  <c r="C39" i="55" s="1"/>
  <c r="P38" i="55"/>
  <c r="Q38" i="55" s="1"/>
  <c r="K38" i="55"/>
  <c r="I38" i="55"/>
  <c r="T37" i="55"/>
  <c r="R37" i="55"/>
  <c r="Q37" i="55"/>
  <c r="O37" i="55"/>
  <c r="K37" i="55"/>
  <c r="I37" i="55"/>
  <c r="G37" i="55"/>
  <c r="F37" i="55" s="1"/>
  <c r="E37" i="55"/>
  <c r="C37" i="55"/>
  <c r="T36" i="55"/>
  <c r="R36" i="55"/>
  <c r="Q36" i="55"/>
  <c r="O36" i="55"/>
  <c r="K36" i="55"/>
  <c r="I36" i="55"/>
  <c r="G36" i="55"/>
  <c r="H36" i="55" s="1"/>
  <c r="E36" i="55"/>
  <c r="C36" i="55"/>
  <c r="T35" i="55"/>
  <c r="R35" i="55"/>
  <c r="Q35" i="55"/>
  <c r="O35" i="55"/>
  <c r="K35" i="55"/>
  <c r="I35" i="55"/>
  <c r="H35" i="55"/>
  <c r="E35" i="55"/>
  <c r="C35" i="55"/>
  <c r="E34" i="55"/>
  <c r="C34" i="55"/>
  <c r="S33" i="55"/>
  <c r="R33" i="55" s="1"/>
  <c r="P33" i="55"/>
  <c r="P34" i="55" s="1"/>
  <c r="J33" i="55"/>
  <c r="K33" i="55" s="1"/>
  <c r="D33" i="55"/>
  <c r="T32" i="55"/>
  <c r="Q32" i="55"/>
  <c r="K32" i="55"/>
  <c r="G32" i="55"/>
  <c r="H32" i="55" s="1"/>
  <c r="E32" i="55"/>
  <c r="T31" i="55"/>
  <c r="Q31" i="55"/>
  <c r="K31" i="55"/>
  <c r="G31" i="55"/>
  <c r="H31" i="55" s="1"/>
  <c r="E31" i="55"/>
  <c r="T30" i="55"/>
  <c r="Q30" i="55"/>
  <c r="K30" i="55"/>
  <c r="G30" i="55"/>
  <c r="E30" i="55"/>
  <c r="K29" i="55"/>
  <c r="S27" i="55"/>
  <c r="P27" i="55"/>
  <c r="J27" i="55"/>
  <c r="H27" i="55"/>
  <c r="G27" i="55"/>
  <c r="S26" i="55"/>
  <c r="P26" i="55"/>
  <c r="J26" i="55"/>
  <c r="G26" i="55"/>
  <c r="S24" i="55"/>
  <c r="S79" i="55" s="1"/>
  <c r="P24" i="55"/>
  <c r="P79" i="55" s="1"/>
  <c r="J24" i="55"/>
  <c r="J79" i="55" s="1"/>
  <c r="G24" i="55"/>
  <c r="G79" i="55" s="1"/>
  <c r="T23" i="55"/>
  <c r="R23" i="55"/>
  <c r="Q23" i="55"/>
  <c r="O23" i="55"/>
  <c r="K23" i="55"/>
  <c r="I23" i="55"/>
  <c r="K22" i="55"/>
  <c r="I22" i="55"/>
  <c r="T21" i="55"/>
  <c r="R21" i="55"/>
  <c r="Q21" i="55"/>
  <c r="O21" i="55"/>
  <c r="K21" i="55"/>
  <c r="I21" i="55"/>
  <c r="T20" i="55"/>
  <c r="R20" i="55"/>
  <c r="Q20" i="55"/>
  <c r="O20" i="55"/>
  <c r="K20" i="55"/>
  <c r="I20" i="55"/>
  <c r="T19" i="55"/>
  <c r="R19" i="55"/>
  <c r="Q19" i="55"/>
  <c r="O19" i="55"/>
  <c r="K19" i="55"/>
  <c r="I19" i="55"/>
  <c r="F19" i="55"/>
  <c r="T18" i="55"/>
  <c r="R18" i="55"/>
  <c r="Q18" i="55"/>
  <c r="O18" i="55"/>
  <c r="K18" i="55"/>
  <c r="I18" i="55"/>
  <c r="H18" i="55"/>
  <c r="F18" i="55"/>
  <c r="E18" i="55"/>
  <c r="C18" i="55"/>
  <c r="C24" i="55" s="1"/>
  <c r="T17" i="55"/>
  <c r="R17" i="55"/>
  <c r="Q17" i="55"/>
  <c r="O17" i="55"/>
  <c r="K17" i="55"/>
  <c r="I17" i="55"/>
  <c r="M17" i="55" s="1"/>
  <c r="H17" i="55"/>
  <c r="H24" i="55" s="1"/>
  <c r="F17" i="55"/>
  <c r="F24" i="55" s="1"/>
  <c r="D17" i="55"/>
  <c r="D24" i="55" s="1"/>
  <c r="S16" i="55"/>
  <c r="S25" i="55" s="1"/>
  <c r="T25" i="55" s="1"/>
  <c r="P16" i="55"/>
  <c r="P25" i="55" s="1"/>
  <c r="J16" i="55"/>
  <c r="J78" i="55" s="1"/>
  <c r="G16" i="55"/>
  <c r="G78" i="55" s="1"/>
  <c r="G80" i="55" s="1"/>
  <c r="T15" i="55"/>
  <c r="R15" i="55"/>
  <c r="Q15" i="55"/>
  <c r="O15" i="55"/>
  <c r="K15" i="55"/>
  <c r="I15" i="55"/>
  <c r="K14" i="55"/>
  <c r="I14" i="55"/>
  <c r="T13" i="55"/>
  <c r="R13" i="55"/>
  <c r="Q13" i="55"/>
  <c r="O13" i="55"/>
  <c r="K13" i="55"/>
  <c r="I13" i="55"/>
  <c r="T12" i="55"/>
  <c r="R12" i="55"/>
  <c r="Q12" i="55"/>
  <c r="O12" i="55"/>
  <c r="K12" i="55"/>
  <c r="I12" i="55"/>
  <c r="T11" i="55"/>
  <c r="T27" i="55" s="1"/>
  <c r="R11" i="55"/>
  <c r="Q11" i="55"/>
  <c r="O11" i="55"/>
  <c r="O27" i="55" s="1"/>
  <c r="K11" i="55"/>
  <c r="I11" i="55"/>
  <c r="F11" i="55"/>
  <c r="T10" i="55"/>
  <c r="T26" i="55" s="1"/>
  <c r="R10" i="55"/>
  <c r="Q10" i="55"/>
  <c r="O10" i="55"/>
  <c r="K10" i="55"/>
  <c r="K26" i="55" s="1"/>
  <c r="I10" i="55"/>
  <c r="I26" i="55" s="1"/>
  <c r="H10" i="55"/>
  <c r="H26" i="55" s="1"/>
  <c r="H28" i="55" s="1"/>
  <c r="F10" i="55"/>
  <c r="E10" i="55"/>
  <c r="C10" i="55"/>
  <c r="C16" i="55" s="1"/>
  <c r="C25" i="55" s="1"/>
  <c r="T9" i="55"/>
  <c r="R9" i="55"/>
  <c r="Q9" i="55"/>
  <c r="O9" i="55"/>
  <c r="K9" i="55"/>
  <c r="I9" i="55"/>
  <c r="M9" i="55" s="1"/>
  <c r="H9" i="55"/>
  <c r="F9" i="55"/>
  <c r="F16" i="55" s="1"/>
  <c r="D9" i="55"/>
  <c r="D16" i="55" s="1"/>
  <c r="D25" i="55" s="1"/>
  <c r="H16" i="55" l="1"/>
  <c r="H78" i="55" s="1"/>
  <c r="R34" i="55"/>
  <c r="O50" i="55"/>
  <c r="K70" i="55"/>
  <c r="J34" i="55"/>
  <c r="K34" i="55" s="1"/>
  <c r="I33" i="55"/>
  <c r="T33" i="55"/>
  <c r="E56" i="55"/>
  <c r="F68" i="55"/>
  <c r="G68" i="55" s="1"/>
  <c r="H68" i="55" s="1"/>
  <c r="I70" i="55"/>
  <c r="M70" i="55" s="1"/>
  <c r="N70" i="55" s="1"/>
  <c r="I16" i="55"/>
  <c r="S72" i="55"/>
  <c r="R72" i="55" s="1"/>
  <c r="G28" i="55"/>
  <c r="H37" i="55"/>
  <c r="J40" i="55"/>
  <c r="K40" i="55" s="1"/>
  <c r="H52" i="55"/>
  <c r="M59" i="55"/>
  <c r="N59" i="55" s="1"/>
  <c r="I61" i="55"/>
  <c r="M61" i="55" s="1"/>
  <c r="T64" i="55"/>
  <c r="N17" i="55"/>
  <c r="C68" i="55"/>
  <c r="C73" i="55" s="1"/>
  <c r="C74" i="55" s="1"/>
  <c r="K71" i="55"/>
  <c r="S78" i="55"/>
  <c r="S80" i="55" s="1"/>
  <c r="I27" i="55"/>
  <c r="O24" i="55"/>
  <c r="R26" i="55"/>
  <c r="K24" i="55"/>
  <c r="K79" i="55" s="1"/>
  <c r="T24" i="55"/>
  <c r="T79" i="55" s="1"/>
  <c r="I50" i="55"/>
  <c r="M50" i="55" s="1"/>
  <c r="N50" i="55" s="1"/>
  <c r="AG13" i="53"/>
  <c r="F25" i="55"/>
  <c r="Q16" i="55"/>
  <c r="Q78" i="55" s="1"/>
  <c r="Q80" i="55" s="1"/>
  <c r="E9" i="55"/>
  <c r="E16" i="55" s="1"/>
  <c r="K16" i="55"/>
  <c r="K78" i="55" s="1"/>
  <c r="K80" i="55" s="1"/>
  <c r="R16" i="55"/>
  <c r="O26" i="55"/>
  <c r="Q27" i="55"/>
  <c r="T16" i="55"/>
  <c r="T78" i="55" s="1"/>
  <c r="T80" i="55" s="1"/>
  <c r="Q24" i="55"/>
  <c r="Q79" i="55" s="1"/>
  <c r="I39" i="55"/>
  <c r="T50" i="55"/>
  <c r="R54" i="55"/>
  <c r="R71" i="55"/>
  <c r="J10" i="53"/>
  <c r="AG8" i="53"/>
  <c r="AG6" i="53" s="1"/>
  <c r="AB8" i="53"/>
  <c r="AB6" i="53" s="1"/>
  <c r="O180" i="56"/>
  <c r="P181" i="56" s="1"/>
  <c r="P184" i="56"/>
  <c r="E25" i="55"/>
  <c r="H63" i="55"/>
  <c r="G64" i="55"/>
  <c r="M71" i="55"/>
  <c r="N71" i="55" s="1"/>
  <c r="I72" i="55"/>
  <c r="J80" i="55"/>
  <c r="G25" i="55"/>
  <c r="Q34" i="55"/>
  <c r="D73" i="55"/>
  <c r="P76" i="55"/>
  <c r="N9" i="55"/>
  <c r="Q26" i="55"/>
  <c r="R27" i="55"/>
  <c r="I24" i="55"/>
  <c r="I25" i="55" s="1"/>
  <c r="Q25" i="55"/>
  <c r="D40" i="55"/>
  <c r="E40" i="55" s="1"/>
  <c r="C33" i="55"/>
  <c r="C40" i="55" s="1"/>
  <c r="C41" i="55" s="1"/>
  <c r="I34" i="55"/>
  <c r="Q33" i="55"/>
  <c r="E39" i="55"/>
  <c r="J87" i="55"/>
  <c r="G56" i="55"/>
  <c r="Q61" i="55"/>
  <c r="E63" i="55"/>
  <c r="K64" i="55"/>
  <c r="Q64" i="55"/>
  <c r="I68" i="55"/>
  <c r="I73" i="55" s="1"/>
  <c r="T72" i="55"/>
  <c r="K76" i="55"/>
  <c r="P78" i="55"/>
  <c r="P80" i="55" s="1"/>
  <c r="H79" i="55"/>
  <c r="O16" i="55"/>
  <c r="O25" i="55" s="1"/>
  <c r="K27" i="55"/>
  <c r="E17" i="55"/>
  <c r="E24" i="55" s="1"/>
  <c r="R24" i="55"/>
  <c r="R25" i="55" s="1"/>
  <c r="J25" i="55"/>
  <c r="G33" i="55"/>
  <c r="H30" i="55"/>
  <c r="E33" i="55"/>
  <c r="S34" i="55"/>
  <c r="G39" i="55"/>
  <c r="F36" i="55"/>
  <c r="S38" i="55"/>
  <c r="F50" i="55"/>
  <c r="K50" i="55"/>
  <c r="G54" i="55"/>
  <c r="S61" i="55"/>
  <c r="S73" i="55" s="1"/>
  <c r="T73" i="55" s="1"/>
  <c r="O71" i="55"/>
  <c r="P72" i="55"/>
  <c r="H80" i="55"/>
  <c r="O33" i="55"/>
  <c r="O34" i="55" s="1"/>
  <c r="O38" i="55"/>
  <c r="O39" i="55" s="1"/>
  <c r="P39" i="55"/>
  <c r="Q39" i="55" s="1"/>
  <c r="F53" i="55"/>
  <c r="G72" i="55"/>
  <c r="F70" i="55"/>
  <c r="J73" i="55"/>
  <c r="K73" i="55" s="1"/>
  <c r="C77" i="55" l="1"/>
  <c r="I40" i="55"/>
  <c r="O40" i="55"/>
  <c r="O41" i="55" s="1"/>
  <c r="P40" i="55"/>
  <c r="Q40" i="55" s="1"/>
  <c r="P182" i="56"/>
  <c r="P193" i="56"/>
  <c r="P192" i="56"/>
  <c r="H72" i="55"/>
  <c r="F72" i="55"/>
  <c r="Q72" i="55"/>
  <c r="O72" i="55"/>
  <c r="O73" i="55" s="1"/>
  <c r="H39" i="55"/>
  <c r="F39" i="55"/>
  <c r="G34" i="55"/>
  <c r="F33" i="55"/>
  <c r="G40" i="55"/>
  <c r="H40" i="55" s="1"/>
  <c r="H33" i="55"/>
  <c r="E73" i="55"/>
  <c r="D74" i="55"/>
  <c r="E74" i="55" s="1"/>
  <c r="T34" i="55"/>
  <c r="S40" i="55"/>
  <c r="K25" i="55"/>
  <c r="J41" i="55"/>
  <c r="P73" i="55"/>
  <c r="Q73" i="55" s="1"/>
  <c r="H56" i="55"/>
  <c r="G59" i="55"/>
  <c r="D41" i="55"/>
  <c r="R61" i="55"/>
  <c r="R73" i="55" s="1"/>
  <c r="T61" i="55"/>
  <c r="T38" i="55"/>
  <c r="S39" i="55"/>
  <c r="T39" i="55" s="1"/>
  <c r="R38" i="55"/>
  <c r="R39" i="55" s="1"/>
  <c r="R40" i="55" s="1"/>
  <c r="R41" i="55" s="1"/>
  <c r="M40" i="55"/>
  <c r="I41" i="55"/>
  <c r="Q76" i="55"/>
  <c r="O76" i="55"/>
  <c r="S76" i="55"/>
  <c r="H64" i="55"/>
  <c r="F64" i="55"/>
  <c r="H54" i="55"/>
  <c r="F54" i="55"/>
  <c r="G41" i="55"/>
  <c r="H25" i="55"/>
  <c r="P41" i="55" l="1"/>
  <c r="O77" i="55"/>
  <c r="O84" i="55" s="1"/>
  <c r="H41" i="55"/>
  <c r="I74" i="55"/>
  <c r="I77" i="55"/>
  <c r="K41" i="55"/>
  <c r="J74" i="55"/>
  <c r="J77" i="55"/>
  <c r="J90" i="55" s="1"/>
  <c r="T76" i="55"/>
  <c r="R76" i="55"/>
  <c r="R77" i="55" s="1"/>
  <c r="N40" i="55"/>
  <c r="N77" i="55" s="1"/>
  <c r="M77" i="55"/>
  <c r="F59" i="55"/>
  <c r="F73" i="55" s="1"/>
  <c r="H59" i="55"/>
  <c r="G73" i="55"/>
  <c r="H73" i="55" s="1"/>
  <c r="P77" i="55"/>
  <c r="P74" i="55"/>
  <c r="Q41" i="55"/>
  <c r="R74" i="55"/>
  <c r="T40" i="55"/>
  <c r="S41" i="55"/>
  <c r="F40" i="55"/>
  <c r="F41" i="55" s="1"/>
  <c r="O74" i="55"/>
  <c r="E41" i="55"/>
  <c r="D77" i="55"/>
  <c r="E77" i="55" s="1"/>
  <c r="H34" i="55"/>
  <c r="F34" i="55"/>
  <c r="O78" i="55" l="1"/>
  <c r="F74" i="55"/>
  <c r="F77" i="55"/>
  <c r="R84" i="55"/>
  <c r="R78" i="55"/>
  <c r="G74" i="55"/>
  <c r="S77" i="55"/>
  <c r="S74" i="55"/>
  <c r="T41" i="55"/>
  <c r="Q77" i="55"/>
  <c r="Q74" i="55"/>
  <c r="K77" i="55"/>
  <c r="K74" i="55"/>
  <c r="H74" i="55"/>
  <c r="I84" i="55"/>
  <c r="I85" i="55" s="1"/>
  <c r="J85" i="55" s="1"/>
  <c r="I78" i="55"/>
  <c r="G77" i="55"/>
  <c r="H77" i="55" s="1"/>
  <c r="T77" i="55" l="1"/>
  <c r="T74" i="55"/>
  <c r="O21" i="54" l="1"/>
  <c r="O22" i="54" l="1"/>
  <c r="O23" i="54"/>
  <c r="AA5" i="53"/>
  <c r="P14" i="54"/>
  <c r="AA20" i="53" l="1"/>
  <c r="AA23" i="53"/>
  <c r="Z5" i="53"/>
  <c r="AA26" i="53"/>
  <c r="AA15" i="53"/>
  <c r="AA13" i="53" s="1"/>
  <c r="AA21" i="53"/>
  <c r="AA27" i="53"/>
  <c r="AA22" i="53"/>
  <c r="AA11" i="53"/>
  <c r="P15" i="54"/>
  <c r="P11" i="54"/>
  <c r="P22" i="54" s="1"/>
  <c r="P18" i="54" l="1"/>
  <c r="Z20" i="53"/>
  <c r="Z26" i="53"/>
  <c r="Z23" i="53"/>
  <c r="Z27" i="53"/>
  <c r="Z22" i="53"/>
  <c r="Z21" i="53"/>
  <c r="Z15" i="53"/>
  <c r="Z13" i="53" s="1"/>
  <c r="Z11" i="53"/>
  <c r="Z10" i="53"/>
  <c r="AA24" i="53"/>
  <c r="AA18" i="53" s="1"/>
  <c r="Z12" i="53"/>
  <c r="M17" i="54"/>
  <c r="O16" i="54"/>
  <c r="N12" i="54"/>
  <c r="M12" i="54"/>
  <c r="L12" i="54"/>
  <c r="K12" i="54"/>
  <c r="J12" i="54"/>
  <c r="I12" i="54"/>
  <c r="H12" i="54"/>
  <c r="G12" i="54"/>
  <c r="N9" i="54"/>
  <c r="M9" i="54"/>
  <c r="L9" i="54"/>
  <c r="K9" i="54"/>
  <c r="J9" i="54"/>
  <c r="I9" i="54"/>
  <c r="H9" i="54"/>
  <c r="G9" i="54"/>
  <c r="O9" i="54" l="1"/>
  <c r="O12" i="54"/>
  <c r="K17" i="54"/>
  <c r="I17" i="54"/>
  <c r="H17" i="54"/>
  <c r="L17" i="54"/>
  <c r="G17" i="54"/>
  <c r="J17" i="54"/>
  <c r="N17" i="54"/>
  <c r="Z24" i="53"/>
  <c r="P23" i="54"/>
  <c r="D22" i="53"/>
  <c r="E22" i="53" s="1"/>
  <c r="X11" i="53"/>
  <c r="X27" i="53"/>
  <c r="G27" i="53"/>
  <c r="F27" i="53"/>
  <c r="E27" i="53"/>
  <c r="G26" i="53"/>
  <c r="G24" i="53" s="1"/>
  <c r="F26" i="53"/>
  <c r="E26" i="53"/>
  <c r="X26" i="53"/>
  <c r="D24" i="53"/>
  <c r="X24" i="53" s="1"/>
  <c r="C24" i="53"/>
  <c r="C18" i="53" s="1"/>
  <c r="X23" i="53"/>
  <c r="G23" i="53"/>
  <c r="F23" i="53"/>
  <c r="E23" i="53"/>
  <c r="X21" i="53"/>
  <c r="G21" i="53"/>
  <c r="F21" i="53"/>
  <c r="E21" i="53"/>
  <c r="X20" i="53"/>
  <c r="G20" i="53"/>
  <c r="F20" i="53"/>
  <c r="E20" i="53"/>
  <c r="X15" i="53"/>
  <c r="G15" i="53"/>
  <c r="F15" i="53"/>
  <c r="F13" i="53" s="1"/>
  <c r="E15" i="53"/>
  <c r="E13" i="53" s="1"/>
  <c r="D13" i="53"/>
  <c r="C13" i="53"/>
  <c r="E12" i="53"/>
  <c r="F11" i="53"/>
  <c r="AL10" i="53"/>
  <c r="C8" i="53"/>
  <c r="C6" i="53" s="1"/>
  <c r="N6" i="53"/>
  <c r="H5" i="53" s="1"/>
  <c r="O5" i="53"/>
  <c r="P5" i="53" s="1"/>
  <c r="I5" i="53"/>
  <c r="I27" i="53" s="1"/>
  <c r="O17" i="54" l="1"/>
  <c r="E24" i="53"/>
  <c r="X22" i="53"/>
  <c r="F24" i="53"/>
  <c r="J24" i="53"/>
  <c r="AC24" i="53" s="1"/>
  <c r="AC18" i="53" s="1"/>
  <c r="G13" i="53"/>
  <c r="K27" i="53"/>
  <c r="E18" i="53"/>
  <c r="K26" i="53"/>
  <c r="K23" i="53"/>
  <c r="K21" i="53"/>
  <c r="K20" i="53"/>
  <c r="K13" i="53"/>
  <c r="K15" i="53"/>
  <c r="G11" i="53"/>
  <c r="K11" i="53" s="1"/>
  <c r="X101" i="27"/>
  <c r="E11" i="53"/>
  <c r="H23" i="53"/>
  <c r="H27" i="53"/>
  <c r="H21" i="53"/>
  <c r="H20" i="53"/>
  <c r="H11" i="53"/>
  <c r="H15" i="53"/>
  <c r="K24" i="53"/>
  <c r="I12" i="53"/>
  <c r="X12" i="53"/>
  <c r="H12" i="53"/>
  <c r="G12" i="53"/>
  <c r="J12" i="53"/>
  <c r="AC12" i="53" s="1"/>
  <c r="F12" i="53"/>
  <c r="H13" i="53"/>
  <c r="X13" i="53"/>
  <c r="I22" i="53"/>
  <c r="I23" i="53"/>
  <c r="I13" i="53"/>
  <c r="I15" i="53"/>
  <c r="F22" i="53"/>
  <c r="F18" i="53" s="1"/>
  <c r="I11" i="53"/>
  <c r="AC13" i="53"/>
  <c r="D18" i="53"/>
  <c r="X18" i="53" s="1"/>
  <c r="G22" i="53"/>
  <c r="H26" i="53"/>
  <c r="H24" i="53" s="1"/>
  <c r="I20" i="53"/>
  <c r="I21" i="53"/>
  <c r="H22" i="53"/>
  <c r="I26" i="53"/>
  <c r="I24" i="53" s="1"/>
  <c r="X102" i="27" l="1"/>
  <c r="AE12" i="53"/>
  <c r="J18" i="53"/>
  <c r="Z8" i="53"/>
  <c r="K12" i="53"/>
  <c r="AA6" i="53"/>
  <c r="H18" i="53"/>
  <c r="I18" i="53"/>
  <c r="K22" i="53"/>
  <c r="G18" i="53"/>
  <c r="K18" i="53" s="1"/>
  <c r="H10" i="53"/>
  <c r="H8" i="53" s="1"/>
  <c r="G10" i="53"/>
  <c r="D8" i="53"/>
  <c r="F10" i="53"/>
  <c r="F8" i="53" s="1"/>
  <c r="F6" i="53" s="1"/>
  <c r="X10" i="53"/>
  <c r="I10" i="53"/>
  <c r="I8" i="53" s="1"/>
  <c r="E10" i="53"/>
  <c r="E8" i="53" s="1"/>
  <c r="E6" i="53" s="1"/>
  <c r="J8" i="53" l="1"/>
  <c r="J6" i="53" s="1"/>
  <c r="X100" i="27"/>
  <c r="H6" i="53"/>
  <c r="I6" i="53"/>
  <c r="N10" i="53"/>
  <c r="K10" i="53"/>
  <c r="G8" i="53"/>
  <c r="D6" i="53"/>
  <c r="X8" i="53"/>
  <c r="AC8" i="53" l="1"/>
  <c r="AE8" i="53" s="1"/>
  <c r="AE9" i="53" s="1"/>
  <c r="X103" i="27"/>
  <c r="AE103" i="27" s="1"/>
  <c r="AA29" i="53"/>
  <c r="Z29" i="53"/>
  <c r="G6" i="53"/>
  <c r="K6" i="53" s="1"/>
  <c r="K29" i="53" s="1"/>
  <c r="K8" i="53"/>
  <c r="I29" i="53"/>
  <c r="E29" i="53"/>
  <c r="H29" i="53"/>
  <c r="G29" i="53"/>
  <c r="J29" i="53"/>
  <c r="J32" i="53" s="1"/>
  <c r="H4" i="27" s="1"/>
  <c r="F29" i="53"/>
  <c r="X6" i="53"/>
  <c r="AC6" i="53" l="1"/>
  <c r="AD29" i="53"/>
  <c r="AD30" i="53" s="1"/>
  <c r="J34" i="53"/>
  <c r="J15" i="27"/>
  <c r="AD6" i="53" l="1"/>
  <c r="AE6" i="53"/>
  <c r="H93" i="52"/>
  <c r="I93" i="52" s="1"/>
  <c r="AG90" i="52"/>
  <c r="K89" i="52"/>
  <c r="K92" i="52" s="1"/>
  <c r="AH86" i="52"/>
  <c r="AH77" i="52"/>
  <c r="AI75" i="52"/>
  <c r="AH74" i="52"/>
  <c r="W74" i="52"/>
  <c r="T74" i="52"/>
  <c r="R74" i="52" s="1"/>
  <c r="Q74" i="52"/>
  <c r="AI73" i="52"/>
  <c r="AH73" i="52"/>
  <c r="E73" i="52" s="1"/>
  <c r="F73" i="52" s="1"/>
  <c r="W73" i="52"/>
  <c r="I73" i="52"/>
  <c r="AI72" i="52"/>
  <c r="AH72" i="52"/>
  <c r="E72" i="52" s="1"/>
  <c r="W72" i="52"/>
  <c r="I72" i="52"/>
  <c r="D72" i="52"/>
  <c r="AI71" i="52"/>
  <c r="AH71" i="52"/>
  <c r="E71" i="52" s="1"/>
  <c r="F71" i="52" s="1"/>
  <c r="W71" i="52"/>
  <c r="I71" i="52"/>
  <c r="AI70" i="52"/>
  <c r="AJ70" i="52" s="1"/>
  <c r="AH70" i="52"/>
  <c r="E70" i="52" s="1"/>
  <c r="AF70" i="52"/>
  <c r="W70" i="52"/>
  <c r="Q70" i="52"/>
  <c r="N70" i="52"/>
  <c r="G70" i="52"/>
  <c r="AI69" i="52"/>
  <c r="AH69" i="52"/>
  <c r="W69" i="52"/>
  <c r="I69" i="52"/>
  <c r="E69" i="52"/>
  <c r="F69" i="52" s="1"/>
  <c r="AI68" i="52"/>
  <c r="AH68" i="52"/>
  <c r="E68" i="52" s="1"/>
  <c r="F68" i="52" s="1"/>
  <c r="W68" i="52"/>
  <c r="I68" i="52"/>
  <c r="AI67" i="52"/>
  <c r="AH67" i="52"/>
  <c r="W67" i="52"/>
  <c r="I67" i="52"/>
  <c r="E67" i="52"/>
  <c r="F67" i="52" s="1"/>
  <c r="AM66" i="52"/>
  <c r="AI66" i="52"/>
  <c r="AH66" i="52"/>
  <c r="AG66" i="52"/>
  <c r="AF66" i="52"/>
  <c r="W66" i="52"/>
  <c r="Q66" i="52" s="1"/>
  <c r="N66" i="52"/>
  <c r="G66" i="52"/>
  <c r="X65" i="52"/>
  <c r="W65" i="52"/>
  <c r="T65" i="52"/>
  <c r="R65" i="52" s="1"/>
  <c r="P65" i="52"/>
  <c r="M65" i="52"/>
  <c r="H65" i="52"/>
  <c r="I65" i="52" s="1"/>
  <c r="AM64" i="52"/>
  <c r="AI64" i="52"/>
  <c r="AJ64" i="52" s="1"/>
  <c r="W64" i="52"/>
  <c r="I64" i="52"/>
  <c r="E64" i="52"/>
  <c r="F64" i="52" s="1"/>
  <c r="AM63" i="52"/>
  <c r="AI63" i="52"/>
  <c r="AJ63" i="52" s="1"/>
  <c r="W63" i="52"/>
  <c r="I63" i="52"/>
  <c r="E63" i="52"/>
  <c r="D63" i="52"/>
  <c r="AL62" i="52"/>
  <c r="AM62" i="52" s="1"/>
  <c r="W62" i="52"/>
  <c r="P62" i="52"/>
  <c r="M62" i="52"/>
  <c r="H62" i="52"/>
  <c r="AM61" i="52"/>
  <c r="AI61" i="52"/>
  <c r="AJ61" i="52" s="1"/>
  <c r="W61" i="52"/>
  <c r="T61" i="52"/>
  <c r="T62" i="52" s="1"/>
  <c r="I61" i="52"/>
  <c r="AG60" i="52"/>
  <c r="AF60" i="52"/>
  <c r="W60" i="52"/>
  <c r="S60" i="52"/>
  <c r="P60" i="52"/>
  <c r="M60" i="52"/>
  <c r="J60" i="52"/>
  <c r="H60" i="52" s="1"/>
  <c r="I60" i="52" s="1"/>
  <c r="AM59" i="52"/>
  <c r="AI59" i="52"/>
  <c r="AJ59" i="52" s="1"/>
  <c r="W59" i="52"/>
  <c r="I59" i="52"/>
  <c r="E59" i="52"/>
  <c r="D59" i="52"/>
  <c r="W58" i="52"/>
  <c r="T58" i="52"/>
  <c r="R58" i="52" s="1"/>
  <c r="Q58" i="52"/>
  <c r="D58" i="52" s="1"/>
  <c r="P58" i="52"/>
  <c r="M58" i="52"/>
  <c r="H58" i="52"/>
  <c r="I58" i="52" s="1"/>
  <c r="AM57" i="52"/>
  <c r="AI57" i="52"/>
  <c r="AJ57" i="52" s="1"/>
  <c r="W57" i="52"/>
  <c r="R57" i="52"/>
  <c r="Q57" i="52"/>
  <c r="D57" i="52" s="1"/>
  <c r="I57" i="52"/>
  <c r="AM56" i="52"/>
  <c r="AI56" i="52"/>
  <c r="AJ56" i="52" s="1"/>
  <c r="W56" i="52"/>
  <c r="R56" i="52"/>
  <c r="Q56" i="52"/>
  <c r="D56" i="52" s="1"/>
  <c r="I56" i="52"/>
  <c r="AM55" i="52"/>
  <c r="AI55" i="52"/>
  <c r="AJ55" i="52" s="1"/>
  <c r="W55" i="52"/>
  <c r="T55" i="52"/>
  <c r="R55" i="52" s="1"/>
  <c r="E55" i="52" s="1"/>
  <c r="I55" i="52"/>
  <c r="AL54" i="52"/>
  <c r="AM54" i="52"/>
  <c r="Z44" i="52"/>
  <c r="V54" i="52"/>
  <c r="W54" i="52" s="1"/>
  <c r="T54" i="52"/>
  <c r="P54" i="52"/>
  <c r="M54" i="52"/>
  <c r="H54" i="52"/>
  <c r="I54" i="52" s="1"/>
  <c r="AM53" i="52"/>
  <c r="AI53" i="52"/>
  <c r="W53" i="52"/>
  <c r="R53" i="52"/>
  <c r="Q53" i="52"/>
  <c r="I53" i="52"/>
  <c r="AM52" i="52"/>
  <c r="AI52" i="52"/>
  <c r="AJ52" i="52" s="1"/>
  <c r="W52" i="52"/>
  <c r="R52" i="52"/>
  <c r="Q52" i="52"/>
  <c r="D52" i="52" s="1"/>
  <c r="I52" i="52"/>
  <c r="AM51" i="52"/>
  <c r="AI51" i="52"/>
  <c r="AJ51" i="52" s="1"/>
  <c r="V51" i="52"/>
  <c r="W51" i="52" s="1"/>
  <c r="T51" i="52"/>
  <c r="I51" i="52"/>
  <c r="AM50" i="52"/>
  <c r="AJ50" i="52"/>
  <c r="AI50" i="52"/>
  <c r="W50" i="52"/>
  <c r="I50" i="52"/>
  <c r="E50" i="52"/>
  <c r="F50" i="52" s="1"/>
  <c r="AE49" i="52"/>
  <c r="W49" i="52"/>
  <c r="T49" i="52"/>
  <c r="R49" i="52" s="1"/>
  <c r="P49" i="52"/>
  <c r="L49" i="52"/>
  <c r="H49" i="52" s="1"/>
  <c r="I49" i="52" s="1"/>
  <c r="AL48" i="52"/>
  <c r="W48" i="52"/>
  <c r="I48" i="52"/>
  <c r="D48" i="52"/>
  <c r="AL47" i="52"/>
  <c r="W47" i="52"/>
  <c r="T47" i="52"/>
  <c r="R47" i="52" s="1"/>
  <c r="P47" i="52"/>
  <c r="M47" i="52"/>
  <c r="H47" i="52"/>
  <c r="AI46" i="52"/>
  <c r="AH46" i="52"/>
  <c r="E46" i="52" s="1"/>
  <c r="F46" i="52" s="1"/>
  <c r="W46" i="52"/>
  <c r="I46" i="52"/>
  <c r="AI45" i="52"/>
  <c r="AH45" i="52"/>
  <c r="W45" i="52"/>
  <c r="I45" i="52"/>
  <c r="E45" i="52"/>
  <c r="F45" i="52" s="1"/>
  <c r="AN44" i="52"/>
  <c r="AF44" i="52"/>
  <c r="AD44" i="52"/>
  <c r="AC44" i="52"/>
  <c r="Y44" i="52"/>
  <c r="X44" i="52"/>
  <c r="V44" i="52"/>
  <c r="U44" i="52"/>
  <c r="O44" i="52"/>
  <c r="N44" i="52"/>
  <c r="L44" i="52"/>
  <c r="K44" i="52"/>
  <c r="J44" i="52"/>
  <c r="G44" i="52"/>
  <c r="AI43" i="52"/>
  <c r="AH43" i="52"/>
  <c r="E43" i="52" s="1"/>
  <c r="F43" i="52" s="1"/>
  <c r="W43" i="52"/>
  <c r="I43" i="52"/>
  <c r="AI42" i="52"/>
  <c r="AH42" i="52"/>
  <c r="W42" i="52"/>
  <c r="I42" i="52"/>
  <c r="E42" i="52"/>
  <c r="F42" i="52" s="1"/>
  <c r="AI41" i="52"/>
  <c r="AJ41" i="52" s="1"/>
  <c r="AH41" i="52"/>
  <c r="W41" i="52"/>
  <c r="Q41" i="52" s="1"/>
  <c r="N41" i="52"/>
  <c r="K41" i="52"/>
  <c r="G41" i="52"/>
  <c r="E41" i="52"/>
  <c r="AI40" i="52"/>
  <c r="AH40" i="52"/>
  <c r="W40" i="52"/>
  <c r="Q40" i="52" s="1"/>
  <c r="I40" i="52"/>
  <c r="AI39" i="52"/>
  <c r="AJ39" i="52" s="1"/>
  <c r="AM39" i="52"/>
  <c r="W39" i="52"/>
  <c r="Q39" i="52" s="1"/>
  <c r="D39" i="52" s="1"/>
  <c r="M39" i="52"/>
  <c r="H39" i="52"/>
  <c r="I39" i="52" s="1"/>
  <c r="AM38" i="52"/>
  <c r="W38" i="52"/>
  <c r="R38" i="52"/>
  <c r="Q38" i="52"/>
  <c r="D38" i="52" s="1"/>
  <c r="M38" i="52"/>
  <c r="H38" i="52"/>
  <c r="AL37" i="52"/>
  <c r="AM37" i="52" s="1"/>
  <c r="W37" i="52"/>
  <c r="R37" i="52"/>
  <c r="Q37" i="52"/>
  <c r="P37" i="52"/>
  <c r="M37" i="52"/>
  <c r="H37" i="52"/>
  <c r="I37" i="52" s="1"/>
  <c r="D37" i="52"/>
  <c r="AI36" i="52"/>
  <c r="AJ36" i="52" s="1"/>
  <c r="W36" i="52"/>
  <c r="I36" i="52"/>
  <c r="E36" i="52"/>
  <c r="F36" i="52" s="1"/>
  <c r="AO35" i="52"/>
  <c r="AG35" i="52"/>
  <c r="AF35" i="52"/>
  <c r="Z35" i="52"/>
  <c r="Y35" i="52"/>
  <c r="X35" i="52"/>
  <c r="V35" i="52"/>
  <c r="U35" i="52"/>
  <c r="T35" i="52"/>
  <c r="T32" i="52" s="1"/>
  <c r="O35" i="52"/>
  <c r="N35" i="52"/>
  <c r="L35" i="52"/>
  <c r="K35" i="52"/>
  <c r="J35" i="52"/>
  <c r="J32" i="52" s="1"/>
  <c r="G35" i="52"/>
  <c r="AL34" i="52"/>
  <c r="AI34" i="52" s="1"/>
  <c r="AJ34" i="52" s="1"/>
  <c r="W34" i="52"/>
  <c r="Q34" i="52" s="1"/>
  <c r="D34" i="52" s="1"/>
  <c r="I34" i="52"/>
  <c r="AL33" i="52"/>
  <c r="AI33" i="52" s="1"/>
  <c r="AJ33" i="52" s="1"/>
  <c r="AG33" i="52"/>
  <c r="AF33" i="52"/>
  <c r="AF32" i="52" s="1"/>
  <c r="Y33" i="52"/>
  <c r="X33" i="52"/>
  <c r="V33" i="52"/>
  <c r="U33" i="52"/>
  <c r="U32" i="52" s="1"/>
  <c r="N33" i="52"/>
  <c r="K33" i="52"/>
  <c r="K32" i="52" s="1"/>
  <c r="G33" i="52"/>
  <c r="AO32" i="52"/>
  <c r="AK32" i="52"/>
  <c r="AG32" i="52"/>
  <c r="O32" i="52"/>
  <c r="AI31" i="52"/>
  <c r="AJ31" i="52" s="1"/>
  <c r="W31" i="52"/>
  <c r="Q31" i="52" s="1"/>
  <c r="I31" i="52"/>
  <c r="E31" i="52"/>
  <c r="F31" i="52" s="1"/>
  <c r="AI30" i="52"/>
  <c r="AJ30" i="52" s="1"/>
  <c r="W30" i="52"/>
  <c r="Q30" i="52" s="1"/>
  <c r="I30" i="52"/>
  <c r="E30" i="52"/>
  <c r="F30" i="52" s="1"/>
  <c r="AI29" i="52"/>
  <c r="AJ29" i="52" s="1"/>
  <c r="W29" i="52"/>
  <c r="Q29" i="52" s="1"/>
  <c r="I29" i="52"/>
  <c r="E29" i="52"/>
  <c r="F29" i="52" s="1"/>
  <c r="AI28" i="52"/>
  <c r="AJ28" i="52" s="1"/>
  <c r="AF28" i="52"/>
  <c r="Y28" i="52"/>
  <c r="W28" i="52"/>
  <c r="N28" i="52"/>
  <c r="K28" i="52"/>
  <c r="G28" i="52"/>
  <c r="I28" i="52" s="1"/>
  <c r="E28" i="52"/>
  <c r="AL27" i="52"/>
  <c r="Q27" i="52"/>
  <c r="P27" i="52"/>
  <c r="M27" i="52"/>
  <c r="H27" i="52"/>
  <c r="D27" i="52"/>
  <c r="AL26" i="52"/>
  <c r="AG26" i="52"/>
  <c r="AE26" i="52"/>
  <c r="AB26" i="52"/>
  <c r="W26" i="52"/>
  <c r="R26" i="52"/>
  <c r="Q26" i="52"/>
  <c r="P26" i="52"/>
  <c r="L26" i="52"/>
  <c r="M26" i="52" s="1"/>
  <c r="AL25" i="52"/>
  <c r="AM25" i="52" s="1"/>
  <c r="AG25" i="52"/>
  <c r="AE25" i="52"/>
  <c r="AB25" i="52"/>
  <c r="W25" i="52"/>
  <c r="R25" i="52"/>
  <c r="Q25" i="52"/>
  <c r="P25" i="52"/>
  <c r="L25" i="52"/>
  <c r="L23" i="52" s="1"/>
  <c r="AI24" i="52"/>
  <c r="AJ24" i="52" s="1"/>
  <c r="W24" i="52"/>
  <c r="I24" i="52"/>
  <c r="E24" i="52"/>
  <c r="F24" i="52" s="1"/>
  <c r="AK23" i="52"/>
  <c r="AF23" i="52"/>
  <c r="AD23" i="52"/>
  <c r="AC23" i="52"/>
  <c r="AC22" i="52" s="1"/>
  <c r="AA23" i="52"/>
  <c r="AA22" i="52" s="1"/>
  <c r="AA75" i="52" s="1"/>
  <c r="AB75" i="52" s="1"/>
  <c r="Z23" i="52"/>
  <c r="Y23" i="52"/>
  <c r="X23" i="52"/>
  <c r="V23" i="52"/>
  <c r="U23" i="52"/>
  <c r="T23" i="52"/>
  <c r="O23" i="52"/>
  <c r="N23" i="52"/>
  <c r="K23" i="52"/>
  <c r="G23" i="52"/>
  <c r="AK22" i="52"/>
  <c r="AI21" i="52"/>
  <c r="AJ21" i="52" s="1"/>
  <c r="W21" i="52"/>
  <c r="I21" i="52"/>
  <c r="D21" i="52"/>
  <c r="AL20" i="52"/>
  <c r="AM20" i="52" s="1"/>
  <c r="W20" i="52"/>
  <c r="I20" i="52"/>
  <c r="D20" i="52"/>
  <c r="AI19" i="52"/>
  <c r="AJ19" i="52" s="1"/>
  <c r="AE19" i="52"/>
  <c r="AB19" i="52"/>
  <c r="W19" i="52"/>
  <c r="I19" i="52"/>
  <c r="AI18" i="52"/>
  <c r="AJ18" i="52" s="1"/>
  <c r="W18" i="52"/>
  <c r="I18" i="52"/>
  <c r="E18" i="52"/>
  <c r="F18" i="52" s="1"/>
  <c r="AI17" i="52"/>
  <c r="AJ17" i="52" s="1"/>
  <c r="W17" i="52"/>
  <c r="I17" i="52"/>
  <c r="E17" i="52"/>
  <c r="F17" i="52" s="1"/>
  <c r="AM16" i="52"/>
  <c r="AI16" i="52"/>
  <c r="AJ16" i="52" s="1"/>
  <c r="W16" i="52"/>
  <c r="I16" i="52"/>
  <c r="D16" i="52"/>
  <c r="AI15" i="52"/>
  <c r="AJ15" i="52" s="1"/>
  <c r="W15" i="52"/>
  <c r="I15" i="52"/>
  <c r="E15" i="52"/>
  <c r="F15" i="52" s="1"/>
  <c r="AL14" i="52"/>
  <c r="AM14" i="52" s="1"/>
  <c r="W14" i="52"/>
  <c r="P14" i="52"/>
  <c r="H14" i="52"/>
  <c r="L14" i="52" s="1"/>
  <c r="M14" i="52" s="1"/>
  <c r="G14" i="52"/>
  <c r="G13" i="52" s="1"/>
  <c r="AG13" i="52"/>
  <c r="AG10" i="52" s="1"/>
  <c r="W13" i="52"/>
  <c r="O13" i="52"/>
  <c r="O10" i="52" s="1"/>
  <c r="N13" i="52"/>
  <c r="N10" i="52" s="1"/>
  <c r="J13" i="52"/>
  <c r="J10" i="52" s="1"/>
  <c r="AH12" i="52"/>
  <c r="AJ12" i="52" s="1"/>
  <c r="W12" i="52"/>
  <c r="AH11" i="52"/>
  <c r="E11" i="52" s="1"/>
  <c r="F11" i="52" s="1"/>
  <c r="W11" i="52"/>
  <c r="AN10" i="52"/>
  <c r="AK10" i="52"/>
  <c r="AD10" i="52"/>
  <c r="AC10" i="52"/>
  <c r="AB10" i="52"/>
  <c r="Z10" i="52"/>
  <c r="Y10" i="52"/>
  <c r="V10" i="52"/>
  <c r="U10" i="52"/>
  <c r="T10" i="52"/>
  <c r="K10" i="52"/>
  <c r="G10" i="52"/>
  <c r="G28" i="51"/>
  <c r="F28" i="51" s="1"/>
  <c r="E24" i="51"/>
  <c r="E25" i="51" s="1"/>
  <c r="H21" i="51"/>
  <c r="G21" i="51"/>
  <c r="G10" i="51" s="1"/>
  <c r="H20" i="51"/>
  <c r="I20" i="51" s="1"/>
  <c r="H19" i="51"/>
  <c r="I19" i="51" s="1"/>
  <c r="L19" i="51" s="1"/>
  <c r="I18" i="51"/>
  <c r="L18" i="51" s="1"/>
  <c r="H17" i="51"/>
  <c r="I17" i="51" s="1"/>
  <c r="L17" i="51" s="1"/>
  <c r="H16" i="51"/>
  <c r="I16" i="51" s="1"/>
  <c r="L16" i="51" s="1"/>
  <c r="K15" i="51"/>
  <c r="H15" i="51"/>
  <c r="I15" i="51" s="1"/>
  <c r="L15" i="51" s="1"/>
  <c r="H14" i="51"/>
  <c r="I14" i="51" s="1"/>
  <c r="L14" i="51" s="1"/>
  <c r="D13" i="51"/>
  <c r="F13" i="51" s="1"/>
  <c r="I12" i="51"/>
  <c r="D11" i="51"/>
  <c r="D32" i="51" s="1"/>
  <c r="D33" i="51" s="1"/>
  <c r="J10" i="51"/>
  <c r="J22" i="51" s="1"/>
  <c r="E10" i="51"/>
  <c r="C10" i="51"/>
  <c r="G9" i="51"/>
  <c r="G8" i="51" s="1"/>
  <c r="E9" i="51"/>
  <c r="E8" i="51" s="1"/>
  <c r="D9" i="51"/>
  <c r="D8" i="51" s="1"/>
  <c r="C8" i="51"/>
  <c r="C22" i="51" s="1"/>
  <c r="AU25" i="50"/>
  <c r="M101" i="65" l="1"/>
  <c r="O108" i="74"/>
  <c r="P108" i="74" s="1"/>
  <c r="P121" i="74" s="1"/>
  <c r="M101" i="72"/>
  <c r="M101" i="68"/>
  <c r="J27" i="65"/>
  <c r="J24" i="65" s="1"/>
  <c r="J23" i="65" s="1"/>
  <c r="N101" i="65"/>
  <c r="N114" i="65" s="1"/>
  <c r="M101" i="27"/>
  <c r="J27" i="27" s="1"/>
  <c r="M101" i="64"/>
  <c r="M100" i="63"/>
  <c r="R35" i="52"/>
  <c r="R23" i="52"/>
  <c r="AL35" i="52"/>
  <c r="AL32" i="52" s="1"/>
  <c r="Q49" i="52"/>
  <c r="D49" i="52" s="1"/>
  <c r="AJ67" i="52"/>
  <c r="AJ69" i="52"/>
  <c r="O22" i="52"/>
  <c r="AL13" i="52"/>
  <c r="AL10" i="52" s="1"/>
  <c r="M44" i="52"/>
  <c r="F63" i="52"/>
  <c r="AJ68" i="52"/>
  <c r="D26" i="52"/>
  <c r="P44" i="52"/>
  <c r="AH44" i="52"/>
  <c r="S52" i="52"/>
  <c r="F72" i="52"/>
  <c r="M23" i="52"/>
  <c r="N32" i="52"/>
  <c r="N22" i="52" s="1"/>
  <c r="S26" i="52"/>
  <c r="P35" i="52"/>
  <c r="AJ43" i="52"/>
  <c r="AE44" i="52"/>
  <c r="H25" i="52"/>
  <c r="I25" i="52" s="1"/>
  <c r="AE10" i="52"/>
  <c r="AB23" i="52"/>
  <c r="AG23" i="52"/>
  <c r="S37" i="52"/>
  <c r="AJ46" i="52"/>
  <c r="S53" i="52"/>
  <c r="Q55" i="52"/>
  <c r="S55" i="52" s="1"/>
  <c r="E57" i="52"/>
  <c r="F57" i="52" s="1"/>
  <c r="AJ73" i="52"/>
  <c r="AU26" i="50"/>
  <c r="AU23" i="50" s="1"/>
  <c r="AB22" i="52"/>
  <c r="Q28" i="52"/>
  <c r="D28" i="52" s="1"/>
  <c r="F28" i="52" s="1"/>
  <c r="Y32" i="52"/>
  <c r="AI38" i="52"/>
  <c r="AJ38" i="52" s="1"/>
  <c r="M49" i="52"/>
  <c r="K22" i="52"/>
  <c r="K74" i="52" s="1"/>
  <c r="AM13" i="52"/>
  <c r="E16" i="52"/>
  <c r="F16" i="52" s="1"/>
  <c r="AI20" i="52"/>
  <c r="AJ20" i="52" s="1"/>
  <c r="P23" i="52"/>
  <c r="AE23" i="52"/>
  <c r="M25" i="52"/>
  <c r="S25" i="52"/>
  <c r="E34" i="52"/>
  <c r="F34" i="52" s="1"/>
  <c r="AI37" i="52"/>
  <c r="AJ37" i="52" s="1"/>
  <c r="S38" i="52"/>
  <c r="E40" i="52"/>
  <c r="F40" i="52" s="1"/>
  <c r="AJ40" i="52"/>
  <c r="AJ45" i="52"/>
  <c r="Q47" i="52"/>
  <c r="D47" i="52" s="1"/>
  <c r="S49" i="52"/>
  <c r="AJ66" i="52"/>
  <c r="AJ71" i="52"/>
  <c r="H26" i="52"/>
  <c r="G22" i="51"/>
  <c r="U22" i="52"/>
  <c r="U77" i="52" s="1"/>
  <c r="I21" i="51"/>
  <c r="L21" i="51" s="1"/>
  <c r="H13" i="52"/>
  <c r="L13" i="52" s="1"/>
  <c r="M13" i="52" s="1"/>
  <c r="E21" i="52"/>
  <c r="F21" i="52" s="1"/>
  <c r="AF22" i="52"/>
  <c r="AF75" i="52" s="1"/>
  <c r="AI26" i="52"/>
  <c r="AJ26" i="52" s="1"/>
  <c r="W35" i="52"/>
  <c r="D53" i="52"/>
  <c r="S56" i="52"/>
  <c r="R61" i="52"/>
  <c r="Q65" i="52"/>
  <c r="D65" i="52" s="1"/>
  <c r="E66" i="52"/>
  <c r="AM10" i="52"/>
  <c r="D13" i="52"/>
  <c r="AD22" i="52"/>
  <c r="AE22" i="52" s="1"/>
  <c r="AM26" i="52"/>
  <c r="AI27" i="52"/>
  <c r="AJ27" i="52" s="1"/>
  <c r="P32" i="52"/>
  <c r="AJ42" i="52"/>
  <c r="W44" i="52"/>
  <c r="E56" i="52"/>
  <c r="F56" i="52" s="1"/>
  <c r="D10" i="51"/>
  <c r="F22" i="51" s="1"/>
  <c r="H13" i="51"/>
  <c r="I13" i="51" s="1"/>
  <c r="AF77" i="52"/>
  <c r="AK86" i="52"/>
  <c r="AK74" i="52"/>
  <c r="AK75" i="52" s="1"/>
  <c r="AK77" i="52"/>
  <c r="AM32" i="52"/>
  <c r="AI32" i="52"/>
  <c r="AJ32" i="52" s="1"/>
  <c r="I33" i="52"/>
  <c r="M35" i="52"/>
  <c r="L32" i="52"/>
  <c r="R32" i="52"/>
  <c r="I38" i="52"/>
  <c r="H44" i="52"/>
  <c r="I47" i="52"/>
  <c r="S47" i="52"/>
  <c r="AI48" i="52"/>
  <c r="AM48" i="52"/>
  <c r="AJ53" i="52"/>
  <c r="E53" i="52"/>
  <c r="F53" i="52" s="1"/>
  <c r="H10" i="52"/>
  <c r="W10" i="52"/>
  <c r="AJ11" i="52"/>
  <c r="I13" i="52"/>
  <c r="P13" i="52"/>
  <c r="D14" i="52"/>
  <c r="I14" i="52"/>
  <c r="W23" i="52"/>
  <c r="AO23" i="52"/>
  <c r="AM27" i="52"/>
  <c r="V32" i="52"/>
  <c r="W32" i="52" s="1"/>
  <c r="W33" i="52"/>
  <c r="Q33" i="52" s="1"/>
  <c r="D33" i="52" s="1"/>
  <c r="H35" i="52"/>
  <c r="AI35" i="52"/>
  <c r="AJ35" i="52" s="1"/>
  <c r="AM35" i="52"/>
  <c r="I41" i="52"/>
  <c r="D41" i="52"/>
  <c r="F41" i="52" s="1"/>
  <c r="T44" i="52"/>
  <c r="T22" i="52" s="1"/>
  <c r="T77" i="52" s="1"/>
  <c r="R54" i="52"/>
  <c r="Q54" i="52"/>
  <c r="AH75" i="52"/>
  <c r="O77" i="52"/>
  <c r="O74" i="52"/>
  <c r="O75" i="52" s="1"/>
  <c r="D25" i="52"/>
  <c r="Q23" i="52"/>
  <c r="AI25" i="52"/>
  <c r="AJ25" i="52" s="1"/>
  <c r="E27" i="52"/>
  <c r="F27" i="52" s="1"/>
  <c r="G32" i="52"/>
  <c r="X32" i="52"/>
  <c r="X22" i="52" s="1"/>
  <c r="Z32" i="52"/>
  <c r="AL58" i="52"/>
  <c r="AG44" i="52"/>
  <c r="AG22" i="52" s="1"/>
  <c r="AG77" i="52" s="1"/>
  <c r="D60" i="52"/>
  <c r="AI62" i="52"/>
  <c r="AJ62" i="52" s="1"/>
  <c r="AL65" i="52"/>
  <c r="AN86" i="52"/>
  <c r="AN75" i="52"/>
  <c r="AN77" i="52"/>
  <c r="M4" i="52"/>
  <c r="N4" i="52" s="1"/>
  <c r="P10" i="52"/>
  <c r="E12" i="52"/>
  <c r="F12" i="52" s="1"/>
  <c r="AO13" i="52"/>
  <c r="AI14" i="52"/>
  <c r="AJ14" i="52" s="1"/>
  <c r="AL23" i="52"/>
  <c r="I27" i="52"/>
  <c r="Y22" i="52"/>
  <c r="Y77" i="52" s="1"/>
  <c r="E33" i="52"/>
  <c r="E37" i="52"/>
  <c r="F37" i="52" s="1"/>
  <c r="Q35" i="52"/>
  <c r="D35" i="52" s="1"/>
  <c r="AI47" i="52"/>
  <c r="AJ47" i="52" s="1"/>
  <c r="AM47" i="52"/>
  <c r="AL49" i="52"/>
  <c r="R51" i="52"/>
  <c r="Q51" i="52"/>
  <c r="D51" i="52" s="1"/>
  <c r="AO44" i="52"/>
  <c r="AI54" i="52"/>
  <c r="AJ54" i="52" s="1"/>
  <c r="R62" i="52"/>
  <c r="Q62" i="52"/>
  <c r="D62" i="52" s="1"/>
  <c r="U75" i="52"/>
  <c r="U78" i="52" s="1"/>
  <c r="U79" i="52" s="1"/>
  <c r="S58" i="52"/>
  <c r="F59" i="52"/>
  <c r="AI60" i="52"/>
  <c r="E60" i="52" s="1"/>
  <c r="S74" i="52"/>
  <c r="AH78" i="52"/>
  <c r="AH79" i="52" s="1"/>
  <c r="AJ75" i="52"/>
  <c r="E39" i="52"/>
  <c r="F39" i="52" s="1"/>
  <c r="E52" i="52"/>
  <c r="F52" i="52" s="1"/>
  <c r="S57" i="52"/>
  <c r="I62" i="52"/>
  <c r="I66" i="52"/>
  <c r="D66" i="52"/>
  <c r="F66" i="52" s="1"/>
  <c r="I70" i="52"/>
  <c r="D70" i="52"/>
  <c r="F70" i="52" s="1"/>
  <c r="AJ72" i="52"/>
  <c r="K20" i="51"/>
  <c r="L20" i="51" s="1"/>
  <c r="H9" i="51"/>
  <c r="H8" i="51" s="1"/>
  <c r="F11" i="51"/>
  <c r="H28" i="51"/>
  <c r="F31" i="51" s="1"/>
  <c r="H11" i="51"/>
  <c r="Q65" i="50"/>
  <c r="Q44" i="50"/>
  <c r="Q23" i="50"/>
  <c r="BB23" i="50"/>
  <c r="N101" i="72" l="1"/>
  <c r="N114" i="72" s="1"/>
  <c r="J27" i="72"/>
  <c r="J27" i="68"/>
  <c r="N101" i="68"/>
  <c r="N114" i="68" s="1"/>
  <c r="J75" i="65"/>
  <c r="J76" i="65" s="1"/>
  <c r="J78" i="65"/>
  <c r="N100" i="63"/>
  <c r="J26" i="63"/>
  <c r="N101" i="64"/>
  <c r="J27" i="64"/>
  <c r="E38" i="52"/>
  <c r="F38" i="52" s="1"/>
  <c r="E26" i="52"/>
  <c r="F26" i="52" s="1"/>
  <c r="H23" i="52"/>
  <c r="P22" i="52"/>
  <c r="P77" i="52" s="1"/>
  <c r="P78" i="52" s="1"/>
  <c r="P79" i="52" s="1"/>
  <c r="N74" i="52"/>
  <c r="N75" i="52" s="1"/>
  <c r="N77" i="52"/>
  <c r="E20" i="52"/>
  <c r="F20" i="52" s="1"/>
  <c r="F60" i="52"/>
  <c r="K77" i="52"/>
  <c r="D55" i="52"/>
  <c r="F55" i="52" s="1"/>
  <c r="R44" i="52"/>
  <c r="R22" i="52" s="1"/>
  <c r="Y75" i="52"/>
  <c r="S62" i="52"/>
  <c r="E14" i="52"/>
  <c r="F14" i="52" s="1"/>
  <c r="I26" i="52"/>
  <c r="AF78" i="52"/>
  <c r="AF79" i="52" s="1"/>
  <c r="V22" i="52"/>
  <c r="V75" i="52" s="1"/>
  <c r="S61" i="52"/>
  <c r="E61" i="52"/>
  <c r="F61" i="52" s="1"/>
  <c r="J23" i="52"/>
  <c r="J22" i="52" s="1"/>
  <c r="J77" i="52" s="1"/>
  <c r="J78" i="52" s="1"/>
  <c r="J79" i="52" s="1"/>
  <c r="S65" i="52"/>
  <c r="O78" i="52"/>
  <c r="O79" i="52" s="1"/>
  <c r="AN78" i="52"/>
  <c r="AN79" i="52" s="1"/>
  <c r="Z22" i="52"/>
  <c r="Z75" i="52" s="1"/>
  <c r="K10" i="51"/>
  <c r="K22" i="51" s="1"/>
  <c r="D22" i="51"/>
  <c r="E22" i="51"/>
  <c r="X19" i="52"/>
  <c r="D54" i="52"/>
  <c r="Q44" i="52"/>
  <c r="D44" i="52" s="1"/>
  <c r="AM65" i="52"/>
  <c r="AI65" i="52"/>
  <c r="E62" i="52"/>
  <c r="F62" i="52" s="1"/>
  <c r="S51" i="52"/>
  <c r="E51" i="52"/>
  <c r="F51" i="52" s="1"/>
  <c r="AI13" i="52"/>
  <c r="AI58" i="52"/>
  <c r="AM58" i="52"/>
  <c r="G22" i="52"/>
  <c r="Q32" i="52"/>
  <c r="D32" i="52" s="1"/>
  <c r="N78" i="52"/>
  <c r="N79" i="52" s="1"/>
  <c r="I44" i="52"/>
  <c r="M32" i="52"/>
  <c r="L22" i="52"/>
  <c r="G74" i="52"/>
  <c r="I23" i="52"/>
  <c r="H22" i="52"/>
  <c r="I3" i="52" s="1"/>
  <c r="F33" i="52"/>
  <c r="AM23" i="52"/>
  <c r="AI23" i="52"/>
  <c r="AJ23" i="52" s="1"/>
  <c r="AG75" i="52"/>
  <c r="K75" i="52"/>
  <c r="K78" i="52" s="1"/>
  <c r="K79" i="52" s="1"/>
  <c r="T75" i="52"/>
  <c r="T87" i="52" s="1"/>
  <c r="I10" i="52"/>
  <c r="L10" i="52"/>
  <c r="S23" i="52"/>
  <c r="E25" i="52"/>
  <c r="F25" i="52" s="1"/>
  <c r="AI49" i="52"/>
  <c r="AM49" i="52"/>
  <c r="AO22" i="52"/>
  <c r="S32" i="52"/>
  <c r="AK78" i="52"/>
  <c r="AK79" i="52" s="1"/>
  <c r="W75" i="52"/>
  <c r="Y78" i="52"/>
  <c r="Y79" i="52" s="1"/>
  <c r="AL44" i="52"/>
  <c r="AM44" i="52" s="1"/>
  <c r="S54" i="52"/>
  <c r="E54" i="52"/>
  <c r="I35" i="52"/>
  <c r="E35" i="52"/>
  <c r="F35" i="52" s="1"/>
  <c r="H32" i="52"/>
  <c r="AJ48" i="52"/>
  <c r="E48" i="52"/>
  <c r="F48" i="52" s="1"/>
  <c r="E47" i="52"/>
  <c r="F47" i="52" s="1"/>
  <c r="S35" i="52"/>
  <c r="AK90" i="52"/>
  <c r="V77" i="52"/>
  <c r="V78" i="52" s="1"/>
  <c r="V79" i="52" s="1"/>
  <c r="W22" i="52"/>
  <c r="W77" i="52" s="1"/>
  <c r="D23" i="52"/>
  <c r="AG78" i="52"/>
  <c r="AG79" i="52" s="1"/>
  <c r="F29" i="51"/>
  <c r="F10" i="51"/>
  <c r="I11" i="51"/>
  <c r="H10" i="51"/>
  <c r="H22" i="51" s="1"/>
  <c r="H24" i="51"/>
  <c r="H25" i="51" s="1"/>
  <c r="Q22" i="50"/>
  <c r="J79" i="65" l="1"/>
  <c r="J80" i="65" s="1"/>
  <c r="L27" i="68"/>
  <c r="J24" i="68"/>
  <c r="J23" i="68" s="1"/>
  <c r="J24" i="72"/>
  <c r="J23" i="72" s="1"/>
  <c r="L27" i="72"/>
  <c r="L27" i="64"/>
  <c r="H27" i="64" s="1"/>
  <c r="N114" i="64"/>
  <c r="J23" i="63"/>
  <c r="J22" i="63" s="1"/>
  <c r="J24" i="64"/>
  <c r="J23" i="64" s="1"/>
  <c r="L26" i="63"/>
  <c r="H26" i="63" s="1"/>
  <c r="N113" i="63"/>
  <c r="F54" i="52"/>
  <c r="W78" i="52"/>
  <c r="W79" i="52" s="1"/>
  <c r="AL22" i="52"/>
  <c r="AI22" i="52" s="1"/>
  <c r="E23" i="52"/>
  <c r="F23" i="52" s="1"/>
  <c r="Z77" i="52"/>
  <c r="Z78" i="52" s="1"/>
  <c r="Z79" i="52" s="1"/>
  <c r="M10" i="52"/>
  <c r="O4" i="52"/>
  <c r="D74" i="52"/>
  <c r="G75" i="52"/>
  <c r="T78" i="52"/>
  <c r="T79" i="52" s="1"/>
  <c r="AO86" i="52"/>
  <c r="AO74" i="52"/>
  <c r="AO77" i="52"/>
  <c r="AO78" i="52" s="1"/>
  <c r="H77" i="52"/>
  <c r="H74" i="52"/>
  <c r="H92" i="52"/>
  <c r="H94" i="52" s="1"/>
  <c r="I22" i="52"/>
  <c r="I77" i="52" s="1"/>
  <c r="AJ58" i="52"/>
  <c r="E58" i="52"/>
  <c r="F58" i="52" s="1"/>
  <c r="Q22" i="52"/>
  <c r="D22" i="52" s="1"/>
  <c r="S44" i="52"/>
  <c r="AJ13" i="52"/>
  <c r="E13" i="52"/>
  <c r="F13" i="52" s="1"/>
  <c r="AJ65" i="52"/>
  <c r="E65" i="52"/>
  <c r="F65" i="52" s="1"/>
  <c r="Q19" i="52"/>
  <c r="X10" i="52"/>
  <c r="R19" i="52"/>
  <c r="L74" i="52"/>
  <c r="M22" i="52"/>
  <c r="L77" i="52"/>
  <c r="L78" i="52" s="1"/>
  <c r="G77" i="52"/>
  <c r="G78" i="52" s="1"/>
  <c r="G79" i="52" s="1"/>
  <c r="I32" i="52"/>
  <c r="E32" i="52"/>
  <c r="F32" i="52" s="1"/>
  <c r="AJ49" i="52"/>
  <c r="E49" i="52"/>
  <c r="F49" i="52" s="1"/>
  <c r="AI10" i="52"/>
  <c r="AJ10" i="52" s="1"/>
  <c r="AI44" i="52"/>
  <c r="L11" i="51"/>
  <c r="I10" i="51"/>
  <c r="I22" i="51" s="1"/>
  <c r="R65" i="50"/>
  <c r="S65" i="50" s="1"/>
  <c r="AV65" i="50" s="1"/>
  <c r="L110" i="27" s="1"/>
  <c r="R24" i="50"/>
  <c r="S24" i="50" s="1"/>
  <c r="R25" i="50"/>
  <c r="R26" i="50"/>
  <c r="R27" i="50"/>
  <c r="S27" i="50" s="1"/>
  <c r="AV27" i="50" s="1"/>
  <c r="L102" i="27" s="1"/>
  <c r="R28" i="50"/>
  <c r="S28" i="50" s="1"/>
  <c r="R29" i="50"/>
  <c r="R30" i="50"/>
  <c r="R31" i="50"/>
  <c r="S31" i="50" s="1"/>
  <c r="R33" i="50"/>
  <c r="R34" i="50"/>
  <c r="S34" i="50" s="1"/>
  <c r="R36" i="50"/>
  <c r="S36" i="50" s="1"/>
  <c r="R37" i="50"/>
  <c r="R38" i="50"/>
  <c r="R39" i="50"/>
  <c r="S39" i="50" s="1"/>
  <c r="AV39" i="50" s="1"/>
  <c r="L113" i="27" s="1"/>
  <c r="R40" i="50"/>
  <c r="S40" i="50" s="1"/>
  <c r="R41" i="50"/>
  <c r="R42" i="50"/>
  <c r="R43" i="50"/>
  <c r="S43" i="50" s="1"/>
  <c r="R45" i="50"/>
  <c r="R46" i="50"/>
  <c r="R47" i="50"/>
  <c r="S47" i="50" s="1"/>
  <c r="AV47" i="50" s="1"/>
  <c r="L103" i="27" s="1"/>
  <c r="R48" i="50"/>
  <c r="S48" i="50" s="1"/>
  <c r="R49" i="50"/>
  <c r="R50" i="50"/>
  <c r="R51" i="50"/>
  <c r="S51" i="50" s="1"/>
  <c r="R52" i="50"/>
  <c r="S52" i="50" s="1"/>
  <c r="R53" i="50"/>
  <c r="R55" i="50"/>
  <c r="S55" i="50" s="1"/>
  <c r="R56" i="50"/>
  <c r="S56" i="50" s="1"/>
  <c r="R57" i="50"/>
  <c r="R59" i="50"/>
  <c r="R60" i="50"/>
  <c r="R61" i="50"/>
  <c r="R62" i="50"/>
  <c r="S62" i="50" s="1"/>
  <c r="AV62" i="50" s="1"/>
  <c r="L109" i="27" s="1"/>
  <c r="R63" i="50"/>
  <c r="R64" i="50"/>
  <c r="S64" i="50" s="1"/>
  <c r="BB54" i="50"/>
  <c r="BB44" i="50" s="1"/>
  <c r="BB22" i="50" s="1"/>
  <c r="S29" i="50"/>
  <c r="S30" i="50"/>
  <c r="S33" i="50"/>
  <c r="S37" i="50"/>
  <c r="AV37" i="50" s="1"/>
  <c r="L111" i="27" s="1"/>
  <c r="S38" i="50"/>
  <c r="AV38" i="50" s="1"/>
  <c r="L112" i="27" s="1"/>
  <c r="S41" i="50"/>
  <c r="S42" i="50"/>
  <c r="S45" i="50"/>
  <c r="S46" i="50"/>
  <c r="S50" i="50"/>
  <c r="S53" i="50"/>
  <c r="S57" i="50"/>
  <c r="S59" i="50"/>
  <c r="S61" i="50"/>
  <c r="S63" i="50"/>
  <c r="BD24" i="50"/>
  <c r="BD28" i="50"/>
  <c r="BD29" i="50"/>
  <c r="BD30" i="50"/>
  <c r="BD31" i="50"/>
  <c r="BD36" i="50"/>
  <c r="BD39" i="50"/>
  <c r="BD40" i="50"/>
  <c r="BD41" i="50"/>
  <c r="BD42" i="50"/>
  <c r="BD43" i="50"/>
  <c r="BD45" i="50"/>
  <c r="BD46" i="50"/>
  <c r="BD50" i="50"/>
  <c r="BD51" i="50"/>
  <c r="BD52" i="50"/>
  <c r="BD53" i="50"/>
  <c r="BD55" i="50"/>
  <c r="BD56" i="50"/>
  <c r="BD57" i="50"/>
  <c r="BD59" i="50"/>
  <c r="BD60" i="50"/>
  <c r="BD61" i="50"/>
  <c r="BD63" i="50"/>
  <c r="BD64" i="50"/>
  <c r="BC63" i="50"/>
  <c r="BC64" i="50"/>
  <c r="BC66" i="50"/>
  <c r="BC67" i="50"/>
  <c r="BC24" i="50"/>
  <c r="BC25" i="50"/>
  <c r="BC26" i="50"/>
  <c r="BC27" i="50"/>
  <c r="BC28" i="50"/>
  <c r="BC29" i="50"/>
  <c r="BC30" i="50"/>
  <c r="BC31" i="50"/>
  <c r="BC34" i="50"/>
  <c r="BC36" i="50"/>
  <c r="BC37" i="50"/>
  <c r="BC39" i="50"/>
  <c r="BC40" i="50"/>
  <c r="BC41" i="50"/>
  <c r="BC42" i="50"/>
  <c r="BC43" i="50"/>
  <c r="BC45" i="50"/>
  <c r="BC46" i="50"/>
  <c r="BC47" i="50"/>
  <c r="BC48" i="50"/>
  <c r="BC49" i="50"/>
  <c r="BC50" i="50"/>
  <c r="BC51" i="50"/>
  <c r="BC52" i="50"/>
  <c r="BC53" i="50"/>
  <c r="BC54" i="50"/>
  <c r="BC55" i="50"/>
  <c r="BC56" i="50"/>
  <c r="BC57" i="50"/>
  <c r="BC59" i="50"/>
  <c r="BC60" i="50"/>
  <c r="BC61" i="50"/>
  <c r="M27" i="72" l="1"/>
  <c r="L24" i="72"/>
  <c r="M24" i="72" s="1"/>
  <c r="J75" i="72"/>
  <c r="J78" i="72"/>
  <c r="J75" i="68"/>
  <c r="J76" i="68" s="1"/>
  <c r="J78" i="68"/>
  <c r="M27" i="68"/>
  <c r="L24" i="68"/>
  <c r="H23" i="63"/>
  <c r="I26" i="63"/>
  <c r="E26" i="63"/>
  <c r="F26" i="63" s="1"/>
  <c r="M26" i="63"/>
  <c r="L23" i="63"/>
  <c r="J77" i="63"/>
  <c r="J74" i="63"/>
  <c r="J78" i="64"/>
  <c r="J75" i="64"/>
  <c r="J76" i="64" s="1"/>
  <c r="I27" i="64"/>
  <c r="E27" i="64"/>
  <c r="F27" i="64" s="1"/>
  <c r="H24" i="64"/>
  <c r="M27" i="64"/>
  <c r="L24" i="64"/>
  <c r="P109" i="27"/>
  <c r="AL74" i="52"/>
  <c r="N103" i="27"/>
  <c r="AL86" i="52"/>
  <c r="AO79" i="52"/>
  <c r="N111" i="27"/>
  <c r="N109" i="27"/>
  <c r="X107" i="27"/>
  <c r="AB107" i="27"/>
  <c r="N102" i="27"/>
  <c r="H28" i="27"/>
  <c r="N110" i="27"/>
  <c r="G66" i="42"/>
  <c r="AM22" i="52"/>
  <c r="AL77" i="52"/>
  <c r="AL78" i="52" s="1"/>
  <c r="N113" i="27"/>
  <c r="N112" i="27"/>
  <c r="M77" i="52"/>
  <c r="M78" i="52" s="1"/>
  <c r="AM77" i="52"/>
  <c r="AM78" i="52" s="1"/>
  <c r="AM74" i="52"/>
  <c r="L79" i="52"/>
  <c r="M74" i="52"/>
  <c r="V82" i="52"/>
  <c r="X75" i="52"/>
  <c r="X77" i="52"/>
  <c r="AI77" i="52"/>
  <c r="AI78" i="52" s="1"/>
  <c r="AI86" i="52"/>
  <c r="AI74" i="52"/>
  <c r="AJ22" i="52"/>
  <c r="E22" i="52"/>
  <c r="R10" i="52"/>
  <c r="S19" i="52"/>
  <c r="E19" i="52"/>
  <c r="I74" i="52"/>
  <c r="E74" i="52"/>
  <c r="H75" i="52"/>
  <c r="H78" i="52" s="1"/>
  <c r="H79" i="52" s="1"/>
  <c r="D19" i="52"/>
  <c r="Q10" i="52"/>
  <c r="Q77" i="52" s="1"/>
  <c r="AL79" i="52"/>
  <c r="AL81" i="52"/>
  <c r="S22" i="52"/>
  <c r="AJ44" i="52"/>
  <c r="E44" i="52"/>
  <c r="L13" i="51"/>
  <c r="L10" i="51" s="1"/>
  <c r="L22" i="51" s="1"/>
  <c r="P54" i="50"/>
  <c r="R54" i="50" s="1"/>
  <c r="S54" i="50" s="1"/>
  <c r="AV54" i="50" s="1"/>
  <c r="L106" i="27" s="1"/>
  <c r="M58" i="50"/>
  <c r="R58" i="50" s="1"/>
  <c r="S58" i="50" s="1"/>
  <c r="AV58" i="50" s="1"/>
  <c r="L107" i="27" s="1"/>
  <c r="AX58" i="50"/>
  <c r="BC58" i="50" s="1"/>
  <c r="BD66" i="50"/>
  <c r="J79" i="64" l="1"/>
  <c r="J80" i="64" s="1"/>
  <c r="J79" i="68"/>
  <c r="J80" i="68" s="1"/>
  <c r="J76" i="72"/>
  <c r="J79" i="72" s="1"/>
  <c r="J80" i="72" s="1"/>
  <c r="M24" i="68"/>
  <c r="L23" i="68"/>
  <c r="J75" i="63"/>
  <c r="J78" i="63" s="1"/>
  <c r="J79" i="63" s="1"/>
  <c r="M24" i="64"/>
  <c r="L23" i="64"/>
  <c r="O102" i="64"/>
  <c r="I24" i="64"/>
  <c r="E24" i="64"/>
  <c r="F24" i="64" s="1"/>
  <c r="H100" i="64"/>
  <c r="H101" i="64" s="1"/>
  <c r="H23" i="64"/>
  <c r="M23" i="63"/>
  <c r="L22" i="63"/>
  <c r="I23" i="63"/>
  <c r="H22" i="63"/>
  <c r="H99" i="63"/>
  <c r="H100" i="63" s="1"/>
  <c r="O101" i="63"/>
  <c r="E23" i="63"/>
  <c r="F23" i="63" s="1"/>
  <c r="E28" i="27"/>
  <c r="AM79" i="52"/>
  <c r="X78" i="52"/>
  <c r="X79" i="52" s="1"/>
  <c r="N107" i="27"/>
  <c r="AI79" i="52"/>
  <c r="N106" i="27"/>
  <c r="M79" i="52"/>
  <c r="E96" i="52"/>
  <c r="F44" i="52"/>
  <c r="Q75" i="52"/>
  <c r="Q78" i="52" s="1"/>
  <c r="Q79" i="52" s="1"/>
  <c r="D10" i="52"/>
  <c r="Q3" i="52"/>
  <c r="R3" i="52" s="1"/>
  <c r="I75" i="52"/>
  <c r="I78" i="52" s="1"/>
  <c r="I79" i="52" s="1"/>
  <c r="F19" i="52"/>
  <c r="F22" i="52"/>
  <c r="AJ74" i="52"/>
  <c r="AJ77" i="52"/>
  <c r="AJ78" i="52" s="1"/>
  <c r="F74" i="52"/>
  <c r="R75" i="52"/>
  <c r="E75" i="52" s="1"/>
  <c r="S10" i="52"/>
  <c r="S75" i="52" s="1"/>
  <c r="E10" i="52"/>
  <c r="R77" i="52"/>
  <c r="BC68" i="50"/>
  <c r="BC69" i="50"/>
  <c r="BC70" i="50"/>
  <c r="BC71" i="50"/>
  <c r="BC72" i="50"/>
  <c r="AY23" i="50"/>
  <c r="AZ23" i="50"/>
  <c r="BA23" i="50"/>
  <c r="AY44" i="50"/>
  <c r="AZ44" i="50"/>
  <c r="BA44" i="50"/>
  <c r="AY35" i="50"/>
  <c r="AZ35" i="50"/>
  <c r="BA35" i="50"/>
  <c r="BA32" i="50" s="1"/>
  <c r="AX33" i="50"/>
  <c r="AY33" i="50"/>
  <c r="AY32" i="50" s="1"/>
  <c r="AZ33" i="50"/>
  <c r="AZ32" i="50" s="1"/>
  <c r="BA33" i="50"/>
  <c r="AX23" i="50"/>
  <c r="AX38" i="50"/>
  <c r="AX35" i="50" s="1"/>
  <c r="AX65" i="50"/>
  <c r="BC65" i="50" s="1"/>
  <c r="AX62" i="50"/>
  <c r="BC62" i="50" s="1"/>
  <c r="M23" i="68" l="1"/>
  <c r="M78" i="68" s="1"/>
  <c r="L75" i="68"/>
  <c r="L78" i="68"/>
  <c r="L77" i="63"/>
  <c r="L74" i="63"/>
  <c r="M22" i="63"/>
  <c r="M77" i="63" s="1"/>
  <c r="M23" i="64"/>
  <c r="M78" i="64" s="1"/>
  <c r="L78" i="64"/>
  <c r="L75" i="64"/>
  <c r="H92" i="63"/>
  <c r="H94" i="63" s="1"/>
  <c r="E22" i="63"/>
  <c r="H77" i="63"/>
  <c r="I3" i="63"/>
  <c r="H74" i="63"/>
  <c r="I22" i="63"/>
  <c r="I77" i="63" s="1"/>
  <c r="H78" i="64"/>
  <c r="I23" i="64"/>
  <c r="I78" i="64" s="1"/>
  <c r="H75" i="64"/>
  <c r="E23" i="64"/>
  <c r="H93" i="64"/>
  <c r="H95" i="64" s="1"/>
  <c r="I4" i="64"/>
  <c r="BC35" i="50"/>
  <c r="AX32" i="50"/>
  <c r="BC32" i="50" s="1"/>
  <c r="BC33" i="50"/>
  <c r="AX44" i="50"/>
  <c r="F10" i="52"/>
  <c r="F77" i="52" s="1"/>
  <c r="BD38" i="50"/>
  <c r="BC38" i="50"/>
  <c r="BC23" i="50"/>
  <c r="F82" i="52"/>
  <c r="D75" i="52"/>
  <c r="F75" i="52" s="1"/>
  <c r="D87" i="52"/>
  <c r="D77" i="52"/>
  <c r="AJ79" i="52"/>
  <c r="E80" i="52"/>
  <c r="R78" i="52"/>
  <c r="R79" i="52" s="1"/>
  <c r="E77" i="52"/>
  <c r="E78" i="52" s="1"/>
  <c r="E79" i="52" s="1"/>
  <c r="E3" i="52"/>
  <c r="S77" i="52"/>
  <c r="S78" i="52" s="1"/>
  <c r="S79" i="52" s="1"/>
  <c r="BC44" i="50"/>
  <c r="BA22" i="50"/>
  <c r="AZ22" i="50"/>
  <c r="AY22" i="50"/>
  <c r="AX22" i="50"/>
  <c r="P44" i="50"/>
  <c r="P35" i="50"/>
  <c r="P32" i="50" s="1"/>
  <c r="P23" i="50"/>
  <c r="R66" i="50"/>
  <c r="R67" i="50"/>
  <c r="R68" i="50"/>
  <c r="R69" i="50"/>
  <c r="R70" i="50"/>
  <c r="R71" i="50"/>
  <c r="R72" i="50"/>
  <c r="R73" i="50"/>
  <c r="R74" i="50"/>
  <c r="N44" i="50"/>
  <c r="O44" i="50"/>
  <c r="N35" i="50"/>
  <c r="O35" i="50"/>
  <c r="O32" i="50" s="1"/>
  <c r="O23" i="50"/>
  <c r="N23" i="50"/>
  <c r="M44" i="50"/>
  <c r="M35" i="50"/>
  <c r="M32" i="50" s="1"/>
  <c r="M23" i="50"/>
  <c r="R23" i="50" s="1"/>
  <c r="H93" i="50"/>
  <c r="I93" i="50" s="1"/>
  <c r="AP90" i="50"/>
  <c r="K89" i="50"/>
  <c r="K92" i="50" s="1"/>
  <c r="AQ86" i="50"/>
  <c r="AQ77" i="50"/>
  <c r="AR75" i="50"/>
  <c r="CE74" i="50"/>
  <c r="BU74" i="50"/>
  <c r="AQ74" i="50"/>
  <c r="AD74" i="50"/>
  <c r="AA74" i="50"/>
  <c r="Y74" i="50" s="1"/>
  <c r="X74" i="50"/>
  <c r="CE73" i="50"/>
  <c r="CC73" i="50"/>
  <c r="BY73" i="50"/>
  <c r="BU73" i="50"/>
  <c r="BS73" i="50"/>
  <c r="AR73" i="50"/>
  <c r="AQ73" i="50"/>
  <c r="BX73" i="50" s="1"/>
  <c r="AD73" i="50"/>
  <c r="I73" i="50"/>
  <c r="CE72" i="50"/>
  <c r="CC72" i="50"/>
  <c r="BY72" i="50"/>
  <c r="BU72" i="50"/>
  <c r="BS72" i="50"/>
  <c r="AR72" i="50"/>
  <c r="AQ72" i="50"/>
  <c r="AD72" i="50"/>
  <c r="I72" i="50"/>
  <c r="D72" i="50"/>
  <c r="CE71" i="50"/>
  <c r="CC71" i="50"/>
  <c r="BY71" i="50"/>
  <c r="BU71" i="50"/>
  <c r="BS71" i="50"/>
  <c r="AR71" i="50"/>
  <c r="AS71" i="50" s="1"/>
  <c r="AQ71" i="50"/>
  <c r="BX71" i="50" s="1"/>
  <c r="BZ71" i="50" s="1"/>
  <c r="AD71" i="50"/>
  <c r="I71" i="50"/>
  <c r="E71" i="50"/>
  <c r="F71" i="50" s="1"/>
  <c r="CE70" i="50"/>
  <c r="CC70" i="50"/>
  <c r="BY70" i="50"/>
  <c r="BU70" i="50"/>
  <c r="BS70" i="50"/>
  <c r="BI70" i="50"/>
  <c r="AR70" i="50"/>
  <c r="AQ70" i="50"/>
  <c r="AO70" i="50"/>
  <c r="AD70" i="50"/>
  <c r="X70" i="50"/>
  <c r="U70" i="50"/>
  <c r="G70" i="50"/>
  <c r="CE69" i="50"/>
  <c r="CC69" i="50"/>
  <c r="BY69" i="50"/>
  <c r="BU69" i="50"/>
  <c r="BS69" i="50"/>
  <c r="AR69" i="50"/>
  <c r="AQ69" i="50"/>
  <c r="BX69" i="50" s="1"/>
  <c r="BZ69" i="50" s="1"/>
  <c r="AD69" i="50"/>
  <c r="I69" i="50"/>
  <c r="CE68" i="50"/>
  <c r="CC68" i="50"/>
  <c r="BY68" i="50"/>
  <c r="BU68" i="50"/>
  <c r="BS68" i="50"/>
  <c r="AR68" i="50"/>
  <c r="AQ68" i="50"/>
  <c r="BX68" i="50" s="1"/>
  <c r="BZ68" i="50" s="1"/>
  <c r="AD68" i="50"/>
  <c r="I68" i="50"/>
  <c r="E68" i="50"/>
  <c r="F68" i="50" s="1"/>
  <c r="CE67" i="50"/>
  <c r="CC67" i="50"/>
  <c r="BY67" i="50"/>
  <c r="BU67" i="50"/>
  <c r="BS67" i="50"/>
  <c r="AR67" i="50"/>
  <c r="AQ67" i="50"/>
  <c r="BX67" i="50" s="1"/>
  <c r="BZ67" i="50" s="1"/>
  <c r="AD67" i="50"/>
  <c r="I67" i="50"/>
  <c r="CE66" i="50"/>
  <c r="CC66" i="50"/>
  <c r="BY66" i="50"/>
  <c r="BU66" i="50"/>
  <c r="BS66" i="50"/>
  <c r="BI66" i="50"/>
  <c r="BE66" i="50"/>
  <c r="AR66" i="50"/>
  <c r="AQ66" i="50"/>
  <c r="BX66" i="50" s="1"/>
  <c r="BZ66" i="50" s="1"/>
  <c r="AP66" i="50"/>
  <c r="E66" i="50" s="1"/>
  <c r="AO66" i="50"/>
  <c r="AD66" i="50"/>
  <c r="X66" i="50" s="1"/>
  <c r="U66" i="50"/>
  <c r="G66" i="50"/>
  <c r="CE65" i="50"/>
  <c r="CB65" i="50"/>
  <c r="AW65" i="50" s="1"/>
  <c r="BD65" i="50" s="1"/>
  <c r="BX65" i="50"/>
  <c r="BU65" i="50"/>
  <c r="BS65" i="50"/>
  <c r="BG65" i="50"/>
  <c r="BH65" i="50" s="1"/>
  <c r="AH65" i="50"/>
  <c r="AE65" i="50"/>
  <c r="AD65" i="50"/>
  <c r="AA65" i="50"/>
  <c r="W65" i="50"/>
  <c r="T65" i="50"/>
  <c r="H65" i="50"/>
  <c r="CE64" i="50"/>
  <c r="CC64" i="50"/>
  <c r="BY64" i="50"/>
  <c r="BX64" i="50"/>
  <c r="BU64" i="50"/>
  <c r="BS64" i="50"/>
  <c r="BE64" i="50"/>
  <c r="AR64" i="50"/>
  <c r="AS64" i="50" s="1"/>
  <c r="AD64" i="50"/>
  <c r="I64" i="50"/>
  <c r="E64" i="50"/>
  <c r="F64" i="50" s="1"/>
  <c r="CE63" i="50"/>
  <c r="CC63" i="50"/>
  <c r="BY63" i="50"/>
  <c r="BZ63" i="50" s="1"/>
  <c r="BX63" i="50"/>
  <c r="BU63" i="50"/>
  <c r="BS63" i="50"/>
  <c r="BE63" i="50"/>
  <c r="AR63" i="50"/>
  <c r="AS63" i="50" s="1"/>
  <c r="AD63" i="50"/>
  <c r="I63" i="50"/>
  <c r="E63" i="50"/>
  <c r="D63" i="50"/>
  <c r="CE62" i="50"/>
  <c r="CB62" i="50"/>
  <c r="CA62" i="50"/>
  <c r="BX62" i="50"/>
  <c r="BU62" i="50"/>
  <c r="BS62" i="50"/>
  <c r="BG62" i="50"/>
  <c r="AW62" i="50"/>
  <c r="BD62" i="50" s="1"/>
  <c r="AD62" i="50"/>
  <c r="W62" i="50"/>
  <c r="T62" i="50"/>
  <c r="H62" i="50"/>
  <c r="CE61" i="50"/>
  <c r="CC61" i="50"/>
  <c r="BY61" i="50"/>
  <c r="BX61" i="50"/>
  <c r="BU61" i="50"/>
  <c r="BS61" i="50"/>
  <c r="BE61" i="50"/>
  <c r="AR61" i="50"/>
  <c r="AS61" i="50" s="1"/>
  <c r="AD61" i="50"/>
  <c r="AA61" i="50"/>
  <c r="I61" i="50"/>
  <c r="CE60" i="50"/>
  <c r="CC60" i="50"/>
  <c r="BY60" i="50"/>
  <c r="CA60" i="50" s="1"/>
  <c r="BX60" i="50"/>
  <c r="BZ60" i="50" s="1"/>
  <c r="BU60" i="50"/>
  <c r="BS60" i="50"/>
  <c r="BI60" i="50"/>
  <c r="BG60" i="50"/>
  <c r="BH60" i="50" s="1"/>
  <c r="AP60" i="50"/>
  <c r="AO60" i="50"/>
  <c r="AH60" i="50"/>
  <c r="AD60" i="50"/>
  <c r="Z60" i="50"/>
  <c r="W60" i="50"/>
  <c r="T60" i="50"/>
  <c r="J60" i="50"/>
  <c r="D60" i="50"/>
  <c r="CE59" i="50"/>
  <c r="CC59" i="50"/>
  <c r="BY59" i="50"/>
  <c r="BX59" i="50"/>
  <c r="BU59" i="50"/>
  <c r="BS59" i="50"/>
  <c r="BE59" i="50"/>
  <c r="AR59" i="50"/>
  <c r="AS59" i="50" s="1"/>
  <c r="AD59" i="50"/>
  <c r="I59" i="50"/>
  <c r="E59" i="50"/>
  <c r="D59" i="50"/>
  <c r="CG58" i="50"/>
  <c r="CE58" i="50"/>
  <c r="CB58" i="50"/>
  <c r="AW58" i="50" s="1"/>
  <c r="BD58" i="50" s="1"/>
  <c r="BX58" i="50"/>
  <c r="BU58" i="50"/>
  <c r="BS58" i="50"/>
  <c r="BG58" i="50"/>
  <c r="AG58" i="50"/>
  <c r="AH58" i="50" s="1"/>
  <c r="AD58" i="50"/>
  <c r="AA58" i="50"/>
  <c r="Y58" i="50" s="1"/>
  <c r="W58" i="50"/>
  <c r="T58" i="50"/>
  <c r="H58" i="50"/>
  <c r="CE57" i="50"/>
  <c r="CC57" i="50"/>
  <c r="BY57" i="50"/>
  <c r="BX57" i="50"/>
  <c r="BZ57" i="50" s="1"/>
  <c r="BU57" i="50"/>
  <c r="BS57" i="50"/>
  <c r="BE57" i="50"/>
  <c r="AR57" i="50"/>
  <c r="AD57" i="50"/>
  <c r="Y57" i="50"/>
  <c r="X57" i="50"/>
  <c r="D57" i="50" s="1"/>
  <c r="I57" i="50"/>
  <c r="CE56" i="50"/>
  <c r="CC56" i="50"/>
  <c r="BY56" i="50"/>
  <c r="BX56" i="50"/>
  <c r="BZ56" i="50" s="1"/>
  <c r="BU56" i="50"/>
  <c r="BS56" i="50"/>
  <c r="BE56" i="50"/>
  <c r="AR56" i="50"/>
  <c r="AS56" i="50" s="1"/>
  <c r="AD56" i="50"/>
  <c r="Y56" i="50"/>
  <c r="X56" i="50"/>
  <c r="D56" i="50" s="1"/>
  <c r="I56" i="50"/>
  <c r="CE55" i="50"/>
  <c r="CC55" i="50"/>
  <c r="BY55" i="50"/>
  <c r="BX55" i="50"/>
  <c r="BZ55" i="50" s="1"/>
  <c r="BU55" i="50"/>
  <c r="BS55" i="50"/>
  <c r="BE55" i="50"/>
  <c r="AR55" i="50"/>
  <c r="AS55" i="50" s="1"/>
  <c r="AD55" i="50"/>
  <c r="AA55" i="50"/>
  <c r="Y55" i="50"/>
  <c r="E55" i="50" s="1"/>
  <c r="X55" i="50"/>
  <c r="I55" i="50"/>
  <c r="CE54" i="50"/>
  <c r="CB54" i="50"/>
  <c r="AW54" i="50" s="1"/>
  <c r="BD54" i="50" s="1"/>
  <c r="BX54" i="50"/>
  <c r="BU54" i="50"/>
  <c r="BS54" i="50"/>
  <c r="BG54" i="50"/>
  <c r="BH54" i="50" s="1"/>
  <c r="AG54" i="50"/>
  <c r="AH54" i="50" s="1"/>
  <c r="AC54" i="50"/>
  <c r="AA54" i="50"/>
  <c r="X54" i="50" s="1"/>
  <c r="D54" i="50" s="1"/>
  <c r="W54" i="50"/>
  <c r="T54" i="50"/>
  <c r="H54" i="50"/>
  <c r="I54" i="50" s="1"/>
  <c r="CE53" i="50"/>
  <c r="CC53" i="50"/>
  <c r="BY53" i="50"/>
  <c r="BX53" i="50"/>
  <c r="BZ53" i="50" s="1"/>
  <c r="BU53" i="50"/>
  <c r="BS53" i="50"/>
  <c r="BE53" i="50"/>
  <c r="AR53" i="50"/>
  <c r="AS53" i="50" s="1"/>
  <c r="AD53" i="50"/>
  <c r="Y53" i="50"/>
  <c r="X53" i="50"/>
  <c r="D53" i="50" s="1"/>
  <c r="I53" i="50"/>
  <c r="E53" i="50"/>
  <c r="CE52" i="50"/>
  <c r="CC52" i="50"/>
  <c r="BY52" i="50"/>
  <c r="BX52" i="50"/>
  <c r="BZ52" i="50" s="1"/>
  <c r="BU52" i="50"/>
  <c r="BS52" i="50"/>
  <c r="BE52" i="50"/>
  <c r="AR52" i="50"/>
  <c r="AD52" i="50"/>
  <c r="Y52" i="50"/>
  <c r="X52" i="50"/>
  <c r="I52" i="50"/>
  <c r="CE51" i="50"/>
  <c r="CC51" i="50"/>
  <c r="BY51" i="50"/>
  <c r="BX51" i="50"/>
  <c r="BU51" i="50"/>
  <c r="BS51" i="50"/>
  <c r="BK51" i="50"/>
  <c r="BE51" i="50"/>
  <c r="AR51" i="50"/>
  <c r="AS51" i="50" s="1"/>
  <c r="AC51" i="50"/>
  <c r="AD51" i="50" s="1"/>
  <c r="AA51" i="50"/>
  <c r="X51" i="50" s="1"/>
  <c r="D51" i="50" s="1"/>
  <c r="I51" i="50"/>
  <c r="CE50" i="50"/>
  <c r="CC50" i="50"/>
  <c r="BY50" i="50"/>
  <c r="BX50" i="50"/>
  <c r="BU50" i="50"/>
  <c r="BS50" i="50"/>
  <c r="BE50" i="50"/>
  <c r="AR50" i="50"/>
  <c r="AS50" i="50" s="1"/>
  <c r="AD50" i="50"/>
  <c r="I50" i="50"/>
  <c r="E50" i="50"/>
  <c r="F50" i="50" s="1"/>
  <c r="CE49" i="50"/>
  <c r="CB49" i="50"/>
  <c r="BY49" i="50" s="1"/>
  <c r="CA49" i="50" s="1"/>
  <c r="BX49" i="50"/>
  <c r="BU49" i="50"/>
  <c r="BS49" i="50"/>
  <c r="BK49" i="50"/>
  <c r="BG49" i="50"/>
  <c r="BH49" i="50" s="1"/>
  <c r="AW49" i="50"/>
  <c r="AN49" i="50"/>
  <c r="AH49" i="50"/>
  <c r="AD49" i="50"/>
  <c r="AA49" i="50"/>
  <c r="Y49" i="50" s="1"/>
  <c r="W49" i="50"/>
  <c r="L49" i="50"/>
  <c r="S49" i="50" s="1"/>
  <c r="AV49" i="50" s="1"/>
  <c r="L105" i="27" s="1"/>
  <c r="CE48" i="50"/>
  <c r="CC48" i="50"/>
  <c r="CA48" i="50"/>
  <c r="BY48" i="50"/>
  <c r="BX48" i="50"/>
  <c r="BU48" i="50"/>
  <c r="BS48" i="50"/>
  <c r="BG48" i="50"/>
  <c r="BH48" i="50" s="1"/>
  <c r="AW48" i="50"/>
  <c r="BD48" i="50" s="1"/>
  <c r="AR48" i="50"/>
  <c r="AS48" i="50" s="1"/>
  <c r="AD48" i="50"/>
  <c r="I48" i="50"/>
  <c r="D48" i="50"/>
  <c r="CE47" i="50"/>
  <c r="CC47" i="50"/>
  <c r="BY47" i="50"/>
  <c r="BX47" i="50"/>
  <c r="CA47" i="50" s="1"/>
  <c r="BU47" i="50"/>
  <c r="BS47" i="50"/>
  <c r="BL47" i="50"/>
  <c r="BG47" i="50"/>
  <c r="BH47" i="50" s="1"/>
  <c r="AW47" i="50"/>
  <c r="AH47" i="50"/>
  <c r="AD47" i="50"/>
  <c r="AA47" i="50"/>
  <c r="Y47" i="50"/>
  <c r="X47" i="50"/>
  <c r="D47" i="50" s="1"/>
  <c r="W47" i="50"/>
  <c r="T47" i="50"/>
  <c r="H47" i="50"/>
  <c r="I47" i="50" s="1"/>
  <c r="CC46" i="50"/>
  <c r="BY46" i="50"/>
  <c r="BX46" i="50"/>
  <c r="BZ46" i="50" s="1"/>
  <c r="BS46" i="50"/>
  <c r="AR46" i="50"/>
  <c r="AQ46" i="50"/>
  <c r="AQ44" i="50" s="1"/>
  <c r="AD46" i="50"/>
  <c r="I46" i="50"/>
  <c r="E46" i="50"/>
  <c r="F46" i="50" s="1"/>
  <c r="CC45" i="50"/>
  <c r="BY45" i="50"/>
  <c r="BX45" i="50"/>
  <c r="BZ45" i="50" s="1"/>
  <c r="BS45" i="50"/>
  <c r="AR45" i="50"/>
  <c r="AQ45" i="50"/>
  <c r="AD45" i="50"/>
  <c r="I45" i="50"/>
  <c r="E45" i="50"/>
  <c r="F45" i="50" s="1"/>
  <c r="CD44" i="50"/>
  <c r="BX44" i="50"/>
  <c r="BT44" i="50"/>
  <c r="BR44" i="50"/>
  <c r="BI44" i="50"/>
  <c r="BF44" i="50"/>
  <c r="AP44" i="50"/>
  <c r="AO44" i="50"/>
  <c r="AM44" i="50"/>
  <c r="AL44" i="50"/>
  <c r="AG44" i="50"/>
  <c r="AF44" i="50"/>
  <c r="AB44" i="50"/>
  <c r="V44" i="50"/>
  <c r="U44" i="50"/>
  <c r="K44" i="50"/>
  <c r="G44" i="50"/>
  <c r="CC43" i="50"/>
  <c r="BY43" i="50"/>
  <c r="BS43" i="50"/>
  <c r="AR43" i="50"/>
  <c r="AS43" i="50" s="1"/>
  <c r="AQ43" i="50"/>
  <c r="BX43" i="50" s="1"/>
  <c r="BZ43" i="50" s="1"/>
  <c r="AD43" i="50"/>
  <c r="I43" i="50"/>
  <c r="E43" i="50"/>
  <c r="F43" i="50" s="1"/>
  <c r="CC42" i="50"/>
  <c r="BY42" i="50"/>
  <c r="BS42" i="50"/>
  <c r="AR42" i="50"/>
  <c r="AQ42" i="50"/>
  <c r="BX42" i="50" s="1"/>
  <c r="BZ42" i="50" s="1"/>
  <c r="AD42" i="50"/>
  <c r="I42" i="50"/>
  <c r="CC41" i="50"/>
  <c r="BY41" i="50"/>
  <c r="BS41" i="50"/>
  <c r="BI41" i="50"/>
  <c r="AR41" i="50"/>
  <c r="AQ41" i="50"/>
  <c r="AD41" i="50"/>
  <c r="X41" i="50"/>
  <c r="U41" i="50"/>
  <c r="K41" i="50"/>
  <c r="G41" i="50"/>
  <c r="CC40" i="50"/>
  <c r="BY40" i="50"/>
  <c r="BS40" i="50"/>
  <c r="AR40" i="50"/>
  <c r="AQ40" i="50"/>
  <c r="BX40" i="50" s="1"/>
  <c r="AD40" i="50"/>
  <c r="X40" i="50" s="1"/>
  <c r="I40" i="50"/>
  <c r="CE39" i="50"/>
  <c r="CB39" i="50"/>
  <c r="BY39" i="50" s="1"/>
  <c r="BX39" i="50"/>
  <c r="BU39" i="50"/>
  <c r="BS39" i="50"/>
  <c r="BG39" i="50"/>
  <c r="BH39" i="50" s="1"/>
  <c r="BE39" i="50"/>
  <c r="AR39" i="50"/>
  <c r="AS39" i="50" s="1"/>
  <c r="AD39" i="50"/>
  <c r="X39" i="50"/>
  <c r="D39" i="50" s="1"/>
  <c r="T39" i="50"/>
  <c r="I39" i="50"/>
  <c r="H39" i="50"/>
  <c r="CE38" i="50"/>
  <c r="CB38" i="50"/>
  <c r="CB35" i="50" s="1"/>
  <c r="BX38" i="50"/>
  <c r="CA38" i="50" s="1"/>
  <c r="BU38" i="50"/>
  <c r="BS38" i="50"/>
  <c r="BG38" i="50"/>
  <c r="AR38" i="50" s="1"/>
  <c r="BE38" i="50"/>
  <c r="AH38" i="50"/>
  <c r="AD38" i="50"/>
  <c r="Y38" i="50"/>
  <c r="Y35" i="50" s="1"/>
  <c r="X38" i="50"/>
  <c r="D38" i="50" s="1"/>
  <c r="T38" i="50"/>
  <c r="H38" i="50"/>
  <c r="I38" i="50" s="1"/>
  <c r="CE37" i="50"/>
  <c r="CE35" i="50" s="1"/>
  <c r="CE32" i="50" s="1"/>
  <c r="CC37" i="50"/>
  <c r="BY37" i="50"/>
  <c r="BX37" i="50"/>
  <c r="BU37" i="50"/>
  <c r="BU35" i="50" s="1"/>
  <c r="BU32" i="50" s="1"/>
  <c r="BS37" i="50"/>
  <c r="BH37" i="50"/>
  <c r="AW37" i="50"/>
  <c r="AH37" i="50"/>
  <c r="AD37" i="50"/>
  <c r="Y37" i="50"/>
  <c r="Z37" i="50" s="1"/>
  <c r="X37" i="50"/>
  <c r="W37" i="50"/>
  <c r="T37" i="50"/>
  <c r="H37" i="50"/>
  <c r="I37" i="50" s="1"/>
  <c r="D37" i="50"/>
  <c r="CC36" i="50"/>
  <c r="BY36" i="50"/>
  <c r="BX36" i="50"/>
  <c r="BS36" i="50"/>
  <c r="AR36" i="50"/>
  <c r="AS36" i="50" s="1"/>
  <c r="AD36" i="50"/>
  <c r="I36" i="50"/>
  <c r="E36" i="50"/>
  <c r="F36" i="50" s="1"/>
  <c r="CD35" i="50"/>
  <c r="CD32" i="50" s="1"/>
  <c r="BX35" i="50"/>
  <c r="BT35" i="50"/>
  <c r="BR35" i="50"/>
  <c r="BI35" i="50"/>
  <c r="AW35" i="50"/>
  <c r="BD35" i="50" s="1"/>
  <c r="AP35" i="50"/>
  <c r="AO35" i="50"/>
  <c r="AG35" i="50"/>
  <c r="AG32" i="50" s="1"/>
  <c r="AF35" i="50"/>
  <c r="AE35" i="50"/>
  <c r="AC35" i="50"/>
  <c r="AB35" i="50"/>
  <c r="AA35" i="50"/>
  <c r="AA32" i="50" s="1"/>
  <c r="V35" i="50"/>
  <c r="U35" i="50"/>
  <c r="L35" i="50"/>
  <c r="K35" i="50"/>
  <c r="K32" i="50" s="1"/>
  <c r="J35" i="50"/>
  <c r="G35" i="50"/>
  <c r="CC34" i="50"/>
  <c r="CC33" i="50" s="1"/>
  <c r="BY34" i="50"/>
  <c r="CA34" i="50" s="1"/>
  <c r="CA33" i="50" s="1"/>
  <c r="BX34" i="50"/>
  <c r="BS34" i="50"/>
  <c r="BS33" i="50" s="1"/>
  <c r="AW34" i="50"/>
  <c r="BD34" i="50" s="1"/>
  <c r="AD34" i="50"/>
  <c r="X34" i="50" s="1"/>
  <c r="D34" i="50" s="1"/>
  <c r="I34" i="50"/>
  <c r="CB33" i="50"/>
  <c r="BY33" i="50" s="1"/>
  <c r="BX33" i="50"/>
  <c r="BZ33" i="50" s="1"/>
  <c r="BI33" i="50"/>
  <c r="AP33" i="50"/>
  <c r="AO33" i="50"/>
  <c r="AO32" i="50" s="1"/>
  <c r="AF33" i="50"/>
  <c r="AE33" i="50"/>
  <c r="AE32" i="50" s="1"/>
  <c r="AC33" i="50"/>
  <c r="AB33" i="50"/>
  <c r="U33" i="50"/>
  <c r="K33" i="50"/>
  <c r="G33" i="50"/>
  <c r="I33" i="50" s="1"/>
  <c r="BX32" i="50"/>
  <c r="BT32" i="50"/>
  <c r="BR32" i="50"/>
  <c r="AT32" i="50"/>
  <c r="L32" i="50"/>
  <c r="J32" i="50"/>
  <c r="CC31" i="50"/>
  <c r="BY31" i="50"/>
  <c r="BX31" i="50"/>
  <c r="BZ31" i="50" s="1"/>
  <c r="BS31" i="50"/>
  <c r="AR31" i="50"/>
  <c r="AS31" i="50" s="1"/>
  <c r="AD31" i="50"/>
  <c r="X31" i="50" s="1"/>
  <c r="I31" i="50"/>
  <c r="E31" i="50"/>
  <c r="F31" i="50" s="1"/>
  <c r="CC30" i="50"/>
  <c r="BY30" i="50"/>
  <c r="BX30" i="50"/>
  <c r="BS30" i="50"/>
  <c r="AR30" i="50"/>
  <c r="AS30" i="50" s="1"/>
  <c r="AD30" i="50"/>
  <c r="X30" i="50" s="1"/>
  <c r="I30" i="50"/>
  <c r="E30" i="50"/>
  <c r="F30" i="50" s="1"/>
  <c r="CC29" i="50"/>
  <c r="BY29" i="50"/>
  <c r="BX29" i="50"/>
  <c r="BZ29" i="50" s="1"/>
  <c r="BS29" i="50"/>
  <c r="AS29" i="50"/>
  <c r="AR29" i="50"/>
  <c r="AD29" i="50"/>
  <c r="X29" i="50" s="1"/>
  <c r="I29" i="50"/>
  <c r="E29" i="50"/>
  <c r="F29" i="50" s="1"/>
  <c r="CC28" i="50"/>
  <c r="BY28" i="50"/>
  <c r="BX28" i="50"/>
  <c r="BZ28" i="50" s="1"/>
  <c r="BS28" i="50"/>
  <c r="BI28" i="50"/>
  <c r="AR28" i="50"/>
  <c r="AS28" i="50" s="1"/>
  <c r="AO28" i="50"/>
  <c r="AF28" i="50"/>
  <c r="X28" i="50" s="1"/>
  <c r="AD28" i="50"/>
  <c r="U28" i="50"/>
  <c r="K28" i="50"/>
  <c r="G28" i="50"/>
  <c r="E28" i="50"/>
  <c r="CE27" i="50"/>
  <c r="CE23" i="50" s="1"/>
  <c r="CC27" i="50"/>
  <c r="BY27" i="50"/>
  <c r="BX27" i="50"/>
  <c r="CA27" i="50" s="1"/>
  <c r="BU27" i="50"/>
  <c r="BS27" i="50"/>
  <c r="BG27" i="50"/>
  <c r="BH27" i="50" s="1"/>
  <c r="AW27" i="50"/>
  <c r="BD27" i="50" s="1"/>
  <c r="AR27" i="50"/>
  <c r="AS27" i="50" s="1"/>
  <c r="X27" i="50"/>
  <c r="D27" i="50" s="1"/>
  <c r="W27" i="50"/>
  <c r="T27" i="50"/>
  <c r="H27" i="50"/>
  <c r="I27" i="50" s="1"/>
  <c r="CE26" i="50"/>
  <c r="CB26" i="50"/>
  <c r="BX26" i="50"/>
  <c r="BU26" i="50"/>
  <c r="BS26" i="50"/>
  <c r="BG26" i="50"/>
  <c r="BH26" i="50" s="1"/>
  <c r="AP26" i="50"/>
  <c r="AN26" i="50"/>
  <c r="AK26" i="50"/>
  <c r="AH26" i="50"/>
  <c r="AD26" i="50"/>
  <c r="Y26" i="50"/>
  <c r="X26" i="50"/>
  <c r="W26" i="50"/>
  <c r="L26" i="50"/>
  <c r="T26" i="50" s="1"/>
  <c r="J26" i="50"/>
  <c r="CE25" i="50"/>
  <c r="CC25" i="50"/>
  <c r="CA25" i="50"/>
  <c r="BY25" i="50"/>
  <c r="BX25" i="50"/>
  <c r="BU25" i="50"/>
  <c r="BS25" i="50"/>
  <c r="BS23" i="50" s="1"/>
  <c r="BG25" i="50"/>
  <c r="BH25" i="50" s="1"/>
  <c r="AW25" i="50"/>
  <c r="AP25" i="50"/>
  <c r="AN25" i="50"/>
  <c r="AK25" i="50"/>
  <c r="AH25" i="50"/>
  <c r="AD25" i="50"/>
  <c r="Y25" i="50"/>
  <c r="X25" i="50"/>
  <c r="W25" i="50"/>
  <c r="L25" i="50"/>
  <c r="T25" i="50" s="1"/>
  <c r="J25" i="50"/>
  <c r="S25" i="50" s="1"/>
  <c r="AV25" i="50" s="1"/>
  <c r="BY24" i="50"/>
  <c r="BZ24" i="50" s="1"/>
  <c r="BX24" i="50"/>
  <c r="AR24" i="50"/>
  <c r="AS24" i="50" s="1"/>
  <c r="AD24" i="50"/>
  <c r="I24" i="50"/>
  <c r="E24" i="50"/>
  <c r="F24" i="50" s="1"/>
  <c r="CD23" i="50"/>
  <c r="BX23" i="50"/>
  <c r="BT23" i="50"/>
  <c r="BR23" i="50"/>
  <c r="BR22" i="50" s="1"/>
  <c r="BR75" i="50" s="1"/>
  <c r="BI23" i="50"/>
  <c r="AT23" i="50"/>
  <c r="AO23" i="50"/>
  <c r="AM23" i="50"/>
  <c r="AN23" i="50" s="1"/>
  <c r="AL23" i="50"/>
  <c r="AJ23" i="50"/>
  <c r="AI23" i="50"/>
  <c r="AI22" i="50" s="1"/>
  <c r="AG23" i="50"/>
  <c r="AF23" i="50"/>
  <c r="AH23" i="50" s="1"/>
  <c r="AE23" i="50"/>
  <c r="AC23" i="50"/>
  <c r="AB23" i="50"/>
  <c r="AA23" i="50"/>
  <c r="V23" i="50"/>
  <c r="W23" i="50" s="1"/>
  <c r="U23" i="50"/>
  <c r="K23" i="50"/>
  <c r="G23" i="50"/>
  <c r="BX22" i="50"/>
  <c r="BG21" i="50"/>
  <c r="BH21" i="50" s="1"/>
  <c r="AD21" i="50"/>
  <c r="I21" i="50"/>
  <c r="D21" i="50"/>
  <c r="BG20" i="50"/>
  <c r="BH20" i="50" s="1"/>
  <c r="AW20" i="50"/>
  <c r="AR20" i="50" s="1"/>
  <c r="AD20" i="50"/>
  <c r="I20" i="50"/>
  <c r="D20" i="50"/>
  <c r="AR19" i="50"/>
  <c r="AS19" i="50" s="1"/>
  <c r="AN19" i="50"/>
  <c r="AK19" i="50"/>
  <c r="AH19" i="50"/>
  <c r="AD19" i="50"/>
  <c r="I19" i="50"/>
  <c r="AR18" i="50"/>
  <c r="AS18" i="50" s="1"/>
  <c r="AD18" i="50"/>
  <c r="I18" i="50"/>
  <c r="E18" i="50"/>
  <c r="F18" i="50" s="1"/>
  <c r="AR17" i="50"/>
  <c r="AS17" i="50" s="1"/>
  <c r="AD17" i="50"/>
  <c r="I17" i="50"/>
  <c r="E17" i="50"/>
  <c r="F17" i="50" s="1"/>
  <c r="BE16" i="50"/>
  <c r="AR16" i="50"/>
  <c r="AS16" i="50" s="1"/>
  <c r="AD16" i="50"/>
  <c r="I16" i="50"/>
  <c r="D16" i="50"/>
  <c r="AR15" i="50"/>
  <c r="AS15" i="50" s="1"/>
  <c r="AD15" i="50"/>
  <c r="I15" i="50"/>
  <c r="E15" i="50"/>
  <c r="F15" i="50" s="1"/>
  <c r="CB14" i="50"/>
  <c r="BH14" i="50"/>
  <c r="BG14" i="50"/>
  <c r="AW14" i="50"/>
  <c r="AR14" i="50" s="1"/>
  <c r="AS14" i="50"/>
  <c r="AD14" i="50"/>
  <c r="W14" i="50"/>
  <c r="J14" i="50"/>
  <c r="J13" i="50" s="1"/>
  <c r="J10" i="50" s="1"/>
  <c r="H14" i="50"/>
  <c r="E14" i="50" s="1"/>
  <c r="G14" i="50"/>
  <c r="D14" i="50" s="1"/>
  <c r="CB13" i="50"/>
  <c r="BG13" i="50"/>
  <c r="BH13" i="50" s="1"/>
  <c r="AP13" i="50"/>
  <c r="AP10" i="50" s="1"/>
  <c r="AD13" i="50"/>
  <c r="V13" i="50"/>
  <c r="U13" i="50"/>
  <c r="U10" i="50" s="1"/>
  <c r="G13" i="50"/>
  <c r="D13" i="50" s="1"/>
  <c r="AQ12" i="50"/>
  <c r="E12" i="50" s="1"/>
  <c r="F12" i="50" s="1"/>
  <c r="AD12" i="50"/>
  <c r="AQ11" i="50"/>
  <c r="AS11" i="50" s="1"/>
  <c r="AD11" i="50"/>
  <c r="CH10" i="50"/>
  <c r="CD10" i="50"/>
  <c r="CA10" i="50"/>
  <c r="BX10" i="50"/>
  <c r="BZ10" i="50" s="1"/>
  <c r="BT10" i="50"/>
  <c r="BF10" i="50"/>
  <c r="BM12" i="50" s="1"/>
  <c r="AT10" i="50"/>
  <c r="BL12" i="50" s="1"/>
  <c r="AM10" i="50"/>
  <c r="AL10" i="50"/>
  <c r="AI10" i="50"/>
  <c r="AK10" i="50" s="1"/>
  <c r="BS10" i="50" s="1"/>
  <c r="AG10" i="50"/>
  <c r="AF10" i="50"/>
  <c r="AC10" i="50"/>
  <c r="AB10" i="50"/>
  <c r="AA10" i="50"/>
  <c r="K10" i="50"/>
  <c r="L4" i="68" l="1"/>
  <c r="L76" i="68"/>
  <c r="L79" i="68" s="1"/>
  <c r="L80" i="68" s="1"/>
  <c r="M75" i="68"/>
  <c r="M76" i="68" s="1"/>
  <c r="M79" i="68" s="1"/>
  <c r="M80" i="68" s="1"/>
  <c r="F23" i="64"/>
  <c r="E78" i="64"/>
  <c r="E81" i="64"/>
  <c r="E75" i="64"/>
  <c r="I75" i="64"/>
  <c r="I76" i="64" s="1"/>
  <c r="I79" i="64" s="1"/>
  <c r="I80" i="64" s="1"/>
  <c r="H76" i="64"/>
  <c r="L117" i="64"/>
  <c r="L116" i="63"/>
  <c r="E74" i="63"/>
  <c r="E75" i="63" s="1"/>
  <c r="F75" i="63" s="1"/>
  <c r="I74" i="63"/>
  <c r="H75" i="63"/>
  <c r="H78" i="63" s="1"/>
  <c r="H79" i="63" s="1"/>
  <c r="F22" i="63"/>
  <c r="E80" i="63"/>
  <c r="E77" i="63"/>
  <c r="L76" i="64"/>
  <c r="L79" i="64" s="1"/>
  <c r="L80" i="64" s="1"/>
  <c r="L4" i="64"/>
  <c r="M75" i="64"/>
  <c r="L75" i="63"/>
  <c r="L78" i="63" s="1"/>
  <c r="L79" i="63" s="1"/>
  <c r="M74" i="63"/>
  <c r="M75" i="63" s="1"/>
  <c r="M78" i="63" s="1"/>
  <c r="M79" i="63" s="1"/>
  <c r="L3" i="63"/>
  <c r="H79" i="64"/>
  <c r="H80" i="64" s="1"/>
  <c r="F14" i="50"/>
  <c r="BT22" i="50"/>
  <c r="BT75" i="50" s="1"/>
  <c r="AM22" i="50"/>
  <c r="AS73" i="50"/>
  <c r="W13" i="50"/>
  <c r="T32" i="50"/>
  <c r="T35" i="50"/>
  <c r="BE35" i="50"/>
  <c r="E69" i="50"/>
  <c r="F69" i="50" s="1"/>
  <c r="AS12" i="50"/>
  <c r="CB15" i="50"/>
  <c r="G10" i="50"/>
  <c r="BG10" i="50"/>
  <c r="CE10" i="50" s="1"/>
  <c r="E16" i="50"/>
  <c r="F16" i="50" s="1"/>
  <c r="BE27" i="50"/>
  <c r="AH44" i="50"/>
  <c r="AS45" i="50"/>
  <c r="BZ47" i="50"/>
  <c r="BZ48" i="50"/>
  <c r="BZ50" i="50"/>
  <c r="BE58" i="50"/>
  <c r="T4" i="50"/>
  <c r="U4" i="50" s="1"/>
  <c r="D25" i="50"/>
  <c r="E27" i="50"/>
  <c r="F27" i="50" s="1"/>
  <c r="BZ34" i="50"/>
  <c r="CD22" i="50"/>
  <c r="CD75" i="50" s="1"/>
  <c r="BS44" i="50"/>
  <c r="Y51" i="50"/>
  <c r="E51" i="50" s="1"/>
  <c r="Z55" i="50"/>
  <c r="BY58" i="50"/>
  <c r="CA58" i="50" s="1"/>
  <c r="AS20" i="50"/>
  <c r="E20" i="50"/>
  <c r="F20" i="50" s="1"/>
  <c r="AS38" i="50"/>
  <c r="E38" i="50"/>
  <c r="F38" i="50" s="1"/>
  <c r="BY35" i="50"/>
  <c r="CB32" i="50"/>
  <c r="BY32" i="50" s="1"/>
  <c r="BZ32" i="50" s="1"/>
  <c r="F53" i="50"/>
  <c r="AR54" i="50"/>
  <c r="AS54" i="50" s="1"/>
  <c r="E67" i="50"/>
  <c r="F67" i="50" s="1"/>
  <c r="BY38" i="50"/>
  <c r="BZ39" i="50"/>
  <c r="E42" i="50"/>
  <c r="F42" i="50" s="1"/>
  <c r="Z47" i="50"/>
  <c r="CC49" i="50"/>
  <c r="Y54" i="50"/>
  <c r="Z54" i="50" s="1"/>
  <c r="BE54" i="50"/>
  <c r="CC54" i="50"/>
  <c r="AS67" i="50"/>
  <c r="E73" i="50"/>
  <c r="F73" i="50" s="1"/>
  <c r="AR25" i="50"/>
  <c r="AS25" i="50" s="1"/>
  <c r="BD25" i="50"/>
  <c r="AK23" i="50"/>
  <c r="BH38" i="50"/>
  <c r="CC38" i="50"/>
  <c r="CC39" i="50"/>
  <c r="CB44" i="50"/>
  <c r="BY44" i="50" s="1"/>
  <c r="AW44" i="50"/>
  <c r="BD47" i="50"/>
  <c r="BE14" i="50"/>
  <c r="BE20" i="50"/>
  <c r="AJ22" i="50"/>
  <c r="K22" i="50"/>
  <c r="L100" i="27"/>
  <c r="AV104" i="50"/>
  <c r="Z25" i="50"/>
  <c r="AT22" i="50"/>
  <c r="AT86" i="50" s="1"/>
  <c r="BI32" i="50"/>
  <c r="H35" i="50"/>
  <c r="X35" i="50"/>
  <c r="Z35" i="50" s="1"/>
  <c r="Z38" i="50"/>
  <c r="BS35" i="50"/>
  <c r="BS32" i="50" s="1"/>
  <c r="BS22" i="50" s="1"/>
  <c r="BZ38" i="50"/>
  <c r="AS46" i="50"/>
  <c r="BE47" i="50"/>
  <c r="BE48" i="50"/>
  <c r="X49" i="50"/>
  <c r="D49" i="50" s="1"/>
  <c r="CE44" i="50"/>
  <c r="CE22" i="50" s="1"/>
  <c r="Z56" i="50"/>
  <c r="AS66" i="50"/>
  <c r="AS68" i="50"/>
  <c r="AS69" i="50"/>
  <c r="N105" i="27"/>
  <c r="AR49" i="50"/>
  <c r="AS49" i="50" s="1"/>
  <c r="BD49" i="50"/>
  <c r="X23" i="50"/>
  <c r="BE25" i="50"/>
  <c r="W35" i="50"/>
  <c r="BZ40" i="50"/>
  <c r="W44" i="50"/>
  <c r="AD23" i="50"/>
  <c r="AP23" i="50"/>
  <c r="BZ25" i="50"/>
  <c r="S26" i="50"/>
  <c r="AV26" i="50" s="1"/>
  <c r="L101" i="27" s="1"/>
  <c r="BZ30" i="50"/>
  <c r="U32" i="50"/>
  <c r="U22" i="50" s="1"/>
  <c r="BZ36" i="50"/>
  <c r="BE37" i="50"/>
  <c r="BD37" i="50"/>
  <c r="CA39" i="50"/>
  <c r="AS42" i="50"/>
  <c r="AC44" i="50"/>
  <c r="AD44" i="50" s="1"/>
  <c r="AL22" i="50"/>
  <c r="Z52" i="50"/>
  <c r="Z53" i="50"/>
  <c r="BY54" i="50"/>
  <c r="CA54" i="50" s="1"/>
  <c r="CC58" i="50"/>
  <c r="F59" i="50"/>
  <c r="BZ59" i="50"/>
  <c r="H60" i="50"/>
  <c r="E60" i="50" s="1"/>
  <c r="F60" i="50" s="1"/>
  <c r="S60" i="50"/>
  <c r="AV60" i="50" s="1"/>
  <c r="L108" i="27" s="1"/>
  <c r="AR60" i="50"/>
  <c r="BE62" i="50"/>
  <c r="F83" i="52"/>
  <c r="F78" i="52"/>
  <c r="F79" i="52" s="1"/>
  <c r="D78" i="52"/>
  <c r="D79" i="52" s="1"/>
  <c r="R44" i="50"/>
  <c r="R35" i="50"/>
  <c r="S35" i="50" s="1"/>
  <c r="AV35" i="50" s="1"/>
  <c r="BC22" i="50"/>
  <c r="AO22" i="50"/>
  <c r="AO77" i="50" s="1"/>
  <c r="AN10" i="50"/>
  <c r="BU10" i="50" s="1"/>
  <c r="AD10" i="50"/>
  <c r="AD33" i="50"/>
  <c r="X33" i="50" s="1"/>
  <c r="AC32" i="50"/>
  <c r="BI22" i="50"/>
  <c r="BI77" i="50" s="1"/>
  <c r="AN22" i="50"/>
  <c r="AH35" i="50"/>
  <c r="AN44" i="50"/>
  <c r="AD35" i="50"/>
  <c r="AG22" i="50"/>
  <c r="AG77" i="50" s="1"/>
  <c r="AH10" i="50"/>
  <c r="P22" i="50"/>
  <c r="N32" i="50"/>
  <c r="R32" i="50" s="1"/>
  <c r="S32" i="50" s="1"/>
  <c r="AV32" i="50" s="1"/>
  <c r="O22" i="50"/>
  <c r="M22" i="50"/>
  <c r="BH10" i="50"/>
  <c r="E11" i="50"/>
  <c r="F11" i="50" s="1"/>
  <c r="K77" i="50"/>
  <c r="K74" i="50"/>
  <c r="K75" i="50" s="1"/>
  <c r="AP32" i="50"/>
  <c r="E40" i="50"/>
  <c r="F40" i="50" s="1"/>
  <c r="D41" i="50"/>
  <c r="I41" i="50"/>
  <c r="BU23" i="50"/>
  <c r="V10" i="50"/>
  <c r="BG23" i="50"/>
  <c r="BZ27" i="50"/>
  <c r="AO75" i="50"/>
  <c r="AT77" i="50"/>
  <c r="CA37" i="50"/>
  <c r="BZ37" i="50"/>
  <c r="I28" i="50"/>
  <c r="D28" i="50"/>
  <c r="F28" i="50" s="1"/>
  <c r="BF86" i="50"/>
  <c r="BF75" i="50"/>
  <c r="BF77" i="50"/>
  <c r="CF11" i="50"/>
  <c r="I14" i="50"/>
  <c r="L14" i="50"/>
  <c r="T14" i="50" s="1"/>
  <c r="H13" i="50"/>
  <c r="AR21" i="50"/>
  <c r="AJ75" i="50"/>
  <c r="AK75" i="50" s="1"/>
  <c r="AK22" i="50"/>
  <c r="H26" i="50"/>
  <c r="J23" i="50"/>
  <c r="D26" i="50"/>
  <c r="Z26" i="50"/>
  <c r="CB23" i="50"/>
  <c r="AW26" i="50"/>
  <c r="BD26" i="50" s="1"/>
  <c r="CC26" i="50"/>
  <c r="CC23" i="50" s="1"/>
  <c r="BY26" i="50"/>
  <c r="CA26" i="50" s="1"/>
  <c r="CA23" i="50" s="1"/>
  <c r="AF32" i="50"/>
  <c r="AF22" i="50" s="1"/>
  <c r="AF77" i="50" s="1"/>
  <c r="AW33" i="50"/>
  <c r="BD33" i="50" s="1"/>
  <c r="AR34" i="50"/>
  <c r="Y32" i="50"/>
  <c r="F51" i="50"/>
  <c r="I60" i="50"/>
  <c r="AE44" i="50"/>
  <c r="AE22" i="50" s="1"/>
  <c r="Y65" i="50"/>
  <c r="BX72" i="50"/>
  <c r="BZ72" i="50" s="1"/>
  <c r="AS72" i="50"/>
  <c r="E72" i="50"/>
  <c r="F72" i="50" s="1"/>
  <c r="AW13" i="50"/>
  <c r="Y23" i="50"/>
  <c r="AB32" i="50"/>
  <c r="AD32" i="50" s="1"/>
  <c r="BG35" i="50"/>
  <c r="AR37" i="50"/>
  <c r="AS40" i="50"/>
  <c r="J44" i="50"/>
  <c r="BG44" i="50"/>
  <c r="BH44" i="50" s="1"/>
  <c r="BU44" i="50"/>
  <c r="BU75" i="50" s="1"/>
  <c r="E48" i="50"/>
  <c r="F48" i="50" s="1"/>
  <c r="BE49" i="50"/>
  <c r="BZ49" i="50"/>
  <c r="BZ51" i="50"/>
  <c r="D52" i="50"/>
  <c r="AD54" i="50"/>
  <c r="D55" i="50"/>
  <c r="F55" i="50" s="1"/>
  <c r="E57" i="50"/>
  <c r="F57" i="50" s="1"/>
  <c r="AS57" i="50"/>
  <c r="I58" i="50"/>
  <c r="AA62" i="50"/>
  <c r="Y61" i="50"/>
  <c r="X65" i="50"/>
  <c r="D65" i="50" s="1"/>
  <c r="Z74" i="50"/>
  <c r="CE75" i="50"/>
  <c r="AS41" i="50"/>
  <c r="BX41" i="50"/>
  <c r="BZ41" i="50" s="1"/>
  <c r="BZ44" i="50"/>
  <c r="H49" i="50"/>
  <c r="H44" i="50" s="1"/>
  <c r="L44" i="50"/>
  <c r="T44" i="50" s="1"/>
  <c r="AS52" i="50"/>
  <c r="E52" i="50"/>
  <c r="F52" i="50" s="1"/>
  <c r="BH58" i="50"/>
  <c r="AR58" i="50"/>
  <c r="AS58" i="50" s="1"/>
  <c r="I65" i="50"/>
  <c r="BE65" i="50"/>
  <c r="AR65" i="50"/>
  <c r="AS65" i="50" s="1"/>
  <c r="BX74" i="50"/>
  <c r="L23" i="50"/>
  <c r="H25" i="50"/>
  <c r="G32" i="50"/>
  <c r="V32" i="50"/>
  <c r="BZ35" i="50"/>
  <c r="E39" i="50"/>
  <c r="F39" i="50" s="1"/>
  <c r="E41" i="50"/>
  <c r="AR47" i="50"/>
  <c r="T49" i="50"/>
  <c r="Z51" i="50"/>
  <c r="E56" i="50"/>
  <c r="F56" i="50" s="1"/>
  <c r="BH62" i="50"/>
  <c r="AR62" i="50"/>
  <c r="AS62" i="50" s="1"/>
  <c r="CC65" i="50"/>
  <c r="BY65" i="50"/>
  <c r="CA65" i="50" s="1"/>
  <c r="CA44" i="50" s="1"/>
  <c r="BX70" i="50"/>
  <c r="BZ70" i="50" s="1"/>
  <c r="AS70" i="50"/>
  <c r="E70" i="50"/>
  <c r="F63" i="50"/>
  <c r="AQ75" i="50"/>
  <c r="BX75" i="50" s="1"/>
  <c r="Z57" i="50"/>
  <c r="I62" i="50"/>
  <c r="CC62" i="50"/>
  <c r="BY62" i="50"/>
  <c r="BZ62" i="50" s="1"/>
  <c r="BZ64" i="50"/>
  <c r="BZ54" i="50"/>
  <c r="X58" i="50"/>
  <c r="BZ61" i="50"/>
  <c r="I66" i="50"/>
  <c r="D66" i="50"/>
  <c r="F66" i="50" s="1"/>
  <c r="I70" i="50"/>
  <c r="D70" i="50"/>
  <c r="BZ73" i="50"/>
  <c r="C59" i="48"/>
  <c r="C60" i="48"/>
  <c r="M76" i="64" l="1"/>
  <c r="M79" i="64" s="1"/>
  <c r="M80" i="64" s="1"/>
  <c r="E78" i="63"/>
  <c r="E79" i="63" s="1"/>
  <c r="I75" i="63"/>
  <c r="I78" i="63" s="1"/>
  <c r="I79" i="63" s="1"/>
  <c r="E103" i="63"/>
  <c r="F74" i="63"/>
  <c r="E101" i="63"/>
  <c r="E3" i="63"/>
  <c r="F82" i="63"/>
  <c r="F83" i="63" s="1"/>
  <c r="F77" i="63"/>
  <c r="F78" i="63" s="1"/>
  <c r="F79" i="63" s="1"/>
  <c r="E104" i="64"/>
  <c r="F75" i="64"/>
  <c r="E102" i="64"/>
  <c r="E76" i="64"/>
  <c r="F83" i="64"/>
  <c r="F78" i="64"/>
  <c r="E65" i="50"/>
  <c r="CC35" i="50"/>
  <c r="CC32" i="50" s="1"/>
  <c r="BZ58" i="50"/>
  <c r="D23" i="50"/>
  <c r="U77" i="50"/>
  <c r="U74" i="50"/>
  <c r="U75" i="50" s="1"/>
  <c r="U78" i="50" s="1"/>
  <c r="U79" i="50" s="1"/>
  <c r="X105" i="27"/>
  <c r="AB105" i="27"/>
  <c r="M100" i="27"/>
  <c r="J26" i="27"/>
  <c r="O101" i="27"/>
  <c r="L114" i="27"/>
  <c r="CA35" i="50"/>
  <c r="CA32" i="50" s="1"/>
  <c r="AT74" i="50"/>
  <c r="N108" i="27"/>
  <c r="E54" i="50"/>
  <c r="F54" i="50" s="1"/>
  <c r="D35" i="50"/>
  <c r="AP22" i="50"/>
  <c r="AP77" i="50" s="1"/>
  <c r="X106" i="27"/>
  <c r="AB106" i="27"/>
  <c r="N101" i="27"/>
  <c r="I35" i="50"/>
  <c r="H32" i="50"/>
  <c r="BE44" i="50"/>
  <c r="BD44" i="50"/>
  <c r="CC44" i="50"/>
  <c r="CC22" i="50" s="1"/>
  <c r="F41" i="50"/>
  <c r="CA22" i="50"/>
  <c r="BS75" i="50"/>
  <c r="AC22" i="50"/>
  <c r="S44" i="50"/>
  <c r="AV44" i="50" s="1"/>
  <c r="AV22" i="50" s="1"/>
  <c r="AV99" i="50" s="1"/>
  <c r="AV101" i="50" s="1"/>
  <c r="AV23" i="50"/>
  <c r="Z49" i="50"/>
  <c r="S23" i="50"/>
  <c r="AG75" i="50"/>
  <c r="AG78" i="50" s="1"/>
  <c r="AG79" i="50" s="1"/>
  <c r="D33" i="50"/>
  <c r="X32" i="50"/>
  <c r="D32" i="50" s="1"/>
  <c r="BI75" i="50"/>
  <c r="BI78" i="50" s="1"/>
  <c r="BI79" i="50" s="1"/>
  <c r="AQ78" i="50"/>
  <c r="AQ79" i="50" s="1"/>
  <c r="AS75" i="50"/>
  <c r="BF78" i="50"/>
  <c r="BF79" i="50" s="1"/>
  <c r="AO78" i="50"/>
  <c r="AO79" i="50" s="1"/>
  <c r="N22" i="50"/>
  <c r="R22" i="50" s="1"/>
  <c r="AB22" i="50"/>
  <c r="CA74" i="50"/>
  <c r="CA99" i="50" s="1"/>
  <c r="CA21" i="50"/>
  <c r="I44" i="50"/>
  <c r="V22" i="50"/>
  <c r="W32" i="50"/>
  <c r="AC77" i="50"/>
  <c r="AD22" i="50"/>
  <c r="AD77" i="50" s="1"/>
  <c r="Z61" i="50"/>
  <c r="E61" i="50"/>
  <c r="F61" i="50" s="1"/>
  <c r="BE13" i="50"/>
  <c r="AW10" i="50"/>
  <c r="AR13" i="50"/>
  <c r="AS13" i="50" s="1"/>
  <c r="AH32" i="50"/>
  <c r="I32" i="50"/>
  <c r="K78" i="50"/>
  <c r="K79" i="50" s="1"/>
  <c r="F70" i="50"/>
  <c r="H23" i="50"/>
  <c r="E25" i="50"/>
  <c r="F25" i="50" s="1"/>
  <c r="I25" i="50"/>
  <c r="BZ65" i="50"/>
  <c r="F65" i="50"/>
  <c r="Y62" i="50"/>
  <c r="X62" i="50"/>
  <c r="AS34" i="50"/>
  <c r="E34" i="50"/>
  <c r="F34" i="50" s="1"/>
  <c r="BE26" i="50"/>
  <c r="AW23" i="50"/>
  <c r="BD23" i="50" s="1"/>
  <c r="AR26" i="50"/>
  <c r="AS26" i="50" s="1"/>
  <c r="J22" i="50"/>
  <c r="J77" i="50" s="1"/>
  <c r="J78" i="50" s="1"/>
  <c r="J79" i="50" s="1"/>
  <c r="G22" i="50"/>
  <c r="AT90" i="50"/>
  <c r="BZ26" i="50"/>
  <c r="W10" i="50"/>
  <c r="BU22" i="50"/>
  <c r="D58" i="50"/>
  <c r="Z58" i="50"/>
  <c r="AA44" i="50"/>
  <c r="AA22" i="50" s="1"/>
  <c r="L22" i="50"/>
  <c r="T23" i="50"/>
  <c r="E58" i="50"/>
  <c r="AS37" i="50"/>
  <c r="E37" i="50"/>
  <c r="F37" i="50" s="1"/>
  <c r="Z23" i="50"/>
  <c r="AC75" i="50"/>
  <c r="Z65" i="50"/>
  <c r="AR33" i="50"/>
  <c r="AW32" i="50"/>
  <c r="BD32" i="50" s="1"/>
  <c r="CB22" i="50"/>
  <c r="BY23" i="50"/>
  <c r="BZ23" i="50" s="1"/>
  <c r="I26" i="50"/>
  <c r="AS21" i="50"/>
  <c r="E21" i="50"/>
  <c r="F21" i="50" s="1"/>
  <c r="AF75" i="50"/>
  <c r="AF78" i="50" s="1"/>
  <c r="AF79" i="50" s="1"/>
  <c r="BH23" i="50"/>
  <c r="AT75" i="50"/>
  <c r="AH22" i="50"/>
  <c r="AS47" i="50"/>
  <c r="AR44" i="50"/>
  <c r="AS44" i="50" s="1"/>
  <c r="E47" i="50"/>
  <c r="F47" i="50" s="1"/>
  <c r="I49" i="50"/>
  <c r="E49" i="50"/>
  <c r="F49" i="50" s="1"/>
  <c r="BH35" i="50"/>
  <c r="BG32" i="50"/>
  <c r="BH32" i="50" s="1"/>
  <c r="G74" i="50"/>
  <c r="AR35" i="50"/>
  <c r="AE19" i="50"/>
  <c r="L13" i="50"/>
  <c r="T13" i="50" s="1"/>
  <c r="E13" i="50"/>
  <c r="F13" i="50" s="1"/>
  <c r="I13" i="50"/>
  <c r="H10" i="50"/>
  <c r="AT78" i="50"/>
  <c r="AT79" i="50" s="1"/>
  <c r="D56" i="48"/>
  <c r="D57" i="48"/>
  <c r="D62" i="48"/>
  <c r="D63" i="48"/>
  <c r="D64" i="48"/>
  <c r="C66" i="48"/>
  <c r="C65" i="48"/>
  <c r="C61" i="48"/>
  <c r="C58" i="48" s="1"/>
  <c r="F76" i="64" l="1"/>
  <c r="F79" i="64" s="1"/>
  <c r="F80" i="64" s="1"/>
  <c r="E4" i="64"/>
  <c r="E79" i="64"/>
  <c r="E80" i="64" s="1"/>
  <c r="X109" i="27"/>
  <c r="C55" i="48"/>
  <c r="AB109" i="27"/>
  <c r="AE109" i="27" s="1"/>
  <c r="F58" i="50"/>
  <c r="L115" i="27"/>
  <c r="E26" i="50"/>
  <c r="F26" i="50" s="1"/>
  <c r="CC75" i="50"/>
  <c r="N114" i="27"/>
  <c r="AP75" i="50"/>
  <c r="AP78" i="50" s="1"/>
  <c r="AP79" i="50" s="1"/>
  <c r="S22" i="50"/>
  <c r="Z32" i="50"/>
  <c r="AB77" i="50"/>
  <c r="AB75" i="50"/>
  <c r="AD75" i="50" s="1"/>
  <c r="AD78" i="50" s="1"/>
  <c r="AD79" i="50" s="1"/>
  <c r="AS35" i="50"/>
  <c r="E35" i="50"/>
  <c r="F35" i="50" s="1"/>
  <c r="CB75" i="50"/>
  <c r="CB100" i="50" s="1"/>
  <c r="BY22" i="50"/>
  <c r="G77" i="50"/>
  <c r="D62" i="50"/>
  <c r="X44" i="50"/>
  <c r="D74" i="50"/>
  <c r="G75" i="50"/>
  <c r="AH77" i="50"/>
  <c r="AH75" i="50"/>
  <c r="BE32" i="50"/>
  <c r="AR32" i="50"/>
  <c r="Z62" i="50"/>
  <c r="E62" i="50"/>
  <c r="Y44" i="50"/>
  <c r="BE10" i="50"/>
  <c r="AR10" i="50"/>
  <c r="AS10" i="50" s="1"/>
  <c r="CB11" i="50"/>
  <c r="CB16" i="50" s="1"/>
  <c r="CC10" i="50"/>
  <c r="V77" i="50"/>
  <c r="V74" i="50"/>
  <c r="W22" i="50"/>
  <c r="W77" i="50" s="1"/>
  <c r="W78" i="50" s="1"/>
  <c r="W79" i="50" s="1"/>
  <c r="I10" i="50"/>
  <c r="L10" i="50"/>
  <c r="Y19" i="50"/>
  <c r="X19" i="50"/>
  <c r="AE10" i="50"/>
  <c r="E33" i="50"/>
  <c r="F33" i="50" s="1"/>
  <c r="AS33" i="50"/>
  <c r="H22" i="50"/>
  <c r="I23" i="50"/>
  <c r="BG22" i="50"/>
  <c r="L77" i="50"/>
  <c r="L78" i="50" s="1"/>
  <c r="T22" i="50"/>
  <c r="BE23" i="50"/>
  <c r="AR23" i="50"/>
  <c r="AS23" i="50" s="1"/>
  <c r="AW22" i="50"/>
  <c r="BD22" i="50" s="1"/>
  <c r="AC78" i="50"/>
  <c r="AC79" i="50" s="1"/>
  <c r="AA77" i="50"/>
  <c r="AA75" i="50"/>
  <c r="AA87" i="50" s="1"/>
  <c r="F84" i="64" l="1"/>
  <c r="H24" i="27"/>
  <c r="E23" i="50"/>
  <c r="F23" i="50" s="1"/>
  <c r="F62" i="50"/>
  <c r="AB78" i="50"/>
  <c r="AB79" i="50" s="1"/>
  <c r="AA78" i="50"/>
  <c r="AA79" i="50" s="1"/>
  <c r="AH78" i="50"/>
  <c r="AH79" i="50" s="1"/>
  <c r="BG86" i="50"/>
  <c r="BG77" i="50"/>
  <c r="BG78" i="50" s="1"/>
  <c r="BH22" i="50"/>
  <c r="BG74" i="50"/>
  <c r="H77" i="50"/>
  <c r="H92" i="50"/>
  <c r="H94" i="50" s="1"/>
  <c r="H74" i="50"/>
  <c r="I22" i="50"/>
  <c r="I77" i="50" s="1"/>
  <c r="X10" i="50"/>
  <c r="D19" i="50"/>
  <c r="V75" i="50"/>
  <c r="V78" i="50" s="1"/>
  <c r="V79" i="50" s="1"/>
  <c r="D44" i="50"/>
  <c r="X22" i="50"/>
  <c r="BY74" i="50"/>
  <c r="BZ22" i="50"/>
  <c r="E19" i="50"/>
  <c r="Y10" i="50"/>
  <c r="Z19" i="50"/>
  <c r="I3" i="50"/>
  <c r="AS32" i="50"/>
  <c r="E32" i="50"/>
  <c r="F32" i="50" s="1"/>
  <c r="AW77" i="50"/>
  <c r="AW78" i="50" s="1"/>
  <c r="AW74" i="50"/>
  <c r="AW86" i="50"/>
  <c r="BE22" i="50"/>
  <c r="AR22" i="50"/>
  <c r="T10" i="50"/>
  <c r="T77" i="50" s="1"/>
  <c r="T78" i="50" s="1"/>
  <c r="V4" i="50"/>
  <c r="Z44" i="50"/>
  <c r="E44" i="50"/>
  <c r="Y22" i="50"/>
  <c r="L74" i="50"/>
  <c r="AC82" i="50"/>
  <c r="AE75" i="50"/>
  <c r="AE77" i="50"/>
  <c r="G78" i="50"/>
  <c r="G79" i="50" s="1"/>
  <c r="U61" i="42"/>
  <c r="S61" i="42" s="1"/>
  <c r="F19" i="50" l="1"/>
  <c r="AE78" i="50"/>
  <c r="AE79" i="50" s="1"/>
  <c r="E96" i="50"/>
  <c r="F44" i="50"/>
  <c r="AR77" i="50"/>
  <c r="AR78" i="50" s="1"/>
  <c r="AR86" i="50"/>
  <c r="AR74" i="50"/>
  <c r="AS22" i="50"/>
  <c r="X75" i="50"/>
  <c r="D10" i="50"/>
  <c r="X3" i="50"/>
  <c r="Y3" i="50" s="1"/>
  <c r="L79" i="50"/>
  <c r="T74" i="50"/>
  <c r="T79" i="50" s="1"/>
  <c r="BE77" i="50"/>
  <c r="BE78" i="50" s="1"/>
  <c r="BE74" i="50"/>
  <c r="E22" i="50"/>
  <c r="Y75" i="50"/>
  <c r="Z10" i="50"/>
  <c r="E10" i="50"/>
  <c r="BG79" i="50"/>
  <c r="Y77" i="50"/>
  <c r="Z22" i="50"/>
  <c r="Z77" i="50" s="1"/>
  <c r="AW79" i="50"/>
  <c r="AW81" i="50"/>
  <c r="X77" i="50"/>
  <c r="D22" i="50"/>
  <c r="I74" i="50"/>
  <c r="E74" i="50"/>
  <c r="H75" i="50"/>
  <c r="H78" i="50" s="1"/>
  <c r="H79" i="50" s="1"/>
  <c r="BH74" i="50"/>
  <c r="BH77" i="50"/>
  <c r="BH78" i="50" s="1"/>
  <c r="J62" i="42"/>
  <c r="I62" i="42" s="1"/>
  <c r="H66" i="27"/>
  <c r="H63" i="27"/>
  <c r="H59" i="27"/>
  <c r="H55" i="27"/>
  <c r="H50" i="27"/>
  <c r="H48" i="27"/>
  <c r="H39" i="27"/>
  <c r="H40" i="27"/>
  <c r="H38" i="27"/>
  <c r="P26" i="27"/>
  <c r="P27" i="27"/>
  <c r="P28" i="27"/>
  <c r="BJ74" i="27"/>
  <c r="BH74" i="27"/>
  <c r="BJ73" i="27"/>
  <c r="BH73" i="27"/>
  <c r="BJ72" i="27"/>
  <c r="BH72" i="27"/>
  <c r="BJ71" i="27"/>
  <c r="BH71" i="27"/>
  <c r="BJ70" i="27"/>
  <c r="BH70" i="27"/>
  <c r="BJ69" i="27"/>
  <c r="BH69" i="27"/>
  <c r="BJ68" i="27"/>
  <c r="BH68" i="27"/>
  <c r="BJ67" i="27"/>
  <c r="BH67" i="27"/>
  <c r="BJ66" i="27"/>
  <c r="BH66" i="27"/>
  <c r="BJ65" i="27"/>
  <c r="BH65" i="27"/>
  <c r="BJ64" i="27"/>
  <c r="BH64" i="27"/>
  <c r="BJ63" i="27"/>
  <c r="BH63" i="27"/>
  <c r="BJ62" i="27"/>
  <c r="BH62" i="27"/>
  <c r="BJ61" i="27"/>
  <c r="BH61" i="27"/>
  <c r="BJ60" i="27"/>
  <c r="BH60" i="27"/>
  <c r="BJ59" i="27"/>
  <c r="BH59" i="27"/>
  <c r="BJ58" i="27"/>
  <c r="BH58" i="27"/>
  <c r="BJ57" i="27"/>
  <c r="BH57" i="27"/>
  <c r="BJ56" i="27"/>
  <c r="BH56" i="27"/>
  <c r="BH55" i="27"/>
  <c r="BJ54" i="27"/>
  <c r="BH54" i="27"/>
  <c r="BJ53" i="27"/>
  <c r="BH53" i="27"/>
  <c r="BJ52" i="27"/>
  <c r="BH52" i="27"/>
  <c r="BJ51" i="27"/>
  <c r="BH51" i="27"/>
  <c r="BJ50" i="27"/>
  <c r="BH50" i="27"/>
  <c r="BJ49" i="27"/>
  <c r="BH49" i="27"/>
  <c r="BJ48" i="27"/>
  <c r="BH48" i="27"/>
  <c r="BH47" i="27"/>
  <c r="BH46" i="27"/>
  <c r="BI45" i="27"/>
  <c r="BG45" i="27"/>
  <c r="BH44" i="27"/>
  <c r="BH43" i="27"/>
  <c r="BH42" i="27"/>
  <c r="BH41" i="27"/>
  <c r="BJ40" i="27"/>
  <c r="BH40" i="27"/>
  <c r="BJ39" i="27"/>
  <c r="BJ36" i="27" s="1"/>
  <c r="BJ33" i="27" s="1"/>
  <c r="BH39" i="27"/>
  <c r="BJ38" i="27"/>
  <c r="BH38" i="27"/>
  <c r="BH37" i="27"/>
  <c r="BI36" i="27"/>
  <c r="BI33" i="27" s="1"/>
  <c r="BH35" i="27"/>
  <c r="BH34" i="27" s="1"/>
  <c r="BH32" i="27"/>
  <c r="BH31" i="27"/>
  <c r="BH30" i="27"/>
  <c r="BH29" i="27"/>
  <c r="BJ28" i="27"/>
  <c r="BH28" i="27"/>
  <c r="BJ27" i="27"/>
  <c r="BH27" i="27"/>
  <c r="BJ26" i="27"/>
  <c r="BH26" i="27"/>
  <c r="BI24" i="27"/>
  <c r="BG24" i="27"/>
  <c r="BQ66" i="27"/>
  <c r="AP34" i="27"/>
  <c r="BQ40" i="27"/>
  <c r="BQ55" i="27"/>
  <c r="BQ59" i="27"/>
  <c r="AM34" i="27" l="1"/>
  <c r="AN34" i="27" s="1"/>
  <c r="AD15" i="53"/>
  <c r="AD21" i="53"/>
  <c r="AD27" i="53"/>
  <c r="AD22" i="53"/>
  <c r="AD23" i="53"/>
  <c r="AD20" i="53"/>
  <c r="AD26" i="53"/>
  <c r="BJ24" i="27"/>
  <c r="BI23" i="27"/>
  <c r="BI76" i="27" s="1"/>
  <c r="AD11" i="53"/>
  <c r="AD10" i="53"/>
  <c r="F10" i="50"/>
  <c r="F74" i="50"/>
  <c r="D75" i="50"/>
  <c r="BH79" i="50"/>
  <c r="I75" i="50"/>
  <c r="I78" i="50" s="1"/>
  <c r="I79" i="50" s="1"/>
  <c r="E75" i="50"/>
  <c r="D87" i="50"/>
  <c r="D77" i="50"/>
  <c r="E77" i="50"/>
  <c r="E80" i="50"/>
  <c r="F22" i="50"/>
  <c r="AS77" i="50"/>
  <c r="AS78" i="50" s="1"/>
  <c r="AS74" i="50"/>
  <c r="X78" i="50"/>
  <c r="X79" i="50" s="1"/>
  <c r="Y78" i="50"/>
  <c r="Y79" i="50" s="1"/>
  <c r="Z75" i="50"/>
  <c r="Z78" i="50" s="1"/>
  <c r="Z79" i="50" s="1"/>
  <c r="BE79" i="50"/>
  <c r="AR79" i="50"/>
  <c r="BH24" i="27"/>
  <c r="BH45" i="27"/>
  <c r="BH36" i="27"/>
  <c r="BH33" i="27" s="1"/>
  <c r="BG36" i="27"/>
  <c r="BG33" i="27" s="1"/>
  <c r="BG23" i="27" s="1"/>
  <c r="BG76" i="27" s="1"/>
  <c r="BQ50" i="27"/>
  <c r="BQ27" i="27"/>
  <c r="BT67" i="27"/>
  <c r="BT68" i="27"/>
  <c r="BT69" i="27"/>
  <c r="BT70" i="27"/>
  <c r="BT71" i="27"/>
  <c r="BT72" i="27"/>
  <c r="BT73" i="27"/>
  <c r="BT74" i="27"/>
  <c r="BT75" i="27"/>
  <c r="BT62" i="27"/>
  <c r="BT63" i="27"/>
  <c r="BT64" i="27"/>
  <c r="BT65" i="27"/>
  <c r="BT66" i="27"/>
  <c r="BT49" i="27"/>
  <c r="BT50" i="27"/>
  <c r="BT51" i="27"/>
  <c r="BT52" i="27"/>
  <c r="BT53" i="27"/>
  <c r="BT54" i="27"/>
  <c r="BT55" i="27"/>
  <c r="BT56" i="27"/>
  <c r="BT57" i="27"/>
  <c r="BT58" i="27"/>
  <c r="BT59" i="27"/>
  <c r="BT60" i="27"/>
  <c r="BT61" i="27"/>
  <c r="AD28" i="53" l="1"/>
  <c r="S62" i="27"/>
  <c r="E141" i="48"/>
  <c r="D141" i="48" s="1"/>
  <c r="F77" i="50"/>
  <c r="F75" i="50"/>
  <c r="E78" i="50"/>
  <c r="E79" i="50" s="1"/>
  <c r="E3" i="50"/>
  <c r="F82" i="50"/>
  <c r="AS79" i="50"/>
  <c r="D78" i="50"/>
  <c r="D79" i="50" s="1"/>
  <c r="BH76" i="27"/>
  <c r="BH23" i="27"/>
  <c r="BN25" i="27"/>
  <c r="BN26" i="27"/>
  <c r="BN27" i="27"/>
  <c r="BP27" i="27" s="1"/>
  <c r="BN28" i="27"/>
  <c r="BN29" i="27"/>
  <c r="BN30" i="27"/>
  <c r="BN31" i="27"/>
  <c r="BN32" i="27"/>
  <c r="BN35" i="27"/>
  <c r="BP35" i="27" s="1"/>
  <c r="BP34" i="27" s="1"/>
  <c r="BN37" i="27"/>
  <c r="BN38" i="27"/>
  <c r="BP38" i="27" s="1"/>
  <c r="BN40" i="27"/>
  <c r="BN41" i="27"/>
  <c r="BN42" i="27"/>
  <c r="BN43" i="27"/>
  <c r="BN44" i="27"/>
  <c r="BN46" i="27"/>
  <c r="BN47" i="27"/>
  <c r="BN48" i="27"/>
  <c r="BN49" i="27"/>
  <c r="BP49" i="27" s="1"/>
  <c r="BN50" i="27"/>
  <c r="BP50" i="27" s="1"/>
  <c r="BN51" i="27"/>
  <c r="BN52" i="27"/>
  <c r="BN53" i="27"/>
  <c r="BN54" i="27"/>
  <c r="BN55" i="27"/>
  <c r="BP55" i="27" s="1"/>
  <c r="BN56" i="27"/>
  <c r="BN57" i="27"/>
  <c r="BN58" i="27"/>
  <c r="BN59" i="27"/>
  <c r="BP59" i="27" s="1"/>
  <c r="BN60" i="27"/>
  <c r="BN61" i="27"/>
  <c r="BP61" i="27" s="1"/>
  <c r="BN62" i="27"/>
  <c r="BN64" i="27"/>
  <c r="BN65" i="27"/>
  <c r="BN66" i="27"/>
  <c r="BP66" i="27" s="1"/>
  <c r="BN67" i="27"/>
  <c r="BN68" i="27"/>
  <c r="BN69" i="27"/>
  <c r="BN70" i="27"/>
  <c r="BN71" i="27"/>
  <c r="BN72" i="27"/>
  <c r="BN73" i="27"/>
  <c r="BN74" i="27"/>
  <c r="BM34" i="27"/>
  <c r="BM35" i="27"/>
  <c r="BO35" i="27" s="1"/>
  <c r="BM36" i="27"/>
  <c r="BM37" i="27"/>
  <c r="BM38" i="27"/>
  <c r="BM39" i="27"/>
  <c r="BM40" i="27"/>
  <c r="BM41" i="27"/>
  <c r="BO41" i="27" s="1"/>
  <c r="BM42" i="27"/>
  <c r="BM43" i="27"/>
  <c r="BM44" i="27"/>
  <c r="BM45" i="27"/>
  <c r="BM46" i="27"/>
  <c r="BO46" i="27" s="1"/>
  <c r="BM47" i="27"/>
  <c r="BM48" i="27"/>
  <c r="BO48" i="27" s="1"/>
  <c r="BM49" i="27"/>
  <c r="BO49" i="27" s="1"/>
  <c r="BM50" i="27"/>
  <c r="BO50" i="27" s="1"/>
  <c r="BM51" i="27"/>
  <c r="BM52" i="27"/>
  <c r="BO52" i="27" s="1"/>
  <c r="BM53" i="27"/>
  <c r="BO53" i="27" s="1"/>
  <c r="BM54" i="27"/>
  <c r="BO54" i="27" s="1"/>
  <c r="BM55" i="27"/>
  <c r="BM56" i="27"/>
  <c r="BO56" i="27" s="1"/>
  <c r="BM57" i="27"/>
  <c r="BO57" i="27" s="1"/>
  <c r="BM58" i="27"/>
  <c r="BO58" i="27" s="1"/>
  <c r="BM59" i="27"/>
  <c r="BM60" i="27"/>
  <c r="BO60" i="27" s="1"/>
  <c r="BM61" i="27"/>
  <c r="BO61" i="27" s="1"/>
  <c r="BM62" i="27"/>
  <c r="BO62" i="27" s="1"/>
  <c r="BM63" i="27"/>
  <c r="BM64" i="27"/>
  <c r="BM65" i="27"/>
  <c r="BO65" i="27" s="1"/>
  <c r="BM66" i="27"/>
  <c r="BM67" i="27"/>
  <c r="BM68" i="27"/>
  <c r="BM69" i="27"/>
  <c r="BO69" i="27" s="1"/>
  <c r="BM70" i="27"/>
  <c r="BM25" i="27"/>
  <c r="BO25" i="27" s="1"/>
  <c r="BM26" i="27"/>
  <c r="BM27" i="27"/>
  <c r="BM28" i="27"/>
  <c r="BP28" i="27" s="1"/>
  <c r="BM29" i="27"/>
  <c r="BO29" i="27" s="1"/>
  <c r="BM30" i="27"/>
  <c r="BM31" i="27"/>
  <c r="BO31" i="27" s="1"/>
  <c r="BM32" i="27"/>
  <c r="BM33" i="27"/>
  <c r="BM24" i="27"/>
  <c r="BM23" i="27"/>
  <c r="BT48" i="27"/>
  <c r="BT39" i="27"/>
  <c r="BT40" i="27"/>
  <c r="BT38" i="27"/>
  <c r="BT27" i="27"/>
  <c r="BT28" i="27"/>
  <c r="BT26" i="27"/>
  <c r="BR66" i="27"/>
  <c r="BR59" i="27"/>
  <c r="BR55" i="27"/>
  <c r="BR49" i="27"/>
  <c r="BR50" i="27"/>
  <c r="BR48" i="27"/>
  <c r="BR40" i="27"/>
  <c r="BR38" i="27"/>
  <c r="BR35" i="27"/>
  <c r="BR28" i="27"/>
  <c r="BR27" i="27"/>
  <c r="BR26" i="27"/>
  <c r="BS45" i="27"/>
  <c r="BS36" i="27"/>
  <c r="BS33" i="27" s="1"/>
  <c r="BS24" i="27"/>
  <c r="BQ34" i="27"/>
  <c r="BN34" i="27" s="1"/>
  <c r="BQ24" i="27"/>
  <c r="BO44" i="27" l="1"/>
  <c r="BN24" i="27"/>
  <c r="BO24" i="27" s="1"/>
  <c r="BO43" i="27"/>
  <c r="BO32" i="27"/>
  <c r="BO70" i="27"/>
  <c r="BO42" i="27"/>
  <c r="BO37" i="27"/>
  <c r="BO30" i="27"/>
  <c r="BO26" i="27"/>
  <c r="BO68" i="27"/>
  <c r="BO64" i="27"/>
  <c r="BO38" i="27"/>
  <c r="BM75" i="27"/>
  <c r="BO34" i="27"/>
  <c r="BO67" i="27"/>
  <c r="BO51" i="27"/>
  <c r="BO47" i="27"/>
  <c r="F83" i="50"/>
  <c r="BT36" i="27"/>
  <c r="BT33" i="27" s="1"/>
  <c r="BT24" i="27"/>
  <c r="BP48" i="27"/>
  <c r="BO40" i="27"/>
  <c r="BP40" i="27"/>
  <c r="BO28" i="27"/>
  <c r="BP26" i="27"/>
  <c r="BP24" i="27" s="1"/>
  <c r="BP63" i="27"/>
  <c r="BP39" i="27"/>
  <c r="F78" i="50"/>
  <c r="F79" i="50" s="1"/>
  <c r="BO59" i="27"/>
  <c r="BO66" i="27"/>
  <c r="BO55" i="27"/>
  <c r="BO27" i="27"/>
  <c r="BT45" i="27"/>
  <c r="BS23" i="27"/>
  <c r="BS76" i="27" s="1"/>
  <c r="BP45" i="27" l="1"/>
  <c r="BP36" i="27"/>
  <c r="BP33" i="27" s="1"/>
  <c r="BP23" i="27" s="1"/>
  <c r="BP75" i="27" s="1"/>
  <c r="BT23" i="27"/>
  <c r="BT76" i="27"/>
  <c r="BV59" i="27"/>
  <c r="BP22" i="27" l="1"/>
  <c r="BQ14" i="27"/>
  <c r="BR24" i="27"/>
  <c r="BR29" i="27"/>
  <c r="BR30" i="27"/>
  <c r="BR31" i="27"/>
  <c r="BR32" i="27"/>
  <c r="BR34" i="27"/>
  <c r="BR37" i="27"/>
  <c r="BR41" i="27"/>
  <c r="BR42" i="27"/>
  <c r="BR43" i="27"/>
  <c r="BR44" i="27"/>
  <c r="BR46" i="27"/>
  <c r="BR47" i="27"/>
  <c r="BR51" i="27"/>
  <c r="BR52" i="27"/>
  <c r="BR53" i="27"/>
  <c r="BR54" i="27"/>
  <c r="BR56" i="27"/>
  <c r="BR57" i="27"/>
  <c r="BR58" i="27"/>
  <c r="BR60" i="27"/>
  <c r="BR61" i="27"/>
  <c r="BR62" i="27"/>
  <c r="BR64" i="27"/>
  <c r="BR65" i="27"/>
  <c r="BR67" i="27"/>
  <c r="BR68" i="27"/>
  <c r="BR69" i="27"/>
  <c r="BR70" i="27"/>
  <c r="BR71" i="27"/>
  <c r="BR72" i="27"/>
  <c r="BR73" i="27"/>
  <c r="BR74" i="27"/>
  <c r="BQ39" i="27"/>
  <c r="BQ63" i="27"/>
  <c r="BQ15" i="27"/>
  <c r="BQ16" i="27" l="1"/>
  <c r="BR63" i="27"/>
  <c r="BN63" i="27"/>
  <c r="BO63" i="27" s="1"/>
  <c r="BQ45" i="27"/>
  <c r="BN39" i="27"/>
  <c r="BO39" i="27" s="1"/>
  <c r="BQ36" i="27"/>
  <c r="BR39" i="27"/>
  <c r="BR36" i="27" s="1"/>
  <c r="BR33" i="27" s="1"/>
  <c r="BR45" i="27"/>
  <c r="T80" i="49"/>
  <c r="R80" i="49"/>
  <c r="G79" i="49"/>
  <c r="G82" i="49" s="1"/>
  <c r="S74" i="49"/>
  <c r="J74" i="49"/>
  <c r="I74" i="49" s="1"/>
  <c r="I78" i="49" s="1"/>
  <c r="I79" i="49" s="1"/>
  <c r="E74" i="49"/>
  <c r="S73" i="49"/>
  <c r="D73" i="49" s="1"/>
  <c r="S72" i="49"/>
  <c r="D72" i="49" s="1"/>
  <c r="S71" i="49"/>
  <c r="V70" i="49"/>
  <c r="S70" i="49"/>
  <c r="Q70" i="49"/>
  <c r="I70" i="49"/>
  <c r="H70" i="49"/>
  <c r="G70" i="49"/>
  <c r="E70" i="49"/>
  <c r="S69" i="49"/>
  <c r="S68" i="49"/>
  <c r="S67" i="49"/>
  <c r="V66" i="49"/>
  <c r="S66" i="49"/>
  <c r="R66" i="49"/>
  <c r="Q66" i="49"/>
  <c r="I66" i="49"/>
  <c r="H66" i="49"/>
  <c r="G66" i="49"/>
  <c r="E66" i="49"/>
  <c r="U65" i="49"/>
  <c r="T65" i="49"/>
  <c r="N65" i="49"/>
  <c r="M65" i="49"/>
  <c r="K65" i="49"/>
  <c r="J65" i="49"/>
  <c r="H65" i="49"/>
  <c r="S64" i="49"/>
  <c r="I64" i="49"/>
  <c r="G64" i="49"/>
  <c r="S63" i="49"/>
  <c r="I63" i="49"/>
  <c r="D63" i="49" s="1"/>
  <c r="G63" i="49"/>
  <c r="U62" i="49"/>
  <c r="T62" i="49"/>
  <c r="M62" i="49"/>
  <c r="K62" i="49"/>
  <c r="J62" i="49"/>
  <c r="H62" i="49"/>
  <c r="S61" i="49"/>
  <c r="I61" i="49"/>
  <c r="V60" i="49"/>
  <c r="R60" i="49"/>
  <c r="Q60" i="49"/>
  <c r="Q44" i="49" s="1"/>
  <c r="L60" i="49"/>
  <c r="L44" i="49" s="1"/>
  <c r="G60" i="49"/>
  <c r="F60" i="49"/>
  <c r="S59" i="49"/>
  <c r="I59" i="49"/>
  <c r="U58" i="49"/>
  <c r="T58" i="49"/>
  <c r="N58" i="49"/>
  <c r="M58" i="49"/>
  <c r="J58" i="49"/>
  <c r="H58" i="49"/>
  <c r="S57" i="49"/>
  <c r="K57" i="49"/>
  <c r="I57" i="49" s="1"/>
  <c r="E57" i="49"/>
  <c r="S56" i="49"/>
  <c r="K56" i="49"/>
  <c r="I56" i="49" s="1"/>
  <c r="E56" i="49"/>
  <c r="S55" i="49"/>
  <c r="K55" i="49"/>
  <c r="J55" i="49"/>
  <c r="E55" i="49"/>
  <c r="U54" i="49"/>
  <c r="T54" i="49"/>
  <c r="N54" i="49"/>
  <c r="M54" i="49"/>
  <c r="J54" i="49"/>
  <c r="H54" i="49"/>
  <c r="S53" i="49"/>
  <c r="I53" i="49"/>
  <c r="E53" i="49"/>
  <c r="S52" i="49"/>
  <c r="I52" i="49"/>
  <c r="E52" i="49"/>
  <c r="S51" i="49"/>
  <c r="K51" i="49"/>
  <c r="J51" i="49"/>
  <c r="E51" i="49"/>
  <c r="S50" i="49"/>
  <c r="I50" i="49"/>
  <c r="X49" i="49"/>
  <c r="U49" i="49"/>
  <c r="T49" i="49"/>
  <c r="P49" i="49"/>
  <c r="P44" i="49" s="1"/>
  <c r="N49" i="49"/>
  <c r="M49" i="49"/>
  <c r="J49" i="49"/>
  <c r="H49" i="49"/>
  <c r="U48" i="49"/>
  <c r="T48" i="49"/>
  <c r="I48" i="49"/>
  <c r="Y47" i="49"/>
  <c r="U47" i="49"/>
  <c r="T47" i="49"/>
  <c r="N47" i="49"/>
  <c r="M47" i="49"/>
  <c r="J47" i="49"/>
  <c r="H47" i="49"/>
  <c r="S46" i="49"/>
  <c r="S45" i="49"/>
  <c r="V44" i="49"/>
  <c r="R44" i="49"/>
  <c r="O44" i="49"/>
  <c r="S43" i="49"/>
  <c r="S42" i="49"/>
  <c r="V41" i="49"/>
  <c r="T41" i="49"/>
  <c r="S41" i="49"/>
  <c r="I41" i="49"/>
  <c r="H41" i="49"/>
  <c r="G41" i="49"/>
  <c r="E41" i="49"/>
  <c r="S40" i="49"/>
  <c r="I40" i="49"/>
  <c r="U39" i="49"/>
  <c r="T39" i="49"/>
  <c r="I39" i="49"/>
  <c r="G39" i="49"/>
  <c r="E39" i="49" s="1"/>
  <c r="U38" i="49"/>
  <c r="T38" i="49"/>
  <c r="N38" i="49"/>
  <c r="I38" i="49" s="1"/>
  <c r="G38" i="49"/>
  <c r="E38" i="49" s="1"/>
  <c r="U37" i="49"/>
  <c r="T37" i="49"/>
  <c r="N37" i="49"/>
  <c r="M37" i="49"/>
  <c r="M35" i="49" s="1"/>
  <c r="J37" i="49"/>
  <c r="J35" i="49" s="1"/>
  <c r="J32" i="49" s="1"/>
  <c r="H37" i="49"/>
  <c r="H35" i="49" s="1"/>
  <c r="S36" i="49"/>
  <c r="V35" i="49"/>
  <c r="R35" i="49"/>
  <c r="Q35" i="49"/>
  <c r="L35" i="49"/>
  <c r="K35" i="49"/>
  <c r="F35" i="49"/>
  <c r="F32" i="49" s="1"/>
  <c r="T34" i="49"/>
  <c r="T33" i="49" s="1"/>
  <c r="I34" i="49"/>
  <c r="V33" i="49"/>
  <c r="U33" i="49"/>
  <c r="R33" i="49"/>
  <c r="R32" i="49" s="1"/>
  <c r="Q33" i="49"/>
  <c r="N33" i="49"/>
  <c r="M33" i="49"/>
  <c r="L33" i="49"/>
  <c r="K33" i="49"/>
  <c r="H33" i="49"/>
  <c r="G33" i="49"/>
  <c r="E33" i="49"/>
  <c r="V32" i="49"/>
  <c r="S31" i="49"/>
  <c r="I31" i="49"/>
  <c r="S30" i="49"/>
  <c r="I30" i="49"/>
  <c r="S29" i="49"/>
  <c r="I29" i="49"/>
  <c r="V28" i="49"/>
  <c r="U28" i="49"/>
  <c r="T28" i="49"/>
  <c r="Q28" i="49"/>
  <c r="N28" i="49"/>
  <c r="H28" i="49"/>
  <c r="G28" i="49"/>
  <c r="E28" i="49"/>
  <c r="U27" i="49"/>
  <c r="T27" i="49"/>
  <c r="I27" i="49"/>
  <c r="H27" i="49"/>
  <c r="U26" i="49"/>
  <c r="T26" i="49"/>
  <c r="R26" i="49"/>
  <c r="O26" i="49"/>
  <c r="N26" i="49"/>
  <c r="M26" i="49"/>
  <c r="J26" i="49"/>
  <c r="H26" i="49"/>
  <c r="F26" i="49"/>
  <c r="U25" i="49"/>
  <c r="T25" i="49"/>
  <c r="R25" i="49"/>
  <c r="O25" i="49"/>
  <c r="N25" i="49"/>
  <c r="M25" i="49"/>
  <c r="J25" i="49"/>
  <c r="H25" i="49"/>
  <c r="F25" i="49"/>
  <c r="S24" i="49"/>
  <c r="V23" i="49"/>
  <c r="Q23" i="49"/>
  <c r="P23" i="49"/>
  <c r="L23" i="49"/>
  <c r="K23" i="49"/>
  <c r="U21" i="49"/>
  <c r="T21" i="49"/>
  <c r="I21" i="49"/>
  <c r="U20" i="49"/>
  <c r="T20" i="49"/>
  <c r="I20" i="49"/>
  <c r="S19" i="49"/>
  <c r="S18" i="49"/>
  <c r="S17" i="49"/>
  <c r="T16" i="49"/>
  <c r="S16" i="49" s="1"/>
  <c r="D16" i="49" s="1"/>
  <c r="S15" i="49"/>
  <c r="U14" i="49"/>
  <c r="U13" i="49" s="1"/>
  <c r="T14" i="49"/>
  <c r="H14" i="49"/>
  <c r="H13" i="49" s="1"/>
  <c r="H10" i="49" s="1"/>
  <c r="F14" i="49"/>
  <c r="R13" i="49"/>
  <c r="R10" i="49" s="1"/>
  <c r="AB12" i="49"/>
  <c r="S12" i="49"/>
  <c r="AB11" i="49"/>
  <c r="S11" i="49"/>
  <c r="L10" i="49"/>
  <c r="J10" i="49"/>
  <c r="U10" i="49" l="1"/>
  <c r="V22" i="49"/>
  <c r="V75" i="49" s="1"/>
  <c r="L32" i="49"/>
  <c r="H32" i="49"/>
  <c r="D41" i="49"/>
  <c r="R23" i="49"/>
  <c r="R22" i="49" s="1"/>
  <c r="R75" i="49" s="1"/>
  <c r="Q22" i="49"/>
  <c r="Q75" i="49" s="1"/>
  <c r="S28" i="49"/>
  <c r="P22" i="49"/>
  <c r="D66" i="49"/>
  <c r="BN45" i="27"/>
  <c r="BO45" i="27" s="1"/>
  <c r="D53" i="49"/>
  <c r="BN36" i="27"/>
  <c r="BO36" i="27" s="1"/>
  <c r="BQ33" i="27"/>
  <c r="BN33" i="27" s="1"/>
  <c r="BO33" i="27" s="1"/>
  <c r="Q32" i="49"/>
  <c r="D52" i="49"/>
  <c r="D57" i="49"/>
  <c r="D59" i="49"/>
  <c r="L22" i="49"/>
  <c r="N35" i="49"/>
  <c r="N32" i="49" s="1"/>
  <c r="N23" i="49"/>
  <c r="S47" i="49"/>
  <c r="M44" i="49"/>
  <c r="BR76" i="27"/>
  <c r="BR23" i="27"/>
  <c r="S62" i="49"/>
  <c r="O23" i="49"/>
  <c r="O22" i="49" s="1"/>
  <c r="S14" i="49"/>
  <c r="T23" i="49"/>
  <c r="J23" i="49"/>
  <c r="S26" i="49"/>
  <c r="S34" i="49"/>
  <c r="D34" i="49" s="1"/>
  <c r="I62" i="49"/>
  <c r="T35" i="49"/>
  <c r="T32" i="49" s="1"/>
  <c r="J44" i="49"/>
  <c r="S49" i="49"/>
  <c r="X51" i="49" s="1"/>
  <c r="S20" i="49"/>
  <c r="D20" i="49" s="1"/>
  <c r="S21" i="49"/>
  <c r="D21" i="49" s="1"/>
  <c r="F23" i="49"/>
  <c r="S25" i="49"/>
  <c r="S54" i="49"/>
  <c r="I55" i="49"/>
  <c r="D55" i="49" s="1"/>
  <c r="D56" i="49"/>
  <c r="S58" i="49"/>
  <c r="Z12" i="49"/>
  <c r="E60" i="49"/>
  <c r="D60" i="49" s="1"/>
  <c r="U35" i="49"/>
  <c r="U32" i="49" s="1"/>
  <c r="I51" i="49"/>
  <c r="D51" i="49" s="1"/>
  <c r="I65" i="49"/>
  <c r="S37" i="49"/>
  <c r="N44" i="49"/>
  <c r="I26" i="49"/>
  <c r="S39" i="49"/>
  <c r="D39" i="49" s="1"/>
  <c r="I47" i="49"/>
  <c r="S48" i="49"/>
  <c r="D48" i="49" s="1"/>
  <c r="H44" i="49"/>
  <c r="U44" i="49"/>
  <c r="I49" i="49"/>
  <c r="M32" i="49"/>
  <c r="I37" i="49"/>
  <c r="I35" i="49" s="1"/>
  <c r="S38" i="49"/>
  <c r="D38" i="49" s="1"/>
  <c r="T44" i="49"/>
  <c r="F13" i="49"/>
  <c r="S27" i="49"/>
  <c r="U23" i="49"/>
  <c r="S33" i="49"/>
  <c r="L75" i="49"/>
  <c r="H23" i="49"/>
  <c r="I28" i="49"/>
  <c r="I33" i="49"/>
  <c r="K32" i="49"/>
  <c r="I25" i="49"/>
  <c r="M23" i="49"/>
  <c r="D28" i="49"/>
  <c r="E35" i="49"/>
  <c r="D70" i="49"/>
  <c r="D74" i="49"/>
  <c r="F44" i="49"/>
  <c r="S65" i="49"/>
  <c r="AE158" i="48"/>
  <c r="C143" i="48"/>
  <c r="C142" i="48"/>
  <c r="C139" i="48"/>
  <c r="C138" i="48"/>
  <c r="C137" i="48"/>
  <c r="C136" i="48"/>
  <c r="C135" i="48"/>
  <c r="C134" i="48"/>
  <c r="C131" i="48"/>
  <c r="C130" i="48"/>
  <c r="C127" i="48"/>
  <c r="C126" i="48"/>
  <c r="H105" i="48"/>
  <c r="C100" i="48"/>
  <c r="C99" i="48"/>
  <c r="E98" i="48"/>
  <c r="C98" i="48"/>
  <c r="C97" i="48"/>
  <c r="C96" i="48"/>
  <c r="C95" i="48"/>
  <c r="C94" i="48"/>
  <c r="C93" i="48"/>
  <c r="C90" i="48"/>
  <c r="C89" i="48"/>
  <c r="C88" i="48"/>
  <c r="C85" i="48"/>
  <c r="C84" i="48" s="1"/>
  <c r="C83" i="48"/>
  <c r="C82" i="48"/>
  <c r="C81" i="48"/>
  <c r="I79" i="48"/>
  <c r="E32" i="48"/>
  <c r="C32" i="48"/>
  <c r="E31" i="48"/>
  <c r="C31" i="48"/>
  <c r="C30" i="48"/>
  <c r="E29" i="48"/>
  <c r="C29" i="48"/>
  <c r="E28" i="48"/>
  <c r="C28" i="48"/>
  <c r="E27" i="48"/>
  <c r="C27" i="48"/>
  <c r="E26" i="48"/>
  <c r="C26" i="48"/>
  <c r="E23" i="48"/>
  <c r="C23" i="48"/>
  <c r="E22" i="48"/>
  <c r="C22" i="48"/>
  <c r="E20" i="48"/>
  <c r="C20" i="48"/>
  <c r="E17" i="48"/>
  <c r="C17" i="48"/>
  <c r="E16" i="48"/>
  <c r="C16" i="48"/>
  <c r="C15" i="48"/>
  <c r="F22" i="49" l="1"/>
  <c r="D33" i="49"/>
  <c r="BQ23" i="27"/>
  <c r="N22" i="49"/>
  <c r="C91" i="48"/>
  <c r="I23" i="49"/>
  <c r="S44" i="49"/>
  <c r="D37" i="49"/>
  <c r="J22" i="49"/>
  <c r="J75" i="49" s="1"/>
  <c r="C18" i="48"/>
  <c r="D16" i="48"/>
  <c r="D27" i="48"/>
  <c r="D31" i="48"/>
  <c r="S35" i="49"/>
  <c r="D35" i="49" s="1"/>
  <c r="M22" i="49"/>
  <c r="D23" i="48"/>
  <c r="C86" i="48"/>
  <c r="D29" i="48"/>
  <c r="D98" i="48"/>
  <c r="H22" i="49"/>
  <c r="D22" i="48"/>
  <c r="D26" i="48"/>
  <c r="S32" i="49"/>
  <c r="U22" i="49"/>
  <c r="U75" i="49" s="1"/>
  <c r="C13" i="48"/>
  <c r="D20" i="48"/>
  <c r="D28" i="48"/>
  <c r="C79" i="48"/>
  <c r="D17" i="48"/>
  <c r="C24" i="48"/>
  <c r="D32" i="48"/>
  <c r="E32" i="49"/>
  <c r="C124" i="48"/>
  <c r="C132" i="48"/>
  <c r="C128" i="48"/>
  <c r="F10" i="49"/>
  <c r="S23" i="49"/>
  <c r="I32" i="49"/>
  <c r="T22" i="49"/>
  <c r="E18" i="48"/>
  <c r="AE139" i="44"/>
  <c r="BQ76" i="27" l="1"/>
  <c r="BQ101" i="27" s="1"/>
  <c r="BN23" i="27"/>
  <c r="AE35" i="48"/>
  <c r="D18" i="48"/>
  <c r="S22" i="49"/>
  <c r="C101" i="48"/>
  <c r="C33" i="48"/>
  <c r="C144" i="48"/>
  <c r="D32" i="49"/>
  <c r="G35" i="45"/>
  <c r="BN75" i="27" l="1"/>
  <c r="BO23" i="27"/>
  <c r="O45" i="42"/>
  <c r="P24" i="42"/>
  <c r="P50" i="42"/>
  <c r="I54" i="42"/>
  <c r="I53" i="42"/>
  <c r="E143" i="48" l="1"/>
  <c r="E142" i="48"/>
  <c r="D142" i="48" s="1"/>
  <c r="H137" i="48" s="1"/>
  <c r="H139" i="48" s="1"/>
  <c r="E138" i="48"/>
  <c r="H138" i="48" s="1"/>
  <c r="E136" i="48"/>
  <c r="R39" i="27"/>
  <c r="AI50" i="27"/>
  <c r="AI27" i="27"/>
  <c r="AI26" i="27"/>
  <c r="AH24" i="27"/>
  <c r="AI24" i="27" s="1"/>
  <c r="E131" i="48" l="1"/>
  <c r="E134" i="48"/>
  <c r="E130" i="48"/>
  <c r="E128" i="48" s="1"/>
  <c r="E135" i="48"/>
  <c r="E127" i="48"/>
  <c r="E27" i="27"/>
  <c r="E126" i="48"/>
  <c r="R24" i="27"/>
  <c r="E26" i="27"/>
  <c r="E124" i="48" l="1"/>
  <c r="AF27" i="27"/>
  <c r="AF26" i="27"/>
  <c r="O27" i="42" l="1"/>
  <c r="O26" i="42"/>
  <c r="M63" i="42"/>
  <c r="M59" i="42"/>
  <c r="M55" i="42"/>
  <c r="M50" i="42"/>
  <c r="M48" i="42"/>
  <c r="M38" i="42"/>
  <c r="J38" i="42"/>
  <c r="M27" i="42"/>
  <c r="M26" i="42"/>
  <c r="J27" i="42"/>
  <c r="J26" i="42"/>
  <c r="AE24" i="27"/>
  <c r="AE23" i="27" s="1"/>
  <c r="AF24" i="27" l="1"/>
  <c r="O24" i="42"/>
  <c r="O23" i="42" s="1"/>
  <c r="AF23" i="27"/>
  <c r="D11" i="44"/>
  <c r="AE11" i="27" l="1"/>
  <c r="AF11" i="27" s="1"/>
  <c r="BH11" i="27" s="1"/>
  <c r="O19" i="49"/>
  <c r="O10" i="49" s="1"/>
  <c r="O20" i="42"/>
  <c r="O10" i="42" s="1"/>
  <c r="O76" i="42" s="1"/>
  <c r="AF20" i="27"/>
  <c r="D22" i="27"/>
  <c r="AE75" i="27" l="1"/>
  <c r="AE76" i="27" s="1"/>
  <c r="AF76" i="27" s="1"/>
  <c r="L15" i="45"/>
  <c r="K14" i="45"/>
  <c r="I15" i="45"/>
  <c r="H14" i="45"/>
  <c r="F74" i="47"/>
  <c r="D74" i="47" s="1"/>
  <c r="M73" i="47"/>
  <c r="M72" i="47"/>
  <c r="D72" i="47"/>
  <c r="M71" i="47"/>
  <c r="P70" i="47"/>
  <c r="M70" i="47"/>
  <c r="K70" i="47"/>
  <c r="F70" i="47"/>
  <c r="E70" i="47"/>
  <c r="M69" i="47"/>
  <c r="M68" i="47"/>
  <c r="M67" i="47"/>
  <c r="P66" i="47"/>
  <c r="M66" i="47"/>
  <c r="L66" i="47"/>
  <c r="K66" i="47"/>
  <c r="F66" i="47"/>
  <c r="E66" i="47"/>
  <c r="O65" i="47"/>
  <c r="N65" i="47"/>
  <c r="I65" i="47"/>
  <c r="F65" i="47" s="1"/>
  <c r="M64" i="47"/>
  <c r="F64" i="47"/>
  <c r="M63" i="47"/>
  <c r="F63" i="47"/>
  <c r="O62" i="47"/>
  <c r="M62" i="47"/>
  <c r="G62" i="47"/>
  <c r="G60" i="47" s="1"/>
  <c r="M61" i="47"/>
  <c r="F61" i="47"/>
  <c r="P60" i="47"/>
  <c r="P44" i="47" s="1"/>
  <c r="N60" i="47"/>
  <c r="L60" i="47"/>
  <c r="K60" i="47"/>
  <c r="J60" i="47"/>
  <c r="H60" i="47"/>
  <c r="E60" i="47"/>
  <c r="M59" i="47"/>
  <c r="F59" i="47"/>
  <c r="M58" i="47"/>
  <c r="J58" i="47"/>
  <c r="F58" i="47" s="1"/>
  <c r="D58" i="47" s="1"/>
  <c r="M57" i="47"/>
  <c r="G57" i="47"/>
  <c r="F57" i="47" s="1"/>
  <c r="D57" i="47" s="1"/>
  <c r="M56" i="47"/>
  <c r="G56" i="47"/>
  <c r="F56" i="47" s="1"/>
  <c r="D56" i="47" s="1"/>
  <c r="M55" i="47"/>
  <c r="F55" i="47"/>
  <c r="D55" i="47" s="1"/>
  <c r="M54" i="47"/>
  <c r="J54" i="47"/>
  <c r="G54" i="47"/>
  <c r="M53" i="47"/>
  <c r="F53" i="47"/>
  <c r="D53" i="47" s="1"/>
  <c r="M52" i="47"/>
  <c r="F52" i="47"/>
  <c r="D52" i="47" s="1"/>
  <c r="M51" i="47"/>
  <c r="F51" i="47"/>
  <c r="D51" i="47" s="1"/>
  <c r="M50" i="47"/>
  <c r="F50" i="47"/>
  <c r="R49" i="47"/>
  <c r="M49" i="47"/>
  <c r="R51" i="47" s="1"/>
  <c r="J49" i="47"/>
  <c r="F49" i="47" s="1"/>
  <c r="M48" i="47"/>
  <c r="F48" i="47"/>
  <c r="S47" i="47"/>
  <c r="O47" i="47"/>
  <c r="M47" i="47" s="1"/>
  <c r="J47" i="47"/>
  <c r="F47" i="47" s="1"/>
  <c r="D47" i="47" s="1"/>
  <c r="M46" i="47"/>
  <c r="M45" i="47"/>
  <c r="N44" i="47"/>
  <c r="L44" i="47"/>
  <c r="K44" i="47"/>
  <c r="H44" i="47"/>
  <c r="E44" i="47"/>
  <c r="M43" i="47"/>
  <c r="M42" i="47"/>
  <c r="P41" i="47"/>
  <c r="N41" i="47"/>
  <c r="M41" i="47" s="1"/>
  <c r="F41" i="47"/>
  <c r="E41" i="47"/>
  <c r="M40" i="47"/>
  <c r="F40" i="47"/>
  <c r="M39" i="47"/>
  <c r="F39" i="47"/>
  <c r="M38" i="47"/>
  <c r="J38" i="47"/>
  <c r="F38" i="47" s="1"/>
  <c r="M37" i="47"/>
  <c r="M36" i="47"/>
  <c r="P35" i="47"/>
  <c r="O35" i="47"/>
  <c r="N35" i="47"/>
  <c r="M35" i="47" s="1"/>
  <c r="L35" i="47"/>
  <c r="K35" i="47"/>
  <c r="I35" i="47"/>
  <c r="H35" i="47"/>
  <c r="G35" i="47"/>
  <c r="E35" i="47"/>
  <c r="M34" i="47"/>
  <c r="F34" i="47"/>
  <c r="P33" i="47"/>
  <c r="O33" i="47"/>
  <c r="O32" i="47" s="1"/>
  <c r="N33" i="47"/>
  <c r="L33" i="47"/>
  <c r="K33" i="47"/>
  <c r="J33" i="47"/>
  <c r="I33" i="47"/>
  <c r="H33" i="47"/>
  <c r="H32" i="47" s="1"/>
  <c r="H22" i="47" s="1"/>
  <c r="G33" i="47"/>
  <c r="E33" i="47"/>
  <c r="P32" i="47"/>
  <c r="L32" i="47"/>
  <c r="M31" i="47"/>
  <c r="F31" i="47"/>
  <c r="M30" i="47"/>
  <c r="F30" i="47"/>
  <c r="M29" i="47"/>
  <c r="F29" i="47"/>
  <c r="P28" i="47"/>
  <c r="O28" i="47"/>
  <c r="N28" i="47"/>
  <c r="M28" i="47" s="1"/>
  <c r="K28" i="47"/>
  <c r="J28" i="47"/>
  <c r="F28" i="47" s="1"/>
  <c r="E28" i="47"/>
  <c r="M27" i="47"/>
  <c r="F27" i="47"/>
  <c r="M26" i="47"/>
  <c r="F26" i="47"/>
  <c r="E26" i="47"/>
  <c r="M25" i="47"/>
  <c r="F25" i="47"/>
  <c r="D25" i="47" s="1"/>
  <c r="M24" i="47"/>
  <c r="P23" i="47"/>
  <c r="O23" i="47"/>
  <c r="N23" i="47"/>
  <c r="M23" i="47" s="1"/>
  <c r="L23" i="47"/>
  <c r="K23" i="47"/>
  <c r="J23" i="47"/>
  <c r="I23" i="47"/>
  <c r="H23" i="47"/>
  <c r="G23" i="47"/>
  <c r="M21" i="47"/>
  <c r="M20" i="47"/>
  <c r="D20" i="47" s="1"/>
  <c r="M19" i="47"/>
  <c r="G19" i="47"/>
  <c r="M18" i="47"/>
  <c r="M17" i="47"/>
  <c r="M16" i="47"/>
  <c r="D16" i="47"/>
  <c r="M15" i="47"/>
  <c r="M14" i="47"/>
  <c r="D14" i="47" s="1"/>
  <c r="M13" i="47"/>
  <c r="L13" i="47"/>
  <c r="L10" i="47" s="1"/>
  <c r="E13" i="47"/>
  <c r="M12" i="47"/>
  <c r="M11" i="47"/>
  <c r="O10" i="47"/>
  <c r="N10" i="47"/>
  <c r="J10" i="47"/>
  <c r="H10" i="47"/>
  <c r="L22" i="47" l="1"/>
  <c r="P22" i="47"/>
  <c r="P75" i="47" s="1"/>
  <c r="H75" i="47"/>
  <c r="D27" i="47"/>
  <c r="D34" i="47"/>
  <c r="D38" i="47"/>
  <c r="L75" i="47"/>
  <c r="D26" i="47"/>
  <c r="D70" i="47"/>
  <c r="D13" i="47"/>
  <c r="F33" i="47"/>
  <c r="K32" i="47"/>
  <c r="D39" i="47"/>
  <c r="D48" i="47"/>
  <c r="D63" i="47"/>
  <c r="E23" i="47"/>
  <c r="N32" i="47"/>
  <c r="J37" i="47"/>
  <c r="N75" i="47"/>
  <c r="K22" i="47"/>
  <c r="K75" i="47" s="1"/>
  <c r="I32" i="47"/>
  <c r="M33" i="47"/>
  <c r="M65" i="47"/>
  <c r="M10" i="47"/>
  <c r="N22" i="47"/>
  <c r="D33" i="47"/>
  <c r="D41" i="47"/>
  <c r="D59" i="47"/>
  <c r="I60" i="47"/>
  <c r="I44" i="47" s="1"/>
  <c r="I22" i="47" s="1"/>
  <c r="I19" i="47" s="1"/>
  <c r="F62" i="47"/>
  <c r="D62" i="47" s="1"/>
  <c r="D66" i="47"/>
  <c r="J44" i="47"/>
  <c r="F54" i="47"/>
  <c r="D54" i="47" s="1"/>
  <c r="G44" i="47"/>
  <c r="M32" i="47"/>
  <c r="D49" i="47"/>
  <c r="D28" i="47"/>
  <c r="D65" i="47"/>
  <c r="E10" i="47"/>
  <c r="S12" i="47"/>
  <c r="F23" i="47"/>
  <c r="D23" i="47" s="1"/>
  <c r="G32" i="47"/>
  <c r="O60" i="47"/>
  <c r="O44" i="47" s="1"/>
  <c r="O22" i="47" s="1"/>
  <c r="T12" i="47"/>
  <c r="G10" i="47"/>
  <c r="E32" i="47"/>
  <c r="I10" i="47" l="1"/>
  <c r="I75" i="47" s="1"/>
  <c r="F19" i="47"/>
  <c r="J35" i="47"/>
  <c r="J32" i="47" s="1"/>
  <c r="F32" i="47" s="1"/>
  <c r="D32" i="47" s="1"/>
  <c r="F37" i="47"/>
  <c r="F60" i="47"/>
  <c r="F44" i="47" s="1"/>
  <c r="O75" i="47"/>
  <c r="M22" i="47"/>
  <c r="M44" i="47"/>
  <c r="E22" i="47"/>
  <c r="D19" i="47"/>
  <c r="F10" i="47"/>
  <c r="D10" i="47" s="1"/>
  <c r="M60" i="47"/>
  <c r="G22" i="47"/>
  <c r="G75" i="47" s="1"/>
  <c r="J22" i="47" l="1"/>
  <c r="J75" i="47" s="1"/>
  <c r="D37" i="47"/>
  <c r="F35" i="47"/>
  <c r="D35" i="47" s="1"/>
  <c r="D60" i="47"/>
  <c r="D44" i="47"/>
  <c r="F26" i="45" s="1"/>
  <c r="F22" i="47"/>
  <c r="D22" i="47" s="1"/>
  <c r="N79" i="46" l="1"/>
  <c r="F74" i="46"/>
  <c r="D74" i="46"/>
  <c r="M73" i="46"/>
  <c r="M72" i="46"/>
  <c r="D72" i="46"/>
  <c r="M71" i="46"/>
  <c r="P70" i="46"/>
  <c r="M70" i="46"/>
  <c r="K70" i="46"/>
  <c r="F70" i="46"/>
  <c r="E70" i="46"/>
  <c r="D70" i="46" s="1"/>
  <c r="M69" i="46"/>
  <c r="M68" i="46"/>
  <c r="M67" i="46"/>
  <c r="P66" i="46"/>
  <c r="M66" i="46"/>
  <c r="L66" i="46"/>
  <c r="K66" i="46"/>
  <c r="F66" i="46"/>
  <c r="E66" i="46"/>
  <c r="O65" i="46"/>
  <c r="N65" i="46"/>
  <c r="M65" i="46" s="1"/>
  <c r="I65" i="46"/>
  <c r="F65" i="46" s="1"/>
  <c r="M64" i="46"/>
  <c r="F64" i="46"/>
  <c r="M63" i="46"/>
  <c r="F63" i="46"/>
  <c r="O62" i="46"/>
  <c r="M62" i="46" s="1"/>
  <c r="G62" i="46"/>
  <c r="F62" i="46" s="1"/>
  <c r="M61" i="46"/>
  <c r="F61" i="46"/>
  <c r="P60" i="46"/>
  <c r="O60" i="46"/>
  <c r="L60" i="46"/>
  <c r="L44" i="46" s="1"/>
  <c r="K60" i="46"/>
  <c r="J60" i="46"/>
  <c r="H60" i="46"/>
  <c r="H44" i="46" s="1"/>
  <c r="E60" i="46"/>
  <c r="M59" i="46"/>
  <c r="F59" i="46"/>
  <c r="D59" i="46"/>
  <c r="M58" i="46"/>
  <c r="J58" i="46"/>
  <c r="F58" i="46" s="1"/>
  <c r="M57" i="46"/>
  <c r="G57" i="46"/>
  <c r="F57" i="46" s="1"/>
  <c r="D57" i="46" s="1"/>
  <c r="M56" i="46"/>
  <c r="G56" i="46"/>
  <c r="F56" i="46" s="1"/>
  <c r="D56" i="46" s="1"/>
  <c r="M55" i="46"/>
  <c r="F55" i="46"/>
  <c r="D55" i="46" s="1"/>
  <c r="M54" i="46"/>
  <c r="J54" i="46"/>
  <c r="G54" i="46"/>
  <c r="M53" i="46"/>
  <c r="F53" i="46"/>
  <c r="M52" i="46"/>
  <c r="D52" i="46" s="1"/>
  <c r="F52" i="46"/>
  <c r="M51" i="46"/>
  <c r="D51" i="46" s="1"/>
  <c r="F51" i="46"/>
  <c r="M50" i="46"/>
  <c r="F50" i="46"/>
  <c r="R49" i="46"/>
  <c r="M49" i="46"/>
  <c r="R51" i="46" s="1"/>
  <c r="J49" i="46"/>
  <c r="F49" i="46" s="1"/>
  <c r="D49" i="46" s="1"/>
  <c r="M48" i="46"/>
  <c r="F48" i="46"/>
  <c r="S47" i="46"/>
  <c r="O47" i="46"/>
  <c r="M47" i="46" s="1"/>
  <c r="J47" i="46"/>
  <c r="F47" i="46" s="1"/>
  <c r="M46" i="46"/>
  <c r="M45" i="46"/>
  <c r="P44" i="46"/>
  <c r="K44" i="46"/>
  <c r="E44" i="46"/>
  <c r="M43" i="46"/>
  <c r="M42" i="46"/>
  <c r="P41" i="46"/>
  <c r="N41" i="46"/>
  <c r="M41" i="46" s="1"/>
  <c r="F41" i="46"/>
  <c r="E41" i="46"/>
  <c r="M40" i="46"/>
  <c r="F40" i="46"/>
  <c r="M39" i="46"/>
  <c r="F39" i="46"/>
  <c r="M38" i="46"/>
  <c r="J38" i="46"/>
  <c r="F38" i="46" s="1"/>
  <c r="M37" i="46"/>
  <c r="J37" i="46"/>
  <c r="F37" i="46" s="1"/>
  <c r="M36" i="46"/>
  <c r="P35" i="46"/>
  <c r="O35" i="46"/>
  <c r="N35" i="46"/>
  <c r="L35" i="46"/>
  <c r="K35" i="46"/>
  <c r="I35" i="46"/>
  <c r="H35" i="46"/>
  <c r="G35" i="46"/>
  <c r="E35" i="46"/>
  <c r="M34" i="46"/>
  <c r="F34" i="46"/>
  <c r="P33" i="46"/>
  <c r="O33" i="46"/>
  <c r="O32" i="46" s="1"/>
  <c r="N33" i="46"/>
  <c r="L33" i="46"/>
  <c r="K33" i="46"/>
  <c r="K32" i="46" s="1"/>
  <c r="J33" i="46"/>
  <c r="I33" i="46"/>
  <c r="H33" i="46"/>
  <c r="H32" i="46" s="1"/>
  <c r="G33" i="46"/>
  <c r="E33" i="46"/>
  <c r="E32" i="46" s="1"/>
  <c r="I32" i="46"/>
  <c r="G32" i="46"/>
  <c r="M31" i="46"/>
  <c r="F31" i="46"/>
  <c r="M30" i="46"/>
  <c r="F30" i="46"/>
  <c r="M29" i="46"/>
  <c r="F29" i="46"/>
  <c r="P28" i="46"/>
  <c r="O28" i="46"/>
  <c r="N28" i="46"/>
  <c r="K28" i="46"/>
  <c r="J28" i="46"/>
  <c r="F28" i="46" s="1"/>
  <c r="E28" i="46"/>
  <c r="D28" i="46" s="1"/>
  <c r="M27" i="46"/>
  <c r="F27" i="46"/>
  <c r="M26" i="46"/>
  <c r="F26" i="46"/>
  <c r="E26" i="46"/>
  <c r="M25" i="46"/>
  <c r="F25" i="46"/>
  <c r="F23" i="46" s="1"/>
  <c r="M24" i="46"/>
  <c r="P23" i="46"/>
  <c r="O23" i="46"/>
  <c r="N23" i="46"/>
  <c r="M23" i="46" s="1"/>
  <c r="L23" i="46"/>
  <c r="K23" i="46"/>
  <c r="J23" i="46"/>
  <c r="I23" i="46"/>
  <c r="H23" i="46"/>
  <c r="G23" i="46"/>
  <c r="M21" i="46"/>
  <c r="M20" i="46"/>
  <c r="D20" i="46" s="1"/>
  <c r="M19" i="46"/>
  <c r="G19" i="46"/>
  <c r="M18" i="46"/>
  <c r="M17" i="46"/>
  <c r="M16" i="46"/>
  <c r="D16" i="46" s="1"/>
  <c r="M15" i="46"/>
  <c r="M14" i="46"/>
  <c r="D14" i="46" s="1"/>
  <c r="M13" i="46"/>
  <c r="L13" i="46"/>
  <c r="E13" i="46"/>
  <c r="D13" i="46" s="1"/>
  <c r="M12" i="46"/>
  <c r="M11" i="46"/>
  <c r="O10" i="46"/>
  <c r="T12" i="46" s="1"/>
  <c r="N10" i="46"/>
  <c r="S12" i="46" s="1"/>
  <c r="L10" i="46"/>
  <c r="J10" i="46"/>
  <c r="H10" i="46"/>
  <c r="G10" i="46"/>
  <c r="E10" i="46"/>
  <c r="M28" i="46" l="1"/>
  <c r="D38" i="46"/>
  <c r="I22" i="46"/>
  <c r="I19" i="46" s="1"/>
  <c r="L32" i="46"/>
  <c r="L22" i="46" s="1"/>
  <c r="D34" i="46"/>
  <c r="M35" i="46"/>
  <c r="D39" i="46"/>
  <c r="D48" i="46"/>
  <c r="I60" i="46"/>
  <c r="I44" i="46" s="1"/>
  <c r="D58" i="46"/>
  <c r="D25" i="46"/>
  <c r="D27" i="46"/>
  <c r="M33" i="46"/>
  <c r="P22" i="46"/>
  <c r="P75" i="46" s="1"/>
  <c r="D26" i="46"/>
  <c r="H22" i="46"/>
  <c r="K22" i="46"/>
  <c r="F33" i="46"/>
  <c r="D33" i="46" s="1"/>
  <c r="P32" i="46"/>
  <c r="O44" i="46"/>
  <c r="O22" i="46" s="1"/>
  <c r="O75" i="46" s="1"/>
  <c r="D53" i="46"/>
  <c r="D63" i="46"/>
  <c r="D65" i="46"/>
  <c r="D66" i="46"/>
  <c r="F54" i="46"/>
  <c r="D54" i="46" s="1"/>
  <c r="I10" i="46"/>
  <c r="F19" i="46"/>
  <c r="D47" i="46"/>
  <c r="D37" i="46"/>
  <c r="F35" i="46"/>
  <c r="D35" i="46" s="1"/>
  <c r="D41" i="46"/>
  <c r="D62" i="46"/>
  <c r="M10" i="46"/>
  <c r="E23" i="46"/>
  <c r="N32" i="46"/>
  <c r="M32" i="46" s="1"/>
  <c r="J44" i="46"/>
  <c r="N60" i="46"/>
  <c r="J35" i="46"/>
  <c r="J32" i="46" s="1"/>
  <c r="F32" i="46" s="1"/>
  <c r="D32" i="46" s="1"/>
  <c r="G60" i="46"/>
  <c r="J22" i="46" l="1"/>
  <c r="N44" i="46"/>
  <c r="M60" i="46"/>
  <c r="G44" i="46"/>
  <c r="G22" i="46" s="1"/>
  <c r="F60" i="46"/>
  <c r="D19" i="46"/>
  <c r="F10" i="46"/>
  <c r="D10" i="46" s="1"/>
  <c r="E22" i="46"/>
  <c r="D23" i="46"/>
  <c r="M44" i="46" l="1"/>
  <c r="N22" i="46"/>
  <c r="F44" i="46"/>
  <c r="D60" i="46"/>
  <c r="M22" i="46" l="1"/>
  <c r="N75" i="46"/>
  <c r="D44" i="46"/>
  <c r="E26" i="45" s="1"/>
  <c r="F22" i="46"/>
  <c r="D22" i="46" l="1"/>
  <c r="T14" i="42" l="1"/>
  <c r="T13" i="49"/>
  <c r="S13" i="49" l="1"/>
  <c r="T10" i="49"/>
  <c r="Y12" i="49" l="1"/>
  <c r="S10" i="49"/>
  <c r="S75" i="49" s="1"/>
  <c r="T75" i="49"/>
  <c r="D116" i="44"/>
  <c r="R45" i="42"/>
  <c r="G61" i="42"/>
  <c r="D52" i="44" l="1"/>
  <c r="I62" i="44" l="1"/>
  <c r="E81" i="44"/>
  <c r="C81" i="44"/>
  <c r="C35" i="44"/>
  <c r="D81" i="44" l="1"/>
  <c r="AS45" i="27"/>
  <c r="O45" i="27"/>
  <c r="U22" i="42"/>
  <c r="U21" i="42"/>
  <c r="T22" i="42"/>
  <c r="I21" i="42"/>
  <c r="I22" i="42"/>
  <c r="AT22" i="27"/>
  <c r="S22" i="42" l="1"/>
  <c r="D22" i="42" s="1"/>
  <c r="AP45" i="27"/>
  <c r="AM45" i="27" s="1"/>
  <c r="AN45" i="27" s="1"/>
  <c r="BQ17" i="27" l="1"/>
  <c r="E85" i="48"/>
  <c r="AP24" i="27"/>
  <c r="G62" i="49"/>
  <c r="E62" i="49" s="1"/>
  <c r="D62" i="49" s="1"/>
  <c r="H94" i="27"/>
  <c r="I94" i="27" s="1"/>
  <c r="E84" i="48" l="1"/>
  <c r="D84" i="48" s="1"/>
  <c r="D85" i="48"/>
  <c r="G65" i="49"/>
  <c r="E65" i="49" s="1"/>
  <c r="D65" i="49" s="1"/>
  <c r="AP36" i="27" l="1"/>
  <c r="AQ21" i="27"/>
  <c r="BM71" i="27"/>
  <c r="BO71" i="27" s="1"/>
  <c r="BM72" i="27"/>
  <c r="BO72" i="27" s="1"/>
  <c r="BM73" i="27"/>
  <c r="BO73" i="27" s="1"/>
  <c r="BM74" i="27"/>
  <c r="BO74" i="27" s="1"/>
  <c r="G24" i="27"/>
  <c r="G11" i="27"/>
  <c r="BP100" i="27" l="1"/>
  <c r="C102" i="48"/>
  <c r="C103" i="48" s="1"/>
  <c r="L12" i="13"/>
  <c r="K12" i="13"/>
  <c r="I12" i="13"/>
  <c r="H12" i="13"/>
  <c r="F12" i="13"/>
  <c r="E12" i="13"/>
  <c r="J13" i="13"/>
  <c r="G12" i="13"/>
  <c r="G13" i="13" s="1"/>
  <c r="J12" i="13"/>
  <c r="H88" i="44" l="1"/>
  <c r="E34" i="44" l="1"/>
  <c r="E33" i="44"/>
  <c r="E32" i="44"/>
  <c r="E31" i="44"/>
  <c r="E28" i="44"/>
  <c r="E27" i="44"/>
  <c r="E25" i="44"/>
  <c r="C25" i="44"/>
  <c r="E22" i="44"/>
  <c r="E21" i="44"/>
  <c r="D25" i="44" l="1"/>
  <c r="E23" i="44"/>
  <c r="G27" i="49"/>
  <c r="E27" i="49" s="1"/>
  <c r="D27" i="49" s="1"/>
  <c r="N55" i="42" l="1"/>
  <c r="N50" i="42"/>
  <c r="N48" i="42"/>
  <c r="N39" i="42"/>
  <c r="I39" i="42" s="1"/>
  <c r="N38" i="42"/>
  <c r="I38" i="42" s="1"/>
  <c r="N27" i="42"/>
  <c r="I27" i="42" s="1"/>
  <c r="N26" i="42"/>
  <c r="I26" i="42" s="1"/>
  <c r="K63" i="42"/>
  <c r="K56" i="42"/>
  <c r="K52" i="42"/>
  <c r="H15" i="42" l="1"/>
  <c r="E37" i="44" l="1"/>
  <c r="E36" i="44"/>
  <c r="U66" i="42" l="1"/>
  <c r="H66" i="42"/>
  <c r="U63" i="42"/>
  <c r="T63" i="42"/>
  <c r="H63" i="42"/>
  <c r="G63" i="42"/>
  <c r="AB11" i="42"/>
  <c r="AB13" i="42"/>
  <c r="U59" i="42"/>
  <c r="U55" i="42"/>
  <c r="U50" i="42"/>
  <c r="U49" i="42"/>
  <c r="U48" i="42"/>
  <c r="U40" i="42"/>
  <c r="U39" i="42"/>
  <c r="U38" i="42"/>
  <c r="U28" i="42"/>
  <c r="U27" i="42"/>
  <c r="U26" i="42"/>
  <c r="U15" i="42"/>
  <c r="H59" i="42"/>
  <c r="H55" i="42"/>
  <c r="H50" i="42"/>
  <c r="H48" i="42"/>
  <c r="H38" i="42"/>
  <c r="H28" i="42"/>
  <c r="H27" i="42"/>
  <c r="H26" i="42"/>
  <c r="AK65" i="43"/>
  <c r="AK62" i="43"/>
  <c r="AC80" i="43"/>
  <c r="K79" i="43"/>
  <c r="K82" i="43" s="1"/>
  <c r="AE75" i="43"/>
  <c r="W74" i="43"/>
  <c r="T74" i="43"/>
  <c r="Q74" i="43" s="1"/>
  <c r="G74" i="43"/>
  <c r="AE73" i="43"/>
  <c r="AD73" i="43"/>
  <c r="AF73" i="43" s="1"/>
  <c r="W73" i="43"/>
  <c r="I73" i="43"/>
  <c r="AE72" i="43"/>
  <c r="AD72" i="43"/>
  <c r="E72" i="43" s="1"/>
  <c r="W72" i="43"/>
  <c r="I72" i="43"/>
  <c r="D72" i="43"/>
  <c r="AE71" i="43"/>
  <c r="AF71" i="43" s="1"/>
  <c r="AD71" i="43"/>
  <c r="W71" i="43"/>
  <c r="I71" i="43"/>
  <c r="F71" i="43"/>
  <c r="E71" i="43"/>
  <c r="AM70" i="43"/>
  <c r="AE70" i="43"/>
  <c r="AD70" i="43"/>
  <c r="E70" i="43" s="1"/>
  <c r="AB70" i="43"/>
  <c r="W70" i="43"/>
  <c r="Q70" i="43"/>
  <c r="N70" i="43"/>
  <c r="K70" i="43"/>
  <c r="G70" i="43"/>
  <c r="I70" i="43" s="1"/>
  <c r="AE69" i="43"/>
  <c r="AD69" i="43"/>
  <c r="W69" i="43"/>
  <c r="I69" i="43"/>
  <c r="AE68" i="43"/>
  <c r="AD68" i="43"/>
  <c r="W68" i="43"/>
  <c r="I68" i="43"/>
  <c r="E68" i="43"/>
  <c r="F68" i="43" s="1"/>
  <c r="AE67" i="43"/>
  <c r="AD67" i="43"/>
  <c r="AF67" i="43" s="1"/>
  <c r="W67" i="43"/>
  <c r="I67" i="43"/>
  <c r="AM66" i="43"/>
  <c r="AI66" i="43"/>
  <c r="AE66" i="43"/>
  <c r="AF66" i="43" s="1"/>
  <c r="AD66" i="43"/>
  <c r="AC66" i="43"/>
  <c r="AB66" i="43"/>
  <c r="W66" i="43"/>
  <c r="Q66" i="43" s="1"/>
  <c r="N66" i="43"/>
  <c r="K66" i="43"/>
  <c r="G66" i="43"/>
  <c r="I66" i="43" s="1"/>
  <c r="AJ65" i="43"/>
  <c r="AA65" i="43"/>
  <c r="X65" i="43"/>
  <c r="W65" i="43"/>
  <c r="T65" i="43"/>
  <c r="Q65" i="43" s="1"/>
  <c r="P65" i="43"/>
  <c r="L65" i="43"/>
  <c r="K65" i="43"/>
  <c r="AI64" i="43"/>
  <c r="AE64" i="43"/>
  <c r="AD64" i="43"/>
  <c r="W64" i="43"/>
  <c r="Q64" i="43" s="1"/>
  <c r="K64" i="43"/>
  <c r="I64" i="43"/>
  <c r="E64" i="43"/>
  <c r="F64" i="43" s="1"/>
  <c r="AI63" i="43"/>
  <c r="AE63" i="43"/>
  <c r="AF63" i="43" s="1"/>
  <c r="AD63" i="43"/>
  <c r="E63" i="43" s="1"/>
  <c r="W63" i="43"/>
  <c r="Q63" i="43" s="1"/>
  <c r="D63" i="43" s="1"/>
  <c r="F63" i="43" s="1"/>
  <c r="K63" i="43"/>
  <c r="I63" i="43"/>
  <c r="AL62" i="43"/>
  <c r="AD62" i="43"/>
  <c r="U62" i="43"/>
  <c r="W62" i="43" s="1"/>
  <c r="T62" i="43"/>
  <c r="R62" i="43" s="1"/>
  <c r="P62" i="43"/>
  <c r="L62" i="43"/>
  <c r="M62" i="43" s="1"/>
  <c r="G62" i="43"/>
  <c r="I62" i="43" s="1"/>
  <c r="AI61" i="43"/>
  <c r="AE61" i="43"/>
  <c r="AF61" i="43" s="1"/>
  <c r="AD61" i="43"/>
  <c r="E61" i="43" s="1"/>
  <c r="F61" i="43" s="1"/>
  <c r="W61" i="43"/>
  <c r="Q61" i="43"/>
  <c r="I61" i="43"/>
  <c r="AM60" i="43"/>
  <c r="AG60" i="43"/>
  <c r="AC60" i="43"/>
  <c r="AC44" i="43" s="1"/>
  <c r="AB60" i="43"/>
  <c r="Z60" i="43"/>
  <c r="Y60" i="43"/>
  <c r="X60" i="43"/>
  <c r="V60" i="43"/>
  <c r="U60" i="43"/>
  <c r="T60" i="43"/>
  <c r="O60" i="43"/>
  <c r="N60" i="43"/>
  <c r="L60" i="43"/>
  <c r="J60" i="43"/>
  <c r="H60" i="43"/>
  <c r="AI59" i="43"/>
  <c r="AE59" i="43"/>
  <c r="AF59" i="43" s="1"/>
  <c r="AD59" i="43"/>
  <c r="W59" i="43"/>
  <c r="Q59" i="43" s="1"/>
  <c r="D59" i="43" s="1"/>
  <c r="I59" i="43"/>
  <c r="E59" i="43"/>
  <c r="F59" i="43" s="1"/>
  <c r="AL58" i="43"/>
  <c r="AD58" i="43"/>
  <c r="AH58" i="43" s="1"/>
  <c r="Z58" i="43"/>
  <c r="Z44" i="43" s="1"/>
  <c r="Y58" i="43"/>
  <c r="V58" i="43"/>
  <c r="T58" i="43"/>
  <c r="P58" i="43"/>
  <c r="L58" i="43"/>
  <c r="K58" i="43"/>
  <c r="AD57" i="43"/>
  <c r="AH57" i="43" s="1"/>
  <c r="U57" i="43"/>
  <c r="R57" i="43"/>
  <c r="G57" i="43"/>
  <c r="I57" i="43" s="1"/>
  <c r="AH56" i="43"/>
  <c r="AI56" i="43" s="1"/>
  <c r="AD56" i="43"/>
  <c r="U56" i="43"/>
  <c r="W56" i="43" s="1"/>
  <c r="R56" i="43"/>
  <c r="E56" i="43" s="1"/>
  <c r="G56" i="43"/>
  <c r="AD55" i="43"/>
  <c r="AH55" i="43" s="1"/>
  <c r="AE55" i="43" s="1"/>
  <c r="AF55" i="43" s="1"/>
  <c r="W55" i="43"/>
  <c r="T55" i="43"/>
  <c r="Q55" i="43" s="1"/>
  <c r="G55" i="43"/>
  <c r="I55" i="43" s="1"/>
  <c r="AL54" i="43"/>
  <c r="AD54" i="43"/>
  <c r="AH54" i="43" s="1"/>
  <c r="AE54" i="43" s="1"/>
  <c r="AF54" i="43" s="1"/>
  <c r="Y54" i="43"/>
  <c r="AA54" i="43" s="1"/>
  <c r="V54" i="43"/>
  <c r="U54" i="43"/>
  <c r="T54" i="43"/>
  <c r="P54" i="43"/>
  <c r="L54" i="43"/>
  <c r="M54" i="43" s="1"/>
  <c r="G54" i="43"/>
  <c r="I54" i="43" s="1"/>
  <c r="AD53" i="43"/>
  <c r="AH53" i="43" s="1"/>
  <c r="W53" i="43"/>
  <c r="Q53" i="43" s="1"/>
  <c r="R53" i="43"/>
  <c r="G53" i="43"/>
  <c r="E53" i="43"/>
  <c r="AD52" i="43"/>
  <c r="AH52" i="43" s="1"/>
  <c r="AE52" i="43" s="1"/>
  <c r="AF52" i="43" s="1"/>
  <c r="W52" i="43"/>
  <c r="Q52" i="43" s="1"/>
  <c r="R52" i="43"/>
  <c r="E52" i="43" s="1"/>
  <c r="G52" i="43"/>
  <c r="I52" i="43" s="1"/>
  <c r="AD51" i="43"/>
  <c r="AH51" i="43" s="1"/>
  <c r="AI51" i="43" s="1"/>
  <c r="W51" i="43"/>
  <c r="T51" i="43"/>
  <c r="R51" i="43" s="1"/>
  <c r="G51" i="43"/>
  <c r="AD50" i="43"/>
  <c r="W50" i="43"/>
  <c r="Q50" i="43" s="1"/>
  <c r="I50" i="43"/>
  <c r="AO49" i="43"/>
  <c r="AL49" i="43"/>
  <c r="AD49" i="43"/>
  <c r="Y49" i="43"/>
  <c r="W49" i="43"/>
  <c r="T49" i="43"/>
  <c r="R49" i="43" s="1"/>
  <c r="P49" i="43"/>
  <c r="L49" i="43"/>
  <c r="M49" i="43" s="1"/>
  <c r="G49" i="43"/>
  <c r="AL48" i="43"/>
  <c r="AD48" i="43"/>
  <c r="AH48" i="43" s="1"/>
  <c r="W48" i="43"/>
  <c r="Q48" i="43" s="1"/>
  <c r="D48" i="43" s="1"/>
  <c r="I48" i="43"/>
  <c r="E48" i="43"/>
  <c r="AP47" i="43"/>
  <c r="AL47" i="43"/>
  <c r="AD47" i="43"/>
  <c r="AH47" i="43" s="1"/>
  <c r="Y47" i="43"/>
  <c r="W47" i="43"/>
  <c r="T47" i="43"/>
  <c r="T44" i="43" s="1"/>
  <c r="P47" i="43"/>
  <c r="L47" i="43"/>
  <c r="G47" i="43"/>
  <c r="AE46" i="43"/>
  <c r="AF46" i="43" s="1"/>
  <c r="AD46" i="43"/>
  <c r="E46" i="43" s="1"/>
  <c r="F46" i="43" s="1"/>
  <c r="W46" i="43"/>
  <c r="I46" i="43"/>
  <c r="AE45" i="43"/>
  <c r="AD45" i="43"/>
  <c r="W45" i="43"/>
  <c r="I45" i="43"/>
  <c r="E45" i="43"/>
  <c r="F45" i="43" s="1"/>
  <c r="AM44" i="43"/>
  <c r="AG44" i="43"/>
  <c r="AB44" i="43"/>
  <c r="X44" i="43"/>
  <c r="O44" i="43"/>
  <c r="P44" i="43" s="1"/>
  <c r="N44" i="43"/>
  <c r="J44" i="43"/>
  <c r="H44" i="43"/>
  <c r="AE43" i="43"/>
  <c r="AD43" i="43"/>
  <c r="W43" i="43"/>
  <c r="I43" i="43"/>
  <c r="E43" i="43"/>
  <c r="F43" i="43" s="1"/>
  <c r="AE42" i="43"/>
  <c r="AD42" i="43"/>
  <c r="E42" i="43" s="1"/>
  <c r="F42" i="43" s="1"/>
  <c r="W42" i="43"/>
  <c r="I42" i="43"/>
  <c r="AM41" i="43"/>
  <c r="AG41" i="43"/>
  <c r="AD41" i="43" s="1"/>
  <c r="E41" i="43" s="1"/>
  <c r="AE41" i="43"/>
  <c r="W41" i="43"/>
  <c r="Q41" i="43" s="1"/>
  <c r="N41" i="43"/>
  <c r="K41" i="43"/>
  <c r="G41" i="43"/>
  <c r="AE40" i="43"/>
  <c r="AD40" i="43"/>
  <c r="E40" i="43" s="1"/>
  <c r="F40" i="43" s="1"/>
  <c r="W40" i="43"/>
  <c r="Q40" i="43" s="1"/>
  <c r="I40" i="43"/>
  <c r="AL39" i="43"/>
  <c r="AD39" i="43"/>
  <c r="AH39" i="43" s="1"/>
  <c r="W39" i="43"/>
  <c r="Q39" i="43" s="1"/>
  <c r="L39" i="43"/>
  <c r="K39" i="43"/>
  <c r="G39" i="43" s="1"/>
  <c r="E39" i="43"/>
  <c r="AL38" i="43"/>
  <c r="AD38" i="43"/>
  <c r="AH38" i="43" s="1"/>
  <c r="Y38" i="43"/>
  <c r="Y37" i="43" s="1"/>
  <c r="W38" i="43"/>
  <c r="R38" i="43"/>
  <c r="Q38" i="43"/>
  <c r="L38" i="43"/>
  <c r="K38" i="43"/>
  <c r="G38" i="43" s="1"/>
  <c r="E38" i="43"/>
  <c r="AL37" i="43"/>
  <c r="AD37" i="43"/>
  <c r="W37" i="43"/>
  <c r="R37" i="43"/>
  <c r="P37" i="43"/>
  <c r="L37" i="43"/>
  <c r="K37" i="43"/>
  <c r="I37" i="43"/>
  <c r="AE36" i="43"/>
  <c r="AF36" i="43" s="1"/>
  <c r="AD36" i="43"/>
  <c r="W36" i="43"/>
  <c r="I36" i="43"/>
  <c r="F36" i="43"/>
  <c r="E36" i="43"/>
  <c r="AM35" i="43"/>
  <c r="AK35" i="43"/>
  <c r="AL35" i="43" s="1"/>
  <c r="AJ35" i="43"/>
  <c r="AG35" i="43"/>
  <c r="AC35" i="43"/>
  <c r="AB35" i="43"/>
  <c r="Z35" i="43"/>
  <c r="X35" i="43"/>
  <c r="V35" i="43"/>
  <c r="U35" i="43"/>
  <c r="T35" i="43"/>
  <c r="O35" i="43"/>
  <c r="P35" i="43" s="1"/>
  <c r="N35" i="43"/>
  <c r="J35" i="43"/>
  <c r="H35" i="43"/>
  <c r="AD34" i="43"/>
  <c r="W34" i="43"/>
  <c r="Q34" i="43" s="1"/>
  <c r="D34" i="43" s="1"/>
  <c r="I34" i="43"/>
  <c r="AM33" i="43"/>
  <c r="AM32" i="43" s="1"/>
  <c r="AJ33" i="43"/>
  <c r="AJ32" i="43" s="1"/>
  <c r="AG33" i="43"/>
  <c r="AG32" i="43" s="1"/>
  <c r="AC33" i="43"/>
  <c r="AC32" i="43" s="1"/>
  <c r="AB33" i="43"/>
  <c r="Y33" i="43"/>
  <c r="X33" i="43"/>
  <c r="V33" i="43"/>
  <c r="W33" i="43" s="1"/>
  <c r="U33" i="43"/>
  <c r="N33" i="43"/>
  <c r="K33" i="43"/>
  <c r="G33" i="43"/>
  <c r="I33" i="43" s="1"/>
  <c r="Z32" i="43"/>
  <c r="X32" i="43"/>
  <c r="U32" i="43"/>
  <c r="T32" i="43"/>
  <c r="O32" i="43"/>
  <c r="J32" i="43"/>
  <c r="AE31" i="43"/>
  <c r="AD31" i="43"/>
  <c r="W31" i="43"/>
  <c r="Q31" i="43" s="1"/>
  <c r="I31" i="43"/>
  <c r="E31" i="43"/>
  <c r="F31" i="43" s="1"/>
  <c r="AE30" i="43"/>
  <c r="AD30" i="43"/>
  <c r="W30" i="43"/>
  <c r="Q30" i="43" s="1"/>
  <c r="I30" i="43"/>
  <c r="E30" i="43"/>
  <c r="F30" i="43" s="1"/>
  <c r="AE29" i="43"/>
  <c r="AD29" i="43"/>
  <c r="E29" i="43" s="1"/>
  <c r="F29" i="43" s="1"/>
  <c r="W29" i="43"/>
  <c r="Q29" i="43" s="1"/>
  <c r="I29" i="43"/>
  <c r="AM28" i="43"/>
  <c r="AJ28" i="43"/>
  <c r="AG28" i="43"/>
  <c r="AE28" i="43"/>
  <c r="AF28" i="43" s="1"/>
  <c r="AD28" i="43"/>
  <c r="E28" i="43" s="1"/>
  <c r="AB28" i="43"/>
  <c r="Y28" i="43"/>
  <c r="W28" i="43"/>
  <c r="N28" i="43"/>
  <c r="K28" i="43"/>
  <c r="G28" i="43"/>
  <c r="AL27" i="43"/>
  <c r="AD27" i="43"/>
  <c r="D27" i="43" s="1"/>
  <c r="Q27" i="43"/>
  <c r="P27" i="43"/>
  <c r="L27" i="43"/>
  <c r="M27" i="43" s="1"/>
  <c r="I27" i="43"/>
  <c r="G27" i="43"/>
  <c r="AL26" i="43"/>
  <c r="AH26" i="43"/>
  <c r="AE26" i="43" s="1"/>
  <c r="AF26" i="43" s="1"/>
  <c r="AD26" i="43"/>
  <c r="AC26" i="43"/>
  <c r="Y26" i="43"/>
  <c r="AA26" i="43" s="1"/>
  <c r="W26" i="43"/>
  <c r="R26" i="43"/>
  <c r="E26" i="43" s="1"/>
  <c r="P26" i="43"/>
  <c r="K26" i="43"/>
  <c r="J26" i="43"/>
  <c r="L26" i="43" s="1"/>
  <c r="M26" i="43" s="1"/>
  <c r="AL25" i="43"/>
  <c r="AD25" i="43"/>
  <c r="AH25" i="43" s="1"/>
  <c r="AI25" i="43" s="1"/>
  <c r="AC25" i="43"/>
  <c r="E25" i="43" s="1"/>
  <c r="AA25" i="43"/>
  <c r="W25" i="43"/>
  <c r="R25" i="43"/>
  <c r="Q25" i="43"/>
  <c r="P25" i="43"/>
  <c r="K25" i="43"/>
  <c r="K23" i="43" s="1"/>
  <c r="J25" i="43"/>
  <c r="AE24" i="43"/>
  <c r="AD24" i="43"/>
  <c r="W24" i="43"/>
  <c r="I24" i="43"/>
  <c r="E24" i="43"/>
  <c r="F24" i="43" s="1"/>
  <c r="AM23" i="43"/>
  <c r="AK23" i="43"/>
  <c r="AJ23" i="43"/>
  <c r="AL23" i="43" s="1"/>
  <c r="AG23" i="43"/>
  <c r="AB23" i="43"/>
  <c r="Z23" i="43"/>
  <c r="Y23" i="43"/>
  <c r="X23" i="43"/>
  <c r="X22" i="43" s="1"/>
  <c r="X19" i="43" s="1"/>
  <c r="V23" i="43"/>
  <c r="W23" i="43" s="1"/>
  <c r="U23" i="43"/>
  <c r="T23" i="43"/>
  <c r="O23" i="43"/>
  <c r="N23" i="43"/>
  <c r="H23" i="43"/>
  <c r="T22" i="43"/>
  <c r="AE21" i="43"/>
  <c r="AD21" i="43"/>
  <c r="W21" i="43"/>
  <c r="I21" i="43"/>
  <c r="E21" i="43"/>
  <c r="F21" i="43" s="1"/>
  <c r="AL20" i="43"/>
  <c r="AD20" i="43"/>
  <c r="AH20" i="43" s="1"/>
  <c r="W20" i="43"/>
  <c r="I20" i="43"/>
  <c r="AE19" i="43"/>
  <c r="AF19" i="43" s="1"/>
  <c r="AD19" i="43"/>
  <c r="AA19" i="43"/>
  <c r="U19" i="43"/>
  <c r="W19" i="43" s="1"/>
  <c r="I19" i="43"/>
  <c r="AE18" i="43"/>
  <c r="AF18" i="43" s="1"/>
  <c r="AD18" i="43"/>
  <c r="E18" i="43" s="1"/>
  <c r="F18" i="43" s="1"/>
  <c r="W18" i="43"/>
  <c r="I18" i="43"/>
  <c r="AE17" i="43"/>
  <c r="AF17" i="43" s="1"/>
  <c r="AD17" i="43"/>
  <c r="W17" i="43"/>
  <c r="I17" i="43"/>
  <c r="F17" i="43"/>
  <c r="E17" i="43"/>
  <c r="AD16" i="43"/>
  <c r="AH16" i="43" s="1"/>
  <c r="AE16" i="43" s="1"/>
  <c r="AF16" i="43" s="1"/>
  <c r="W16" i="43"/>
  <c r="I16" i="43"/>
  <c r="D16" i="43"/>
  <c r="AF15" i="43"/>
  <c r="AE15" i="43"/>
  <c r="AD15" i="43"/>
  <c r="W15" i="43"/>
  <c r="I15" i="43"/>
  <c r="E15" i="43"/>
  <c r="F15" i="43" s="1"/>
  <c r="AL14" i="43"/>
  <c r="AD14" i="43"/>
  <c r="AH14" i="43" s="1"/>
  <c r="W14" i="43"/>
  <c r="P14" i="43"/>
  <c r="J14" i="43"/>
  <c r="L14" i="43" s="1"/>
  <c r="G14" i="43" s="1"/>
  <c r="I14" i="43" s="1"/>
  <c r="AK13" i="43"/>
  <c r="AK10" i="43" s="1"/>
  <c r="AL10" i="43" s="1"/>
  <c r="AJ13" i="43"/>
  <c r="AG13" i="43"/>
  <c r="AG10" i="43" s="1"/>
  <c r="AC13" i="43"/>
  <c r="AC10" i="43" s="1"/>
  <c r="W13" i="43"/>
  <c r="O13" i="43"/>
  <c r="P13" i="43" s="1"/>
  <c r="N13" i="43"/>
  <c r="K13" i="43"/>
  <c r="J13" i="43"/>
  <c r="J10" i="43" s="1"/>
  <c r="AR12" i="43"/>
  <c r="AD12" i="43"/>
  <c r="AF12" i="43" s="1"/>
  <c r="W12" i="43"/>
  <c r="AD11" i="43"/>
  <c r="AF11" i="43" s="1"/>
  <c r="W11" i="43"/>
  <c r="AJ10" i="43"/>
  <c r="AU10" i="43" s="1"/>
  <c r="Z10" i="43"/>
  <c r="Y10" i="43"/>
  <c r="V10" i="43"/>
  <c r="U10" i="43"/>
  <c r="W10" i="43" s="1"/>
  <c r="T10" i="43"/>
  <c r="O10" i="43"/>
  <c r="P10" i="43" s="1"/>
  <c r="N10" i="43"/>
  <c r="K10" i="43"/>
  <c r="M4" i="43" s="1"/>
  <c r="H10" i="43"/>
  <c r="AQ62" i="27"/>
  <c r="AQ64" i="27"/>
  <c r="AQ65" i="27"/>
  <c r="AQ67" i="27"/>
  <c r="AQ60" i="27"/>
  <c r="AQ63" i="27"/>
  <c r="AM16" i="27"/>
  <c r="E60" i="48" s="1"/>
  <c r="D60" i="48" s="1"/>
  <c r="AM18" i="27"/>
  <c r="AM19" i="27"/>
  <c r="AM20" i="27"/>
  <c r="AM22" i="27"/>
  <c r="AM74" i="27"/>
  <c r="AN74" i="27" s="1"/>
  <c r="W14" i="27"/>
  <c r="W15" i="27"/>
  <c r="W16" i="27"/>
  <c r="W17" i="27"/>
  <c r="W18" i="27"/>
  <c r="W19" i="27"/>
  <c r="W22" i="27"/>
  <c r="W25" i="27"/>
  <c r="W26" i="27"/>
  <c r="W27" i="27"/>
  <c r="W29" i="27"/>
  <c r="W30" i="27"/>
  <c r="W31" i="27"/>
  <c r="W32" i="27"/>
  <c r="W35" i="27"/>
  <c r="W37" i="27"/>
  <c r="W38" i="27"/>
  <c r="W39" i="27"/>
  <c r="W40" i="27"/>
  <c r="W41" i="27"/>
  <c r="W42" i="27"/>
  <c r="W43" i="27"/>
  <c r="W44" i="27"/>
  <c r="W46" i="27"/>
  <c r="W47" i="27"/>
  <c r="W48" i="27"/>
  <c r="W49" i="27"/>
  <c r="W50" i="27"/>
  <c r="W51" i="27"/>
  <c r="W52" i="27"/>
  <c r="W53" i="27"/>
  <c r="W54" i="27"/>
  <c r="W56" i="27"/>
  <c r="W60" i="27"/>
  <c r="W62" i="27"/>
  <c r="W64" i="27"/>
  <c r="W65" i="27"/>
  <c r="W66" i="27"/>
  <c r="W67" i="27"/>
  <c r="W68" i="27"/>
  <c r="W69" i="27"/>
  <c r="W70" i="27"/>
  <c r="W71" i="27"/>
  <c r="W72" i="27"/>
  <c r="W73" i="27"/>
  <c r="W74" i="27"/>
  <c r="C102" i="44"/>
  <c r="AN22" i="27" l="1"/>
  <c r="Z73" i="27"/>
  <c r="Y73" i="27"/>
  <c r="Y42" i="27"/>
  <c r="Z42" i="27"/>
  <c r="Z15" i="27"/>
  <c r="Y15" i="27"/>
  <c r="Z72" i="27"/>
  <c r="Y72" i="27"/>
  <c r="Z68" i="27"/>
  <c r="Y68" i="27"/>
  <c r="Z64" i="27"/>
  <c r="Y64" i="27" s="1"/>
  <c r="Z54" i="27"/>
  <c r="Y54" i="27" s="1"/>
  <c r="Y46" i="27"/>
  <c r="Z46" i="27"/>
  <c r="Y41" i="27"/>
  <c r="Z41" i="27"/>
  <c r="Z37" i="27"/>
  <c r="Y37" i="27"/>
  <c r="Y30" i="27"/>
  <c r="Z30" i="27"/>
  <c r="Y25" i="27"/>
  <c r="Z25" i="27"/>
  <c r="Z18" i="27"/>
  <c r="Y18" i="27"/>
  <c r="Y14" i="27"/>
  <c r="Z14" i="27"/>
  <c r="Z65" i="27"/>
  <c r="Y65" i="27" s="1"/>
  <c r="Z51" i="27"/>
  <c r="Y51" i="27" s="1"/>
  <c r="Y47" i="27"/>
  <c r="Y31" i="27"/>
  <c r="Z31" i="27"/>
  <c r="Z19" i="27"/>
  <c r="Y19" i="27"/>
  <c r="Y71" i="27"/>
  <c r="Z71" i="27"/>
  <c r="Y67" i="27"/>
  <c r="Z67" i="27"/>
  <c r="Z62" i="27"/>
  <c r="Y62" i="27" s="1"/>
  <c r="Z53" i="27"/>
  <c r="Y53" i="27" s="1"/>
  <c r="Z49" i="27"/>
  <c r="Y49" i="27" s="1"/>
  <c r="Y44" i="27"/>
  <c r="Z44" i="27"/>
  <c r="Y40" i="27"/>
  <c r="Z40" i="27"/>
  <c r="Y35" i="27"/>
  <c r="Z35" i="27"/>
  <c r="Y29" i="27"/>
  <c r="Z29" i="27"/>
  <c r="Y22" i="27"/>
  <c r="Z22" i="27"/>
  <c r="Z17" i="27"/>
  <c r="Y17" i="27"/>
  <c r="Z69" i="27"/>
  <c r="Y69" i="27"/>
  <c r="Y74" i="27"/>
  <c r="Z74" i="27"/>
  <c r="Y70" i="27"/>
  <c r="Z70" i="27"/>
  <c r="Z60" i="27"/>
  <c r="Y60" i="27" s="1"/>
  <c r="Y43" i="27"/>
  <c r="Z43" i="27"/>
  <c r="Y39" i="27"/>
  <c r="Y36" i="27" s="1"/>
  <c r="Z39" i="27"/>
  <c r="Y32" i="27"/>
  <c r="Z32" i="27"/>
  <c r="Y21" i="27"/>
  <c r="Z21" i="27"/>
  <c r="Z16" i="27"/>
  <c r="Y16" i="27"/>
  <c r="AB22" i="43"/>
  <c r="AB75" i="43" s="1"/>
  <c r="U44" i="43"/>
  <c r="R65" i="43"/>
  <c r="AA10" i="43"/>
  <c r="G26" i="43"/>
  <c r="W35" i="43"/>
  <c r="AF68" i="43"/>
  <c r="E16" i="43"/>
  <c r="E27" i="43"/>
  <c r="Q28" i="43"/>
  <c r="H22" i="43"/>
  <c r="H74" i="43" s="1"/>
  <c r="M37" i="43"/>
  <c r="M38" i="43"/>
  <c r="AF42" i="43"/>
  <c r="AF43" i="43"/>
  <c r="S52" i="43"/>
  <c r="AI55" i="43"/>
  <c r="P60" i="43"/>
  <c r="AF64" i="43"/>
  <c r="AF72" i="43"/>
  <c r="AF21" i="43"/>
  <c r="P23" i="43"/>
  <c r="AF24" i="43"/>
  <c r="N32" i="43"/>
  <c r="S53" i="43"/>
  <c r="AA60" i="43"/>
  <c r="E73" i="43"/>
  <c r="F73" i="43" s="1"/>
  <c r="Q37" i="43"/>
  <c r="S37" i="43" s="1"/>
  <c r="Y35" i="43"/>
  <c r="AA37" i="43"/>
  <c r="AI48" i="43"/>
  <c r="AE48" i="43"/>
  <c r="AF48" i="43" s="1"/>
  <c r="AF41" i="43"/>
  <c r="E51" i="43"/>
  <c r="E12" i="43"/>
  <c r="F12" i="43" s="1"/>
  <c r="AD13" i="43"/>
  <c r="E13" i="43" s="1"/>
  <c r="AL13" i="43"/>
  <c r="M14" i="43"/>
  <c r="F16" i="43"/>
  <c r="U22" i="43"/>
  <c r="AA23" i="43"/>
  <c r="AK32" i="43"/>
  <c r="R35" i="43"/>
  <c r="E35" i="43" s="1"/>
  <c r="AA38" i="43"/>
  <c r="AM22" i="43"/>
  <c r="AM75" i="43" s="1"/>
  <c r="Q51" i="43"/>
  <c r="S51" i="43" s="1"/>
  <c r="Q56" i="43"/>
  <c r="S56" i="43" s="1"/>
  <c r="E67" i="43"/>
  <c r="F67" i="43" s="1"/>
  <c r="AF70" i="43"/>
  <c r="F72" i="43"/>
  <c r="R74" i="43"/>
  <c r="S74" i="43" s="1"/>
  <c r="AF30" i="43"/>
  <c r="AD35" i="43"/>
  <c r="AH35" i="43" s="1"/>
  <c r="AH37" i="43"/>
  <c r="AE37" i="43" s="1"/>
  <c r="AF37" i="43" s="1"/>
  <c r="S38" i="43"/>
  <c r="L35" i="43"/>
  <c r="AI52" i="43"/>
  <c r="AI54" i="43"/>
  <c r="R55" i="43"/>
  <c r="W60" i="43"/>
  <c r="D66" i="43"/>
  <c r="L13" i="43"/>
  <c r="M13" i="43" s="1"/>
  <c r="E20" i="43"/>
  <c r="AD23" i="43"/>
  <c r="AH23" i="43" s="1"/>
  <c r="AE23" i="43" s="1"/>
  <c r="AF23" i="43" s="1"/>
  <c r="G25" i="43"/>
  <c r="I25" i="43" s="1"/>
  <c r="Q26" i="43"/>
  <c r="Q23" i="43" s="1"/>
  <c r="V32" i="43"/>
  <c r="W32" i="43" s="1"/>
  <c r="AB32" i="43"/>
  <c r="AA35" i="43"/>
  <c r="AF45" i="43"/>
  <c r="AE56" i="43"/>
  <c r="AF56" i="43" s="1"/>
  <c r="AA58" i="43"/>
  <c r="Q62" i="43"/>
  <c r="S62" i="43" s="1"/>
  <c r="K60" i="43"/>
  <c r="S65" i="43"/>
  <c r="E22" i="27"/>
  <c r="E66" i="48"/>
  <c r="D66" i="48" s="1"/>
  <c r="U45" i="42"/>
  <c r="H45" i="42"/>
  <c r="Q58" i="43"/>
  <c r="AK60" i="43"/>
  <c r="AK44" i="43" s="1"/>
  <c r="AK22" i="43" s="1"/>
  <c r="AP12" i="43"/>
  <c r="AT10" i="43"/>
  <c r="AD10" i="43"/>
  <c r="AI20" i="43"/>
  <c r="AE20" i="43"/>
  <c r="AF20" i="43" s="1"/>
  <c r="AI35" i="43"/>
  <c r="AE35" i="43"/>
  <c r="AF35" i="43" s="1"/>
  <c r="AI38" i="43"/>
  <c r="AE38" i="43"/>
  <c r="AF38" i="43" s="1"/>
  <c r="L32" i="43"/>
  <c r="AI23" i="43"/>
  <c r="D25" i="43"/>
  <c r="F25" i="43" s="1"/>
  <c r="M60" i="43"/>
  <c r="K44" i="43"/>
  <c r="AI14" i="43"/>
  <c r="AE14" i="43"/>
  <c r="AF14" i="43" s="1"/>
  <c r="F27" i="43"/>
  <c r="AE39" i="43"/>
  <c r="AF39" i="43" s="1"/>
  <c r="AI39" i="43"/>
  <c r="Q19" i="43"/>
  <c r="R19" i="43"/>
  <c r="X10" i="43"/>
  <c r="X75" i="43" s="1"/>
  <c r="N22" i="43"/>
  <c r="N75" i="43" s="1"/>
  <c r="P32" i="43"/>
  <c r="AD32" i="43"/>
  <c r="AH32" i="43" s="1"/>
  <c r="AG22" i="43"/>
  <c r="I38" i="43"/>
  <c r="D38" i="43"/>
  <c r="F38" i="43" s="1"/>
  <c r="G35" i="43"/>
  <c r="I35" i="43" s="1"/>
  <c r="R32" i="43"/>
  <c r="I39" i="43"/>
  <c r="D39" i="43"/>
  <c r="F39" i="43" s="1"/>
  <c r="I74" i="43"/>
  <c r="H75" i="43"/>
  <c r="L10" i="43"/>
  <c r="M10" i="43" s="1"/>
  <c r="T75" i="43"/>
  <c r="T77" i="43" s="1"/>
  <c r="E11" i="43"/>
  <c r="F11" i="43" s="1"/>
  <c r="D14" i="43"/>
  <c r="AI16" i="43"/>
  <c r="R23" i="43"/>
  <c r="AC23" i="43"/>
  <c r="AC22" i="43" s="1"/>
  <c r="AC75" i="43" s="1"/>
  <c r="S25" i="43"/>
  <c r="I26" i="43"/>
  <c r="AI26" i="43"/>
  <c r="AF29" i="43"/>
  <c r="AF31" i="43"/>
  <c r="H32" i="43"/>
  <c r="AL32" i="43"/>
  <c r="Q33" i="43"/>
  <c r="E37" i="43"/>
  <c r="M39" i="43"/>
  <c r="I41" i="43"/>
  <c r="D41" i="43"/>
  <c r="F41" i="43" s="1"/>
  <c r="R47" i="43"/>
  <c r="AE47" i="43"/>
  <c r="AI47" i="43"/>
  <c r="F48" i="43"/>
  <c r="I49" i="43"/>
  <c r="AE53" i="43"/>
  <c r="AF53" i="43" s="1"/>
  <c r="AI53" i="43"/>
  <c r="I56" i="43"/>
  <c r="M65" i="43"/>
  <c r="G65" i="43"/>
  <c r="I53" i="43"/>
  <c r="D53" i="43"/>
  <c r="AF69" i="43"/>
  <c r="E69" i="43"/>
  <c r="F69" i="43" s="1"/>
  <c r="U75" i="43"/>
  <c r="E14" i="43"/>
  <c r="D20" i="43"/>
  <c r="F20" i="43" s="1"/>
  <c r="Z22" i="43"/>
  <c r="Z75" i="43" s="1"/>
  <c r="J23" i="43"/>
  <c r="J22" i="43" s="1"/>
  <c r="L25" i="43"/>
  <c r="AE25" i="43"/>
  <c r="AF25" i="43" s="1"/>
  <c r="AH27" i="43"/>
  <c r="AD33" i="43"/>
  <c r="AH34" i="43"/>
  <c r="AE34" i="43" s="1"/>
  <c r="AF34" i="43" s="1"/>
  <c r="E34" i="43"/>
  <c r="F34" i="43" s="1"/>
  <c r="K35" i="43"/>
  <c r="M35" i="43" s="1"/>
  <c r="AF40" i="43"/>
  <c r="I47" i="43"/>
  <c r="AE51" i="43"/>
  <c r="AF51" i="43" s="1"/>
  <c r="W57" i="43"/>
  <c r="Q57" i="43"/>
  <c r="D57" i="43" s="1"/>
  <c r="W58" i="43"/>
  <c r="R58" i="43"/>
  <c r="AD65" i="43"/>
  <c r="AH65" i="43" s="1"/>
  <c r="AL65" i="43"/>
  <c r="AJ60" i="43"/>
  <c r="AJ44" i="43" s="1"/>
  <c r="AJ22" i="43" s="1"/>
  <c r="AQ12" i="43"/>
  <c r="AA47" i="43"/>
  <c r="Q47" i="43"/>
  <c r="D47" i="43" s="1"/>
  <c r="Y44" i="43"/>
  <c r="AA44" i="43" s="1"/>
  <c r="E49" i="43"/>
  <c r="AH49" i="43"/>
  <c r="AO51" i="43"/>
  <c r="AH50" i="43"/>
  <c r="E50" i="43"/>
  <c r="F50" i="43" s="1"/>
  <c r="W54" i="43"/>
  <c r="V44" i="43"/>
  <c r="W44" i="43" s="1"/>
  <c r="R54" i="43"/>
  <c r="O22" i="43"/>
  <c r="P22" i="43" s="1"/>
  <c r="I28" i="43"/>
  <c r="D28" i="43"/>
  <c r="F28" i="43" s="1"/>
  <c r="Q49" i="43"/>
  <c r="D49" i="43" s="1"/>
  <c r="AA49" i="43"/>
  <c r="I51" i="43"/>
  <c r="D51" i="43"/>
  <c r="F51" i="43" s="1"/>
  <c r="E55" i="43"/>
  <c r="S55" i="43"/>
  <c r="AE57" i="43"/>
  <c r="AF57" i="43" s="1"/>
  <c r="AI57" i="43"/>
  <c r="AL44" i="43"/>
  <c r="M47" i="43"/>
  <c r="L44" i="43"/>
  <c r="F53" i="43"/>
  <c r="D55" i="43"/>
  <c r="AE58" i="43"/>
  <c r="AF58" i="43" s="1"/>
  <c r="AI58" i="43"/>
  <c r="Q60" i="43"/>
  <c r="M58" i="43"/>
  <c r="G58" i="43"/>
  <c r="E62" i="43"/>
  <c r="R60" i="43"/>
  <c r="E66" i="43"/>
  <c r="E57" i="43"/>
  <c r="F57" i="43" s="1"/>
  <c r="D52" i="43"/>
  <c r="F52" i="43" s="1"/>
  <c r="Q54" i="43"/>
  <c r="D54" i="43" s="1"/>
  <c r="D70" i="43"/>
  <c r="F70" i="43" s="1"/>
  <c r="I37" i="27"/>
  <c r="I38" i="27"/>
  <c r="I41" i="27"/>
  <c r="I43" i="27"/>
  <c r="I44" i="27"/>
  <c r="I46" i="27"/>
  <c r="I47" i="27"/>
  <c r="I49" i="27"/>
  <c r="I51" i="27"/>
  <c r="I60" i="27"/>
  <c r="I62" i="27"/>
  <c r="I64" i="27"/>
  <c r="I65" i="27"/>
  <c r="I68" i="27"/>
  <c r="I69" i="27"/>
  <c r="I70" i="27"/>
  <c r="I72" i="27"/>
  <c r="I73" i="27"/>
  <c r="I74" i="27"/>
  <c r="I30" i="27"/>
  <c r="I31" i="27"/>
  <c r="I32" i="27"/>
  <c r="I35" i="27"/>
  <c r="I25" i="27"/>
  <c r="I16" i="27"/>
  <c r="I17" i="27"/>
  <c r="I18" i="27"/>
  <c r="I19" i="27"/>
  <c r="I20" i="27"/>
  <c r="I21" i="27"/>
  <c r="I22" i="27"/>
  <c r="Z36" i="27" l="1"/>
  <c r="Y52" i="27"/>
  <c r="S57" i="43"/>
  <c r="G23" i="43"/>
  <c r="I23" i="43" s="1"/>
  <c r="K32" i="43"/>
  <c r="K22" i="43" s="1"/>
  <c r="G22" i="43" s="1"/>
  <c r="V22" i="43"/>
  <c r="W22" i="43" s="1"/>
  <c r="D56" i="43"/>
  <c r="F56" i="43" s="1"/>
  <c r="AI37" i="43"/>
  <c r="AH13" i="43"/>
  <c r="AI13" i="43" s="1"/>
  <c r="AA21" i="49"/>
  <c r="AB21" i="49" s="1"/>
  <c r="D37" i="43"/>
  <c r="Q35" i="43"/>
  <c r="S35" i="43" s="1"/>
  <c r="Y32" i="43"/>
  <c r="F66" i="43"/>
  <c r="AD44" i="43"/>
  <c r="F37" i="43"/>
  <c r="S26" i="43"/>
  <c r="G13" i="43"/>
  <c r="D62" i="43"/>
  <c r="F62" i="43" s="1"/>
  <c r="AD60" i="43"/>
  <c r="E60" i="43" s="1"/>
  <c r="F14" i="43"/>
  <c r="AL60" i="43"/>
  <c r="D26" i="43"/>
  <c r="F26" i="43" s="1"/>
  <c r="E82" i="44"/>
  <c r="E99" i="48"/>
  <c r="D99" i="48" s="1"/>
  <c r="AL22" i="43"/>
  <c r="AL74" i="43" s="1"/>
  <c r="AK74" i="43"/>
  <c r="AK76" i="43"/>
  <c r="F55" i="43"/>
  <c r="F49" i="43"/>
  <c r="E65" i="43"/>
  <c r="S60" i="43"/>
  <c r="S54" i="43"/>
  <c r="E54" i="43"/>
  <c r="F54" i="43" s="1"/>
  <c r="AE50" i="43"/>
  <c r="AF50" i="43" s="1"/>
  <c r="AI50" i="43"/>
  <c r="S58" i="43"/>
  <c r="E58" i="43"/>
  <c r="M25" i="43"/>
  <c r="L23" i="43"/>
  <c r="S49" i="43"/>
  <c r="I65" i="43"/>
  <c r="D65" i="43"/>
  <c r="G60" i="43"/>
  <c r="S23" i="43"/>
  <c r="G32" i="43"/>
  <c r="AI32" i="43"/>
  <c r="AE32" i="43"/>
  <c r="AF32" i="43" s="1"/>
  <c r="R10" i="43"/>
  <c r="S19" i="43"/>
  <c r="E19" i="43"/>
  <c r="AH10" i="43"/>
  <c r="M44" i="43"/>
  <c r="Q44" i="43"/>
  <c r="AJ74" i="43"/>
  <c r="AJ75" i="43" s="1"/>
  <c r="AJ76" i="43"/>
  <c r="AH33" i="43"/>
  <c r="AE33" i="43" s="1"/>
  <c r="AF33" i="43" s="1"/>
  <c r="E33" i="43"/>
  <c r="AF47" i="43"/>
  <c r="D33" i="43"/>
  <c r="Q10" i="43"/>
  <c r="D19" i="43"/>
  <c r="E23" i="43"/>
  <c r="I58" i="43"/>
  <c r="D58" i="43"/>
  <c r="AE62" i="43"/>
  <c r="AF62" i="43" s="1"/>
  <c r="AI62" i="43"/>
  <c r="AE49" i="43"/>
  <c r="AF49" i="43" s="1"/>
  <c r="AI49" i="43"/>
  <c r="AI27" i="43"/>
  <c r="AE27" i="43"/>
  <c r="AF27" i="43" s="1"/>
  <c r="O75" i="43"/>
  <c r="S47" i="43"/>
  <c r="R44" i="43"/>
  <c r="E47" i="43"/>
  <c r="F47" i="43" s="1"/>
  <c r="D23" i="43"/>
  <c r="G10" i="43"/>
  <c r="I13" i="43"/>
  <c r="D13" i="43"/>
  <c r="F13" i="43" s="1"/>
  <c r="AE13" i="43"/>
  <c r="AF13" i="43" s="1"/>
  <c r="Y22" i="43"/>
  <c r="Y75" i="43" s="1"/>
  <c r="E32" i="43"/>
  <c r="AG76" i="43"/>
  <c r="AG74" i="43"/>
  <c r="AD22" i="43"/>
  <c r="M32" i="43"/>
  <c r="V75" i="43" l="1"/>
  <c r="W75" i="43" s="1"/>
  <c r="D35" i="43"/>
  <c r="F35" i="43" s="1"/>
  <c r="K75" i="43"/>
  <c r="F19" i="43"/>
  <c r="Q32" i="43"/>
  <c r="S32" i="43" s="1"/>
  <c r="AA32" i="43"/>
  <c r="AD76" i="43"/>
  <c r="AD74" i="43"/>
  <c r="AH22" i="43"/>
  <c r="I10" i="43"/>
  <c r="G75" i="43"/>
  <c r="I75" i="43" s="1"/>
  <c r="AI65" i="43"/>
  <c r="AE65" i="43"/>
  <c r="AF65" i="43" s="1"/>
  <c r="AG80" i="43"/>
  <c r="AG75" i="43"/>
  <c r="AH60" i="43"/>
  <c r="F23" i="43"/>
  <c r="I60" i="43"/>
  <c r="D60" i="43"/>
  <c r="F60" i="43" s="1"/>
  <c r="M23" i="43"/>
  <c r="L22" i="43"/>
  <c r="I22" i="43"/>
  <c r="AA22" i="43"/>
  <c r="AA75" i="43" s="1"/>
  <c r="G44" i="43"/>
  <c r="AI10" i="43"/>
  <c r="AE10" i="43"/>
  <c r="AF10" i="43" s="1"/>
  <c r="S10" i="43"/>
  <c r="E10" i="43"/>
  <c r="I32" i="43"/>
  <c r="S44" i="43"/>
  <c r="E44" i="43"/>
  <c r="D10" i="43"/>
  <c r="F33" i="43"/>
  <c r="R22" i="43"/>
  <c r="R75" i="43" s="1"/>
  <c r="F58" i="43"/>
  <c r="F65" i="43"/>
  <c r="D32" i="43" l="1"/>
  <c r="F32" i="43" s="1"/>
  <c r="Q22" i="43"/>
  <c r="E102" i="44"/>
  <c r="E103" i="44"/>
  <c r="S26" i="27"/>
  <c r="E106" i="44"/>
  <c r="R36" i="27"/>
  <c r="R33" i="27" s="1"/>
  <c r="E107" i="44"/>
  <c r="AE60" i="43"/>
  <c r="AI60" i="43"/>
  <c r="AH44" i="43"/>
  <c r="AI44" i="43" s="1"/>
  <c r="D74" i="43"/>
  <c r="E74" i="43"/>
  <c r="AD75" i="43"/>
  <c r="AF75" i="43" s="1"/>
  <c r="S22" i="43"/>
  <c r="S75" i="43" s="1"/>
  <c r="E22" i="43"/>
  <c r="F10" i="43"/>
  <c r="D44" i="43"/>
  <c r="F44" i="43" s="1"/>
  <c r="I44" i="43"/>
  <c r="L74" i="43"/>
  <c r="M74" i="43" s="1"/>
  <c r="M22" i="43"/>
  <c r="AH76" i="43"/>
  <c r="AH74" i="43"/>
  <c r="AI22" i="43"/>
  <c r="AI74" i="43" s="1"/>
  <c r="AE22" i="43"/>
  <c r="E75" i="43" l="1"/>
  <c r="D22" i="43"/>
  <c r="D77" i="43" s="1"/>
  <c r="Q75" i="43"/>
  <c r="E104" i="44"/>
  <c r="D102" i="44"/>
  <c r="E100" i="44"/>
  <c r="AE76" i="43"/>
  <c r="AE74" i="43"/>
  <c r="AF22" i="43"/>
  <c r="AF74" i="43" s="1"/>
  <c r="F74" i="43"/>
  <c r="AF60" i="43"/>
  <c r="AE44" i="43"/>
  <c r="AF44" i="43" s="1"/>
  <c r="D75" i="43" l="1"/>
  <c r="F75" i="43" s="1"/>
  <c r="F22" i="43"/>
  <c r="AT63" i="27"/>
  <c r="AT59" i="27"/>
  <c r="AT55" i="27"/>
  <c r="AT50" i="27"/>
  <c r="AT49" i="27"/>
  <c r="AT48" i="27"/>
  <c r="AT40" i="27"/>
  <c r="AT39" i="27"/>
  <c r="AT38" i="27"/>
  <c r="AT28" i="27"/>
  <c r="AT27" i="27"/>
  <c r="AT26" i="27"/>
  <c r="AT21" i="27"/>
  <c r="AS36" i="27"/>
  <c r="AS24" i="27"/>
  <c r="AM24" i="27" s="1"/>
  <c r="AN24" i="27" s="1"/>
  <c r="AS14" i="27"/>
  <c r="AT15" i="27"/>
  <c r="M63" i="27"/>
  <c r="G58" i="49"/>
  <c r="E58" i="49" s="1"/>
  <c r="AM14" i="27" l="1"/>
  <c r="AN14" i="27" s="1"/>
  <c r="AS11" i="27"/>
  <c r="AS33" i="27"/>
  <c r="AM36" i="27"/>
  <c r="AN36" i="27" s="1"/>
  <c r="G59" i="42"/>
  <c r="G54" i="49"/>
  <c r="E54" i="49" s="1"/>
  <c r="G49" i="49"/>
  <c r="E49" i="49" s="1"/>
  <c r="D49" i="49" s="1"/>
  <c r="G37" i="49"/>
  <c r="G35" i="49" s="1"/>
  <c r="G32" i="49" s="1"/>
  <c r="H36" i="27"/>
  <c r="H33" i="27" s="1"/>
  <c r="BT11" i="27" l="1"/>
  <c r="AT11" i="27"/>
  <c r="AM11" i="27"/>
  <c r="AN11" i="27" s="1"/>
  <c r="AS23" i="27"/>
  <c r="AS75" i="27" s="1"/>
  <c r="AS100" i="27" s="1"/>
  <c r="L45" i="27"/>
  <c r="G47" i="49"/>
  <c r="G39" i="42"/>
  <c r="G48" i="42"/>
  <c r="M48" i="27"/>
  <c r="G40" i="42"/>
  <c r="G50" i="42"/>
  <c r="M50" i="27"/>
  <c r="L36" i="27"/>
  <c r="G55" i="42"/>
  <c r="E55" i="42" s="1"/>
  <c r="M55" i="27"/>
  <c r="G38" i="42"/>
  <c r="E38" i="42" s="1"/>
  <c r="G28" i="42"/>
  <c r="M28" i="27"/>
  <c r="AC66" i="27"/>
  <c r="AC26" i="27"/>
  <c r="P66" i="27"/>
  <c r="P63" i="27"/>
  <c r="P59" i="27"/>
  <c r="P55" i="27"/>
  <c r="P50" i="27"/>
  <c r="P48" i="27"/>
  <c r="P38" i="27"/>
  <c r="P15" i="27"/>
  <c r="O14" i="27"/>
  <c r="O24" i="27"/>
  <c r="O36" i="27"/>
  <c r="O33" i="27" s="1"/>
  <c r="O11" i="27" l="1"/>
  <c r="O4" i="27" s="1"/>
  <c r="H14" i="27"/>
  <c r="H11" i="27" s="1"/>
  <c r="AS87" i="27"/>
  <c r="AS78" i="27"/>
  <c r="AS76" i="27"/>
  <c r="U75" i="42"/>
  <c r="E47" i="49"/>
  <c r="G44" i="49"/>
  <c r="G45" i="42"/>
  <c r="L33" i="27"/>
  <c r="O23" i="27"/>
  <c r="AS79" i="27" l="1"/>
  <c r="AS80" i="27" s="1"/>
  <c r="E44" i="49"/>
  <c r="D47" i="49"/>
  <c r="N59" i="42"/>
  <c r="N45" i="42" s="1"/>
  <c r="AB45" i="27"/>
  <c r="O78" i="27"/>
  <c r="O75" i="27"/>
  <c r="O76" i="27" s="1"/>
  <c r="AB36" i="27"/>
  <c r="O79" i="27" l="1"/>
  <c r="O80" i="27" s="1"/>
  <c r="AB33" i="27"/>
  <c r="AB24" i="27"/>
  <c r="AB23" i="27" l="1"/>
  <c r="AB11" i="27" l="1"/>
  <c r="AC11" i="27" s="1"/>
  <c r="AC20" i="27"/>
  <c r="N20" i="42"/>
  <c r="N19" i="49"/>
  <c r="N10" i="49" s="1"/>
  <c r="N75" i="49" s="1"/>
  <c r="P55" i="42"/>
  <c r="P45" i="42" s="1"/>
  <c r="P23" i="42" s="1"/>
  <c r="BJ55" i="27"/>
  <c r="BJ45" i="27" s="1"/>
  <c r="AH45" i="27"/>
  <c r="AB78" i="27"/>
  <c r="AB75" i="27" l="1"/>
  <c r="AB76" i="27" s="1"/>
  <c r="AB79" i="27"/>
  <c r="AB80" i="27" s="1"/>
  <c r="AI45" i="27"/>
  <c r="AH23" i="27"/>
  <c r="BJ23" i="27"/>
  <c r="BJ76" i="27"/>
  <c r="F26" i="42"/>
  <c r="F27" i="42"/>
  <c r="G26" i="49"/>
  <c r="E26" i="49" s="1"/>
  <c r="D26" i="49" s="1"/>
  <c r="S20" i="42"/>
  <c r="S19" i="42"/>
  <c r="S18" i="42"/>
  <c r="S16" i="42"/>
  <c r="U14" i="42"/>
  <c r="U10" i="42" s="1"/>
  <c r="S13" i="42"/>
  <c r="S11" i="42"/>
  <c r="AT14" i="27"/>
  <c r="AI23" i="27" l="1"/>
  <c r="G27" i="42"/>
  <c r="D12" i="13"/>
  <c r="D13" i="13" s="1"/>
  <c r="AH11" i="27" l="1"/>
  <c r="AI11" i="27" s="1"/>
  <c r="BJ11" i="27" s="1"/>
  <c r="K54" i="49"/>
  <c r="I54" i="49" s="1"/>
  <c r="D54" i="49" s="1"/>
  <c r="E137" i="48"/>
  <c r="K55" i="42"/>
  <c r="P20" i="42"/>
  <c r="P10" i="42" s="1"/>
  <c r="P76" i="42" s="1"/>
  <c r="AI20" i="27"/>
  <c r="P19" i="49"/>
  <c r="P10" i="49" s="1"/>
  <c r="J48" i="42"/>
  <c r="I48" i="42" s="1"/>
  <c r="E110" i="44"/>
  <c r="AQ14" i="27"/>
  <c r="R81" i="42"/>
  <c r="G80" i="42"/>
  <c r="G83" i="42" s="1"/>
  <c r="S74" i="42"/>
  <c r="D74" i="42" s="1"/>
  <c r="S73" i="42"/>
  <c r="D73" i="42" s="1"/>
  <c r="D71" i="42" s="1"/>
  <c r="S72" i="42"/>
  <c r="V71" i="42"/>
  <c r="S71" i="42"/>
  <c r="Q71" i="42"/>
  <c r="I71" i="42"/>
  <c r="H71" i="42"/>
  <c r="G71" i="42"/>
  <c r="E71" i="42"/>
  <c r="S70" i="42"/>
  <c r="S69" i="42"/>
  <c r="S68" i="42"/>
  <c r="V67" i="42"/>
  <c r="S67" i="42"/>
  <c r="R67" i="42"/>
  <c r="Q67" i="42"/>
  <c r="I67" i="42"/>
  <c r="H67" i="42"/>
  <c r="G67" i="42"/>
  <c r="E67" i="42"/>
  <c r="E66" i="42"/>
  <c r="S65" i="42"/>
  <c r="I65" i="42"/>
  <c r="G65" i="42"/>
  <c r="S64" i="42"/>
  <c r="I64" i="42"/>
  <c r="G64" i="42"/>
  <c r="S63" i="42"/>
  <c r="E63" i="42"/>
  <c r="S62" i="42"/>
  <c r="D62" i="42" s="1"/>
  <c r="V61" i="42"/>
  <c r="V45" i="42" s="1"/>
  <c r="R61" i="42"/>
  <c r="Q61" i="42"/>
  <c r="L61" i="42"/>
  <c r="L45" i="42" s="1"/>
  <c r="F61" i="42"/>
  <c r="E61" i="42" s="1"/>
  <c r="S60" i="42"/>
  <c r="I60" i="42"/>
  <c r="D60" i="42" s="1"/>
  <c r="E59" i="42"/>
  <c r="S58" i="42"/>
  <c r="K58" i="42"/>
  <c r="I58" i="42" s="1"/>
  <c r="E58" i="42"/>
  <c r="S57" i="42"/>
  <c r="K57" i="42"/>
  <c r="I57" i="42" s="1"/>
  <c r="E57" i="42"/>
  <c r="S56" i="42"/>
  <c r="E56" i="42"/>
  <c r="S54" i="42"/>
  <c r="E54" i="42"/>
  <c r="S53" i="42"/>
  <c r="E53" i="42"/>
  <c r="S52" i="42"/>
  <c r="E52" i="42"/>
  <c r="S51" i="42"/>
  <c r="I51" i="42"/>
  <c r="X50" i="42"/>
  <c r="E50" i="42"/>
  <c r="I49" i="42"/>
  <c r="Y48" i="42"/>
  <c r="E48" i="42"/>
  <c r="S47" i="42"/>
  <c r="S46" i="42"/>
  <c r="Q45" i="42"/>
  <c r="S44" i="42"/>
  <c r="S43" i="42"/>
  <c r="V42" i="42"/>
  <c r="T42" i="42"/>
  <c r="S42" i="42" s="1"/>
  <c r="I42" i="42"/>
  <c r="H42" i="42"/>
  <c r="G42" i="42"/>
  <c r="E42" i="42"/>
  <c r="S41" i="42"/>
  <c r="I41" i="42"/>
  <c r="I40" i="42"/>
  <c r="E40" i="42"/>
  <c r="E39" i="42"/>
  <c r="N36" i="42"/>
  <c r="S37" i="42"/>
  <c r="V36" i="42"/>
  <c r="U36" i="42"/>
  <c r="R36" i="42"/>
  <c r="Q36" i="42"/>
  <c r="M36" i="42"/>
  <c r="L36" i="42"/>
  <c r="K36" i="42"/>
  <c r="J36" i="42"/>
  <c r="J33" i="42" s="1"/>
  <c r="H36" i="42"/>
  <c r="F36" i="42"/>
  <c r="F33" i="42" s="1"/>
  <c r="I35" i="42"/>
  <c r="V34" i="42"/>
  <c r="U34" i="42"/>
  <c r="R34" i="42"/>
  <c r="R33" i="42" s="1"/>
  <c r="Q34" i="42"/>
  <c r="N34" i="42"/>
  <c r="M34" i="42"/>
  <c r="L34" i="42"/>
  <c r="L33" i="42" s="1"/>
  <c r="K34" i="42"/>
  <c r="K33" i="42" s="1"/>
  <c r="H34" i="42"/>
  <c r="G34" i="42"/>
  <c r="E34" i="42"/>
  <c r="S32" i="42"/>
  <c r="I32" i="42"/>
  <c r="S31" i="42"/>
  <c r="I31" i="42"/>
  <c r="S30" i="42"/>
  <c r="I30" i="42"/>
  <c r="V29" i="42"/>
  <c r="U29" i="42"/>
  <c r="T29" i="42"/>
  <c r="Q29" i="42"/>
  <c r="N29" i="42"/>
  <c r="I29" i="42" s="1"/>
  <c r="H29" i="42"/>
  <c r="G29" i="42"/>
  <c r="E29" i="42"/>
  <c r="I28" i="42"/>
  <c r="E28" i="42"/>
  <c r="R24" i="42"/>
  <c r="S25" i="42"/>
  <c r="V24" i="42"/>
  <c r="U24" i="42"/>
  <c r="Q24" i="42"/>
  <c r="M24" i="42"/>
  <c r="L24" i="42"/>
  <c r="K24" i="42"/>
  <c r="J24" i="42"/>
  <c r="H24" i="42"/>
  <c r="F24" i="42"/>
  <c r="R14" i="42"/>
  <c r="R10" i="42" s="1"/>
  <c r="H14" i="42"/>
  <c r="H10" i="42" s="1"/>
  <c r="N10" i="42"/>
  <c r="L10" i="42"/>
  <c r="J10" i="42"/>
  <c r="R20" i="27" l="1"/>
  <c r="V11" i="27"/>
  <c r="V33" i="42"/>
  <c r="S29" i="42"/>
  <c r="Q33" i="42"/>
  <c r="D67" i="42"/>
  <c r="E145" i="48"/>
  <c r="E120" i="44"/>
  <c r="H33" i="42"/>
  <c r="H23" i="42" s="1"/>
  <c r="H76" i="42" s="1"/>
  <c r="F45" i="42"/>
  <c r="BJ75" i="27"/>
  <c r="Q23" i="42"/>
  <c r="Q76" i="42" s="1"/>
  <c r="U33" i="42"/>
  <c r="U23" i="42" s="1"/>
  <c r="U76" i="42" s="1"/>
  <c r="E45" i="42"/>
  <c r="D58" i="42"/>
  <c r="F23" i="42"/>
  <c r="L23" i="42"/>
  <c r="L76" i="42" s="1"/>
  <c r="D42" i="42"/>
  <c r="E27" i="42"/>
  <c r="D54" i="42"/>
  <c r="D57" i="42"/>
  <c r="R23" i="42"/>
  <c r="R76" i="42" s="1"/>
  <c r="N33" i="42"/>
  <c r="V23" i="42"/>
  <c r="V76" i="42" s="1"/>
  <c r="I34" i="42"/>
  <c r="D53" i="42"/>
  <c r="D64" i="42"/>
  <c r="D29" i="42"/>
  <c r="E36" i="42"/>
  <c r="I24" i="42"/>
  <c r="N24" i="42"/>
  <c r="G36" i="42"/>
  <c r="G33" i="42" s="1"/>
  <c r="Z13" i="42"/>
  <c r="M33" i="42"/>
  <c r="I78" i="41"/>
  <c r="I63" i="41" s="1"/>
  <c r="H63" i="41"/>
  <c r="I61" i="41"/>
  <c r="I47" i="41" s="1"/>
  <c r="H47" i="41"/>
  <c r="I32" i="41"/>
  <c r="I19" i="41"/>
  <c r="H16" i="41"/>
  <c r="I12" i="41"/>
  <c r="H4" i="41"/>
  <c r="W11" i="27" l="1"/>
  <c r="U113" i="27"/>
  <c r="S20" i="27"/>
  <c r="R11" i="27"/>
  <c r="S11" i="27" s="1"/>
  <c r="I44" i="41"/>
  <c r="H44" i="41"/>
  <c r="I33" i="42"/>
  <c r="D53" i="44"/>
  <c r="D54" i="44" s="1"/>
  <c r="N23" i="42"/>
  <c r="N76" i="42" s="1"/>
  <c r="I36" i="42"/>
  <c r="E33" i="42"/>
  <c r="AT66" i="27"/>
  <c r="F15" i="42" l="1"/>
  <c r="I15" i="27"/>
  <c r="F14" i="42" l="1"/>
  <c r="AQ52" i="27" l="1"/>
  <c r="C77" i="44"/>
  <c r="E51" i="27"/>
  <c r="F10" i="42"/>
  <c r="T36" i="27"/>
  <c r="T24" i="27"/>
  <c r="AA50" i="49" l="1"/>
  <c r="AB50" i="49" s="1"/>
  <c r="AA51" i="42"/>
  <c r="AB51" i="42" s="1"/>
  <c r="F51" i="27"/>
  <c r="AQ51" i="27"/>
  <c r="T49" i="42"/>
  <c r="S49" i="42" s="1"/>
  <c r="D49" i="42" s="1"/>
  <c r="E94" i="48"/>
  <c r="D94" i="48" s="1"/>
  <c r="AQ49" i="27"/>
  <c r="J14" i="27"/>
  <c r="J11" i="27"/>
  <c r="L11" i="27" s="1"/>
  <c r="O5" i="27" s="1"/>
  <c r="M14" i="27" l="1"/>
  <c r="E77" i="44"/>
  <c r="D77" i="44" s="1"/>
  <c r="E49" i="27"/>
  <c r="P14" i="27"/>
  <c r="K90" i="27"/>
  <c r="M66" i="27"/>
  <c r="M59" i="27"/>
  <c r="AA49" i="42" l="1"/>
  <c r="AB49" i="42" s="1"/>
  <c r="AA48" i="49"/>
  <c r="AB48" i="49" s="1"/>
  <c r="M5" i="27"/>
  <c r="N5" i="27" s="1"/>
  <c r="C20" i="44"/>
  <c r="M11" i="27"/>
  <c r="P11" i="27"/>
  <c r="K93" i="27"/>
  <c r="I14" i="27" l="1"/>
  <c r="M27" i="27"/>
  <c r="M38" i="27"/>
  <c r="C21" i="44" l="1"/>
  <c r="D21" i="44" s="1"/>
  <c r="I27" i="27"/>
  <c r="I11" i="27"/>
  <c r="C19" i="29"/>
  <c r="C18" i="29"/>
  <c r="C17" i="29"/>
  <c r="F13" i="29"/>
  <c r="F12" i="29"/>
  <c r="F10" i="29"/>
  <c r="F9" i="29"/>
  <c r="AK91" i="27" l="1"/>
  <c r="T33" i="27"/>
  <c r="S53" i="27"/>
  <c r="S54" i="27"/>
  <c r="AN20" i="27"/>
  <c r="J55" i="42" l="1"/>
  <c r="I55" i="42" s="1"/>
  <c r="J52" i="42"/>
  <c r="I52" i="42" s="1"/>
  <c r="J59" i="42"/>
  <c r="J56" i="42"/>
  <c r="I56" i="42" s="1"/>
  <c r="J66" i="42"/>
  <c r="J50" i="42"/>
  <c r="I50" i="42" s="1"/>
  <c r="T45" i="27"/>
  <c r="J63" i="42"/>
  <c r="E117" i="44"/>
  <c r="E63" i="27"/>
  <c r="E13" i="27"/>
  <c r="F13" i="27" s="1"/>
  <c r="E113" i="44"/>
  <c r="E12" i="27"/>
  <c r="F12" i="27" s="1"/>
  <c r="E111" i="44"/>
  <c r="AN18" i="27"/>
  <c r="E18" i="27"/>
  <c r="C112" i="44"/>
  <c r="AN16" i="27"/>
  <c r="E16" i="27"/>
  <c r="C114" i="44"/>
  <c r="AN19" i="27"/>
  <c r="E19" i="27"/>
  <c r="AT36" i="27"/>
  <c r="AT24" i="27"/>
  <c r="AA15" i="49" l="1"/>
  <c r="AB15" i="49" s="1"/>
  <c r="AA18" i="49"/>
  <c r="AB18" i="49" s="1"/>
  <c r="AA17" i="49"/>
  <c r="AB17" i="49" s="1"/>
  <c r="I63" i="42"/>
  <c r="D63" i="42" s="1"/>
  <c r="J45" i="42"/>
  <c r="J23" i="42" s="1"/>
  <c r="AA63" i="42"/>
  <c r="AA62" i="49"/>
  <c r="AB62" i="49" s="1"/>
  <c r="E112" i="44"/>
  <c r="D112" i="44" s="1"/>
  <c r="E52" i="27"/>
  <c r="AA22" i="42"/>
  <c r="AB22" i="42" s="1"/>
  <c r="F22" i="27"/>
  <c r="AA18" i="42"/>
  <c r="AB18" i="42" s="1"/>
  <c r="F18" i="27"/>
  <c r="E114" i="44"/>
  <c r="D114" i="44" s="1"/>
  <c r="D56" i="42"/>
  <c r="AA19" i="42"/>
  <c r="AB19" i="42" s="1"/>
  <c r="F19" i="27"/>
  <c r="S56" i="27"/>
  <c r="T15" i="42"/>
  <c r="S15" i="42" s="1"/>
  <c r="E59" i="48"/>
  <c r="AQ15" i="27"/>
  <c r="AA16" i="42"/>
  <c r="AB16" i="42" s="1"/>
  <c r="F16" i="27"/>
  <c r="S52" i="27"/>
  <c r="T17" i="42"/>
  <c r="S17" i="42" s="1"/>
  <c r="D17" i="42" s="1"/>
  <c r="E61" i="48"/>
  <c r="AQ17" i="27"/>
  <c r="E58" i="48" l="1"/>
  <c r="D61" i="48"/>
  <c r="AA52" i="42"/>
  <c r="AA51" i="49"/>
  <c r="AB51" i="49" s="1"/>
  <c r="AB63" i="42"/>
  <c r="E17" i="27"/>
  <c r="AN17" i="27"/>
  <c r="AQ24" i="27"/>
  <c r="E15" i="27"/>
  <c r="D52" i="42"/>
  <c r="G67" i="29"/>
  <c r="AA16" i="49" l="1"/>
  <c r="AB16" i="49" s="1"/>
  <c r="AA14" i="49"/>
  <c r="AB52" i="42"/>
  <c r="D58" i="48"/>
  <c r="AA17" i="42"/>
  <c r="AB17" i="42" s="1"/>
  <c r="F17" i="27"/>
  <c r="S14" i="42"/>
  <c r="AA15" i="42"/>
  <c r="F15" i="27"/>
  <c r="V36" i="27"/>
  <c r="W36" i="27" l="1"/>
  <c r="I58" i="27"/>
  <c r="I57" i="27"/>
  <c r="I56" i="27"/>
  <c r="I54" i="27"/>
  <c r="I53" i="27"/>
  <c r="M82" i="29"/>
  <c r="J82" i="29"/>
  <c r="G82" i="29"/>
  <c r="D82" i="29"/>
  <c r="M81" i="29"/>
  <c r="M83" i="29" s="1"/>
  <c r="J81" i="29"/>
  <c r="J83" i="29" s="1"/>
  <c r="G81" i="29"/>
  <c r="G83" i="29" s="1"/>
  <c r="D81" i="29"/>
  <c r="G78" i="29"/>
  <c r="G86" i="29" s="1"/>
  <c r="D64" i="29"/>
  <c r="N61" i="29"/>
  <c r="K61" i="29"/>
  <c r="I61" i="29"/>
  <c r="J64" i="29" s="1"/>
  <c r="G61" i="29"/>
  <c r="F61" i="29" s="1"/>
  <c r="E61" i="29"/>
  <c r="D58" i="29"/>
  <c r="C58" i="29" s="1"/>
  <c r="M57" i="29"/>
  <c r="L57" i="29" s="1"/>
  <c r="J57" i="29"/>
  <c r="K57" i="29" s="1"/>
  <c r="G57" i="29"/>
  <c r="H57" i="29" s="1"/>
  <c r="F57" i="29"/>
  <c r="E57" i="29"/>
  <c r="C57" i="29"/>
  <c r="N56" i="29"/>
  <c r="L56" i="29"/>
  <c r="J56" i="29"/>
  <c r="I56" i="29" s="1"/>
  <c r="G56" i="29"/>
  <c r="E56" i="29"/>
  <c r="C56" i="29"/>
  <c r="F54" i="29"/>
  <c r="G54" i="29" s="1"/>
  <c r="D54" i="29"/>
  <c r="C54" i="29" s="1"/>
  <c r="I53" i="29"/>
  <c r="J53" i="29" s="1"/>
  <c r="K53" i="29" s="1"/>
  <c r="H53" i="29"/>
  <c r="E53" i="29"/>
  <c r="C53" i="29"/>
  <c r="I52" i="29"/>
  <c r="I54" i="29" s="1"/>
  <c r="E52" i="29"/>
  <c r="C52" i="29"/>
  <c r="M50" i="29"/>
  <c r="N50" i="29" s="1"/>
  <c r="J50" i="29"/>
  <c r="I50" i="29" s="1"/>
  <c r="E50" i="29"/>
  <c r="C50" i="29"/>
  <c r="D49" i="29" s="1"/>
  <c r="N49" i="29"/>
  <c r="K49" i="29"/>
  <c r="K48" i="29"/>
  <c r="N47" i="29"/>
  <c r="L47" i="29"/>
  <c r="K47" i="29"/>
  <c r="I47" i="29"/>
  <c r="H47" i="29"/>
  <c r="F47" i="29"/>
  <c r="C47" i="29"/>
  <c r="M45" i="29"/>
  <c r="L45" i="29" s="1"/>
  <c r="J45" i="29"/>
  <c r="I45" i="29" s="1"/>
  <c r="E44" i="29"/>
  <c r="E43" i="29"/>
  <c r="N42" i="29"/>
  <c r="N45" i="29" s="1"/>
  <c r="K42" i="29"/>
  <c r="K45" i="29" s="1"/>
  <c r="D42" i="29"/>
  <c r="D45" i="29" s="1"/>
  <c r="M40" i="29"/>
  <c r="N40" i="29" s="1"/>
  <c r="J40" i="29"/>
  <c r="K40" i="29" s="1"/>
  <c r="E40" i="29"/>
  <c r="C40" i="29"/>
  <c r="I40" i="29" s="1"/>
  <c r="N39" i="29"/>
  <c r="L39" i="29"/>
  <c r="K39" i="29"/>
  <c r="I39" i="29"/>
  <c r="G39" i="29"/>
  <c r="F39" i="29" s="1"/>
  <c r="E39" i="29"/>
  <c r="C39" i="29"/>
  <c r="N38" i="29"/>
  <c r="L38" i="29"/>
  <c r="K38" i="29"/>
  <c r="I38" i="29"/>
  <c r="G38" i="29"/>
  <c r="H38" i="29" s="1"/>
  <c r="E38" i="29"/>
  <c r="C38" i="29"/>
  <c r="K37" i="29"/>
  <c r="M36" i="29"/>
  <c r="L36" i="29" s="1"/>
  <c r="J36" i="29"/>
  <c r="G36" i="29"/>
  <c r="F36" i="29" s="1"/>
  <c r="D36" i="29"/>
  <c r="E36" i="29" s="1"/>
  <c r="N35" i="29"/>
  <c r="L35" i="29"/>
  <c r="K35" i="29"/>
  <c r="I35" i="29"/>
  <c r="H35" i="29"/>
  <c r="F35" i="29"/>
  <c r="E35" i="29"/>
  <c r="C35" i="29"/>
  <c r="N34" i="29"/>
  <c r="L34" i="29"/>
  <c r="K34" i="29"/>
  <c r="I34" i="29"/>
  <c r="H34" i="29"/>
  <c r="F34" i="29"/>
  <c r="E34" i="29"/>
  <c r="C34" i="29"/>
  <c r="N33" i="29"/>
  <c r="L33" i="29"/>
  <c r="K33" i="29"/>
  <c r="I33" i="29"/>
  <c r="H33" i="29"/>
  <c r="F33" i="29"/>
  <c r="E33" i="29"/>
  <c r="C33" i="29"/>
  <c r="N32" i="29"/>
  <c r="L32" i="29"/>
  <c r="K32" i="29"/>
  <c r="I32" i="29"/>
  <c r="H32" i="29"/>
  <c r="F32" i="29"/>
  <c r="E32" i="29"/>
  <c r="C32" i="29"/>
  <c r="N31" i="29"/>
  <c r="L31" i="29"/>
  <c r="K31" i="29"/>
  <c r="I31" i="29"/>
  <c r="H31" i="29"/>
  <c r="F31" i="29"/>
  <c r="E31" i="29"/>
  <c r="C31" i="29"/>
  <c r="N30" i="29"/>
  <c r="L30" i="29"/>
  <c r="K30" i="29"/>
  <c r="I30" i="29"/>
  <c r="H30" i="29"/>
  <c r="F30" i="29"/>
  <c r="E30" i="29"/>
  <c r="C30" i="29"/>
  <c r="M25" i="29"/>
  <c r="L25" i="29" s="1"/>
  <c r="J25" i="29"/>
  <c r="I25" i="29" s="1"/>
  <c r="D25" i="29"/>
  <c r="C25" i="29" s="1"/>
  <c r="N24" i="29"/>
  <c r="L24" i="29"/>
  <c r="K24" i="29"/>
  <c r="I24" i="29"/>
  <c r="G24" i="29"/>
  <c r="F24" i="29" s="1"/>
  <c r="E24" i="29"/>
  <c r="C24" i="29"/>
  <c r="N23" i="29"/>
  <c r="L23" i="29"/>
  <c r="K23" i="29"/>
  <c r="I23" i="29"/>
  <c r="G23" i="29"/>
  <c r="E23" i="29"/>
  <c r="C23" i="29"/>
  <c r="N22" i="29"/>
  <c r="L22" i="29"/>
  <c r="K22" i="29"/>
  <c r="I22" i="29"/>
  <c r="H22" i="29"/>
  <c r="E22" i="29"/>
  <c r="C22" i="29"/>
  <c r="N21" i="29"/>
  <c r="L21" i="29"/>
  <c r="K21" i="29"/>
  <c r="I21" i="29"/>
  <c r="E21" i="29"/>
  <c r="C21" i="29"/>
  <c r="M20" i="29"/>
  <c r="N20" i="29" s="1"/>
  <c r="J20" i="29"/>
  <c r="I20" i="29" s="1"/>
  <c r="D20" i="29"/>
  <c r="N19" i="29"/>
  <c r="K19" i="29"/>
  <c r="G19" i="29"/>
  <c r="E19" i="29"/>
  <c r="N18" i="29"/>
  <c r="K18" i="29"/>
  <c r="G18" i="29"/>
  <c r="F18" i="29" s="1"/>
  <c r="E18" i="29"/>
  <c r="N17" i="29"/>
  <c r="K17" i="29"/>
  <c r="G17" i="29"/>
  <c r="E17" i="29"/>
  <c r="K16" i="29"/>
  <c r="G14" i="29"/>
  <c r="N13" i="29"/>
  <c r="N82" i="29" s="1"/>
  <c r="L13" i="29"/>
  <c r="K13" i="29"/>
  <c r="K82" i="29" s="1"/>
  <c r="I13" i="29"/>
  <c r="H13" i="29"/>
  <c r="H82" i="29" s="1"/>
  <c r="E13" i="29"/>
  <c r="E82" i="29" s="1"/>
  <c r="C13" i="29"/>
  <c r="C14" i="29" s="1"/>
  <c r="I12" i="29"/>
  <c r="I14" i="29" s="1"/>
  <c r="H12" i="29"/>
  <c r="H14" i="29" s="1"/>
  <c r="D12" i="29"/>
  <c r="D78" i="29" s="1"/>
  <c r="G11" i="29"/>
  <c r="N10" i="29"/>
  <c r="N81" i="29" s="1"/>
  <c r="L10" i="29"/>
  <c r="K10" i="29"/>
  <c r="K81" i="29" s="1"/>
  <c r="I10" i="29"/>
  <c r="H10" i="29"/>
  <c r="H81" i="29" s="1"/>
  <c r="E10" i="29"/>
  <c r="E81" i="29" s="1"/>
  <c r="C10" i="29"/>
  <c r="C11" i="29" s="1"/>
  <c r="P9" i="29"/>
  <c r="Q9" i="29" s="1"/>
  <c r="Q12" i="29" s="1"/>
  <c r="M9" i="29" s="1"/>
  <c r="I9" i="29"/>
  <c r="I11" i="29" s="1"/>
  <c r="H9" i="29"/>
  <c r="D9" i="29"/>
  <c r="D76" i="29" s="1"/>
  <c r="L50" i="29" l="1"/>
  <c r="D26" i="29"/>
  <c r="E26" i="29" s="1"/>
  <c r="E54" i="29"/>
  <c r="G58" i="29"/>
  <c r="H58" i="29" s="1"/>
  <c r="C36" i="29"/>
  <c r="I36" i="29" s="1"/>
  <c r="I57" i="29"/>
  <c r="C36" i="44"/>
  <c r="D36" i="44" s="1"/>
  <c r="I63" i="27"/>
  <c r="C31" i="44"/>
  <c r="I48" i="27"/>
  <c r="F52" i="27"/>
  <c r="I52" i="27"/>
  <c r="C32" i="44"/>
  <c r="D32" i="44" s="1"/>
  <c r="I50" i="27"/>
  <c r="C33" i="44"/>
  <c r="D33" i="44" s="1"/>
  <c r="I55" i="27"/>
  <c r="C34" i="44"/>
  <c r="D34" i="44" s="1"/>
  <c r="I59" i="27"/>
  <c r="E25" i="29"/>
  <c r="N36" i="29"/>
  <c r="F38" i="29"/>
  <c r="L40" i="29"/>
  <c r="K20" i="29"/>
  <c r="E83" i="29"/>
  <c r="L20" i="29"/>
  <c r="L26" i="29" s="1"/>
  <c r="H17" i="29"/>
  <c r="F17" i="29"/>
  <c r="G40" i="29"/>
  <c r="G15" i="29"/>
  <c r="H15" i="29" s="1"/>
  <c r="H18" i="29"/>
  <c r="G20" i="29"/>
  <c r="F20" i="29" s="1"/>
  <c r="F19" i="29"/>
  <c r="G25" i="29"/>
  <c r="H25" i="29" s="1"/>
  <c r="F23" i="29"/>
  <c r="H39" i="29"/>
  <c r="K50" i="29"/>
  <c r="H11" i="29"/>
  <c r="C15" i="29"/>
  <c r="D86" i="29"/>
  <c r="H19" i="29"/>
  <c r="H23" i="29"/>
  <c r="H24" i="29"/>
  <c r="H78" i="29"/>
  <c r="H86" i="29" s="1"/>
  <c r="K56" i="29"/>
  <c r="E58" i="29"/>
  <c r="N25" i="29"/>
  <c r="E42" i="29"/>
  <c r="J52" i="29"/>
  <c r="J54" i="29" s="1"/>
  <c r="K54" i="29" s="1"/>
  <c r="D83" i="29"/>
  <c r="T23" i="27"/>
  <c r="F11" i="29"/>
  <c r="I15" i="29"/>
  <c r="F14" i="29"/>
  <c r="E49" i="29"/>
  <c r="G49" i="29"/>
  <c r="H54" i="29"/>
  <c r="G52" i="29"/>
  <c r="M11" i="29"/>
  <c r="N9" i="29"/>
  <c r="N11" i="29" s="1"/>
  <c r="L9" i="29"/>
  <c r="L11" i="29" s="1"/>
  <c r="M12" i="29"/>
  <c r="H20" i="29"/>
  <c r="F58" i="29"/>
  <c r="G64" i="29"/>
  <c r="L61" i="29"/>
  <c r="M64" i="29" s="1"/>
  <c r="D85" i="29"/>
  <c r="D87" i="29" s="1"/>
  <c r="D79" i="29"/>
  <c r="I26" i="29"/>
  <c r="H83" i="29"/>
  <c r="N83" i="29"/>
  <c r="K83" i="29"/>
  <c r="D59" i="29"/>
  <c r="E59" i="29" s="1"/>
  <c r="E45" i="29"/>
  <c r="J26" i="29"/>
  <c r="K26" i="29" s="1"/>
  <c r="M58" i="29"/>
  <c r="C20" i="29"/>
  <c r="C26" i="29" s="1"/>
  <c r="C27" i="29" s="1"/>
  <c r="E9" i="29"/>
  <c r="E11" i="29" s="1"/>
  <c r="J9" i="29"/>
  <c r="D11" i="29"/>
  <c r="E12" i="29"/>
  <c r="E14" i="29" s="1"/>
  <c r="J12" i="29"/>
  <c r="E20" i="29"/>
  <c r="K25" i="29"/>
  <c r="K36" i="29"/>
  <c r="G42" i="29"/>
  <c r="H56" i="29"/>
  <c r="N57" i="29"/>
  <c r="J58" i="29"/>
  <c r="H61" i="29"/>
  <c r="D14" i="29"/>
  <c r="M26" i="29"/>
  <c r="N26" i="29" s="1"/>
  <c r="F56" i="29"/>
  <c r="H36" i="29"/>
  <c r="T76" i="27" l="1"/>
  <c r="T88" i="27" s="1"/>
  <c r="J75" i="42"/>
  <c r="G21" i="29"/>
  <c r="K52" i="29"/>
  <c r="F15" i="29"/>
  <c r="C59" i="29"/>
  <c r="C62" i="29" s="1"/>
  <c r="T78" i="27"/>
  <c r="D31" i="44"/>
  <c r="I27" i="29"/>
  <c r="F40" i="29"/>
  <c r="H40" i="29"/>
  <c r="E78" i="29"/>
  <c r="E86" i="29" s="1"/>
  <c r="G26" i="29"/>
  <c r="H26" i="29" s="1"/>
  <c r="F25" i="29"/>
  <c r="F26" i="29" s="1"/>
  <c r="K58" i="29"/>
  <c r="I58" i="29"/>
  <c r="G45" i="29"/>
  <c r="H42" i="29"/>
  <c r="J14" i="29"/>
  <c r="K12" i="29"/>
  <c r="H49" i="29"/>
  <c r="G50" i="29"/>
  <c r="K9" i="29"/>
  <c r="K11" i="29" s="1"/>
  <c r="J11" i="29"/>
  <c r="N58" i="29"/>
  <c r="L58" i="29"/>
  <c r="M14" i="29"/>
  <c r="M15" i="29" s="1"/>
  <c r="N12" i="29"/>
  <c r="N14" i="29" s="1"/>
  <c r="L12" i="29"/>
  <c r="L14" i="29" s="1"/>
  <c r="L15" i="29" s="1"/>
  <c r="L27" i="29" s="1"/>
  <c r="H52" i="29"/>
  <c r="H76" i="29" s="1"/>
  <c r="P52" i="29"/>
  <c r="Q52" i="29" s="1"/>
  <c r="Q53" i="29" s="1"/>
  <c r="M52" i="29" s="1"/>
  <c r="G76" i="29"/>
  <c r="F21" i="29"/>
  <c r="H21" i="29"/>
  <c r="J78" i="29"/>
  <c r="J86" i="29" s="1"/>
  <c r="E76" i="29"/>
  <c r="J76" i="29"/>
  <c r="J59" i="29"/>
  <c r="K59" i="29" s="1"/>
  <c r="D15" i="29"/>
  <c r="D63" i="29"/>
  <c r="D65" i="29" s="1"/>
  <c r="I75" i="42" l="1"/>
  <c r="I79" i="42" s="1"/>
  <c r="I80" i="42" s="1"/>
  <c r="J76" i="42"/>
  <c r="T79" i="27"/>
  <c r="T80" i="27" s="1"/>
  <c r="G27" i="29"/>
  <c r="F27" i="29"/>
  <c r="K76" i="29"/>
  <c r="K85" i="29" s="1"/>
  <c r="J15" i="29"/>
  <c r="K15" i="29" s="1"/>
  <c r="H27" i="29"/>
  <c r="E85" i="29"/>
  <c r="E87" i="29" s="1"/>
  <c r="E79" i="29"/>
  <c r="G85" i="29"/>
  <c r="G87" i="29" s="1"/>
  <c r="G79" i="29"/>
  <c r="K14" i="29"/>
  <c r="K78" i="29"/>
  <c r="K86" i="29" s="1"/>
  <c r="J63" i="29"/>
  <c r="J65" i="29" s="1"/>
  <c r="I59" i="29"/>
  <c r="I62" i="29" s="1"/>
  <c r="F45" i="29"/>
  <c r="F67" i="29" s="1"/>
  <c r="H45" i="29"/>
  <c r="D27" i="29"/>
  <c r="E15" i="29"/>
  <c r="H85" i="29"/>
  <c r="H87" i="29" s="1"/>
  <c r="H79" i="29"/>
  <c r="F50" i="29"/>
  <c r="H50" i="29"/>
  <c r="G59" i="29"/>
  <c r="H59" i="29" s="1"/>
  <c r="N15" i="29"/>
  <c r="M27" i="29"/>
  <c r="J85" i="29"/>
  <c r="J87" i="29" s="1"/>
  <c r="J79" i="29"/>
  <c r="M53" i="29"/>
  <c r="L52" i="29"/>
  <c r="M76" i="29"/>
  <c r="N52" i="29"/>
  <c r="K87" i="29" l="1"/>
  <c r="J27" i="29"/>
  <c r="K27" i="29" s="1"/>
  <c r="K62" i="29" s="1"/>
  <c r="F59" i="29"/>
  <c r="F62" i="29" s="1"/>
  <c r="G63" i="29"/>
  <c r="G65" i="29" s="1"/>
  <c r="K79" i="29"/>
  <c r="G62" i="29"/>
  <c r="G71" i="29" s="1"/>
  <c r="L53" i="29"/>
  <c r="L54" i="29" s="1"/>
  <c r="N53" i="29"/>
  <c r="N78" i="29" s="1"/>
  <c r="N86" i="29" s="1"/>
  <c r="M78" i="29"/>
  <c r="M86" i="29" s="1"/>
  <c r="N27" i="29"/>
  <c r="M85" i="29"/>
  <c r="D62" i="29"/>
  <c r="E27" i="29"/>
  <c r="M54" i="29"/>
  <c r="M59" i="29" s="1"/>
  <c r="N59" i="29" s="1"/>
  <c r="N76" i="29"/>
  <c r="J62" i="29"/>
  <c r="H62" i="29" l="1"/>
  <c r="G89" i="29"/>
  <c r="M87" i="29"/>
  <c r="N54" i="29"/>
  <c r="J71" i="29"/>
  <c r="J73" i="29" s="1"/>
  <c r="J89" i="29"/>
  <c r="L59" i="29"/>
  <c r="L62" i="29" s="1"/>
  <c r="M63" i="29"/>
  <c r="M65" i="29" s="1"/>
  <c r="N85" i="29"/>
  <c r="N87" i="29" s="1"/>
  <c r="N79" i="29"/>
  <c r="D89" i="29"/>
  <c r="E62" i="29"/>
  <c r="G73" i="29"/>
  <c r="M79" i="29"/>
  <c r="M62" i="29"/>
  <c r="N62" i="29"/>
  <c r="M71" i="29" l="1"/>
  <c r="M73" i="29" s="1"/>
  <c r="M89" i="29"/>
  <c r="J61" i="27" l="1"/>
  <c r="J36" i="27"/>
  <c r="J33" i="27" s="1"/>
  <c r="J24" i="27"/>
  <c r="J45" i="27" l="1"/>
  <c r="H61" i="27"/>
  <c r="C22" i="44"/>
  <c r="D22" i="44" s="1"/>
  <c r="I28" i="27"/>
  <c r="J23" i="27"/>
  <c r="E30" i="48" l="1"/>
  <c r="E35" i="44"/>
  <c r="H45" i="27"/>
  <c r="J78" i="27"/>
  <c r="J75" i="27"/>
  <c r="C18" i="44"/>
  <c r="D35" i="44" l="1"/>
  <c r="E29" i="44"/>
  <c r="D30" i="48"/>
  <c r="E24" i="48"/>
  <c r="D24" i="48" s="1"/>
  <c r="F75" i="42"/>
  <c r="F76" i="42" s="1"/>
  <c r="J76" i="27"/>
  <c r="J79" i="27" s="1"/>
  <c r="J80" i="27" s="1"/>
  <c r="F49" i="27"/>
  <c r="E71" i="27" l="1"/>
  <c r="C82" i="44"/>
  <c r="E47" i="27"/>
  <c r="E25" i="27"/>
  <c r="E74" i="27"/>
  <c r="E70" i="27"/>
  <c r="C83" i="44"/>
  <c r="E62" i="27"/>
  <c r="C78" i="44"/>
  <c r="E46" i="27"/>
  <c r="C73" i="44"/>
  <c r="T35" i="42"/>
  <c r="C66" i="44"/>
  <c r="AQ57" i="27"/>
  <c r="E41" i="27"/>
  <c r="E37" i="27"/>
  <c r="E65" i="27"/>
  <c r="E60" i="27"/>
  <c r="C79" i="44"/>
  <c r="E44" i="27"/>
  <c r="C72" i="44"/>
  <c r="E32" i="27"/>
  <c r="C65" i="44"/>
  <c r="AQ53" i="27"/>
  <c r="E30" i="27"/>
  <c r="E69" i="27"/>
  <c r="E72" i="27"/>
  <c r="E68" i="27"/>
  <c r="E64" i="27"/>
  <c r="AQ58" i="27"/>
  <c r="AQ54" i="27"/>
  <c r="C76" i="44"/>
  <c r="E43" i="27"/>
  <c r="C71" i="44"/>
  <c r="E31" i="27"/>
  <c r="C64" i="44"/>
  <c r="AA42" i="49" l="1"/>
  <c r="AB42" i="49" s="1"/>
  <c r="AA30" i="49"/>
  <c r="AB30" i="49" s="1"/>
  <c r="AA67" i="49"/>
  <c r="AB67" i="49" s="1"/>
  <c r="AA68" i="49"/>
  <c r="AB68" i="49" s="1"/>
  <c r="AA31" i="49"/>
  <c r="AB31" i="49" s="1"/>
  <c r="AA64" i="49"/>
  <c r="AB64" i="49" s="1"/>
  <c r="AA36" i="49"/>
  <c r="AB36" i="49" s="1"/>
  <c r="AA69" i="49"/>
  <c r="AB69" i="49" s="1"/>
  <c r="AA24" i="49"/>
  <c r="AB24" i="49" s="1"/>
  <c r="AA45" i="49"/>
  <c r="AB45" i="49" s="1"/>
  <c r="AA61" i="49"/>
  <c r="AB61" i="49" s="1"/>
  <c r="AA71" i="49"/>
  <c r="AB71" i="49" s="1"/>
  <c r="AA29" i="49"/>
  <c r="AB29" i="49" s="1"/>
  <c r="AA72" i="49"/>
  <c r="AB72" i="49" s="1"/>
  <c r="AA40" i="49"/>
  <c r="AB40" i="49" s="1"/>
  <c r="AA73" i="49"/>
  <c r="AB73" i="49" s="1"/>
  <c r="AA46" i="49"/>
  <c r="AB46" i="49" s="1"/>
  <c r="AA70" i="49"/>
  <c r="AB70" i="49" s="1"/>
  <c r="AA43" i="49"/>
  <c r="AB43" i="49" s="1"/>
  <c r="AA60" i="42"/>
  <c r="AB60" i="42" s="1"/>
  <c r="AA59" i="49"/>
  <c r="AB59" i="49" s="1"/>
  <c r="AA64" i="42"/>
  <c r="AB64" i="42" s="1"/>
  <c r="AA63" i="49"/>
  <c r="AB63" i="49" s="1"/>
  <c r="C69" i="44"/>
  <c r="AA62" i="42"/>
  <c r="AB62" i="42" s="1"/>
  <c r="F62" i="27"/>
  <c r="C62" i="44"/>
  <c r="T38" i="42"/>
  <c r="AQ38" i="27"/>
  <c r="T48" i="42"/>
  <c r="AQ48" i="27"/>
  <c r="E58" i="27"/>
  <c r="AA68" i="42"/>
  <c r="AB68" i="42" s="1"/>
  <c r="F68" i="27"/>
  <c r="AA69" i="42"/>
  <c r="AB69" i="42" s="1"/>
  <c r="F69" i="27"/>
  <c r="E82" i="48"/>
  <c r="T27" i="42"/>
  <c r="S27" i="42" s="1"/>
  <c r="D27" i="42" s="1"/>
  <c r="AQ27" i="27"/>
  <c r="E89" i="48"/>
  <c r="D89" i="48" s="1"/>
  <c r="T39" i="42"/>
  <c r="S39" i="42" s="1"/>
  <c r="D39" i="42" s="1"/>
  <c r="AQ39" i="27"/>
  <c r="E96" i="48"/>
  <c r="D96" i="48" s="1"/>
  <c r="AQ55" i="27"/>
  <c r="T55" i="42"/>
  <c r="AA65" i="42"/>
  <c r="AB65" i="42" s="1"/>
  <c r="F65" i="27"/>
  <c r="AA37" i="42"/>
  <c r="AB37" i="42" s="1"/>
  <c r="F37" i="27"/>
  <c r="E35" i="27"/>
  <c r="D82" i="44"/>
  <c r="E90" i="48"/>
  <c r="D90" i="48" s="1"/>
  <c r="T40" i="42"/>
  <c r="S40" i="42" s="1"/>
  <c r="D40" i="42" s="1"/>
  <c r="AQ40" i="27"/>
  <c r="AA70" i="42"/>
  <c r="AB70" i="42" s="1"/>
  <c r="F70" i="27"/>
  <c r="E53" i="27"/>
  <c r="E57" i="27"/>
  <c r="S35" i="42"/>
  <c r="D35" i="42" s="1"/>
  <c r="T34" i="42"/>
  <c r="AA46" i="42"/>
  <c r="AB46" i="42" s="1"/>
  <c r="F46" i="27"/>
  <c r="AQ56" i="27"/>
  <c r="T66" i="42"/>
  <c r="AQ66" i="27"/>
  <c r="E100" i="48"/>
  <c r="D100" i="48" s="1"/>
  <c r="AA74" i="42"/>
  <c r="AB74" i="42" s="1"/>
  <c r="F74" i="27"/>
  <c r="AA47" i="42"/>
  <c r="AB47" i="42" s="1"/>
  <c r="F47" i="27"/>
  <c r="AA71" i="42"/>
  <c r="AB71" i="42" s="1"/>
  <c r="T26" i="42"/>
  <c r="AQ26" i="27"/>
  <c r="T50" i="42"/>
  <c r="S50" i="42" s="1"/>
  <c r="AQ50" i="27"/>
  <c r="E95" i="48"/>
  <c r="D95" i="48" s="1"/>
  <c r="AA25" i="42"/>
  <c r="AB25" i="42" s="1"/>
  <c r="F25" i="27"/>
  <c r="AA31" i="42"/>
  <c r="AB31" i="42" s="1"/>
  <c r="F31" i="27"/>
  <c r="AA43" i="42"/>
  <c r="AB43" i="42" s="1"/>
  <c r="F43" i="27"/>
  <c r="E54" i="27"/>
  <c r="AA72" i="42"/>
  <c r="AB72" i="42" s="1"/>
  <c r="F72" i="27"/>
  <c r="AA30" i="42"/>
  <c r="AB30" i="42" s="1"/>
  <c r="F30" i="27"/>
  <c r="AA32" i="42"/>
  <c r="AB32" i="42" s="1"/>
  <c r="F32" i="27"/>
  <c r="AA44" i="42"/>
  <c r="AB44" i="42" s="1"/>
  <c r="F44" i="27"/>
  <c r="AA73" i="42"/>
  <c r="AB73" i="42" s="1"/>
  <c r="AA41" i="42"/>
  <c r="AB41" i="42" s="1"/>
  <c r="F41" i="27"/>
  <c r="AQ28" i="27"/>
  <c r="T28" i="42"/>
  <c r="S28" i="42" s="1"/>
  <c r="D28" i="42" s="1"/>
  <c r="E83" i="48"/>
  <c r="D83" i="48" s="1"/>
  <c r="P24" i="27"/>
  <c r="W55" i="27"/>
  <c r="V24" i="27"/>
  <c r="W24" i="27" s="1"/>
  <c r="E81" i="48" l="1"/>
  <c r="D81" i="48" s="1"/>
  <c r="E88" i="48"/>
  <c r="D88" i="48" s="1"/>
  <c r="E93" i="48"/>
  <c r="D93" i="48" s="1"/>
  <c r="AA58" i="42"/>
  <c r="AB58" i="42" s="1"/>
  <c r="AA57" i="49"/>
  <c r="AB57" i="49" s="1"/>
  <c r="AA53" i="42"/>
  <c r="AB53" i="42" s="1"/>
  <c r="AA52" i="49"/>
  <c r="AB52" i="49" s="1"/>
  <c r="AA54" i="42"/>
  <c r="AB54" i="42" s="1"/>
  <c r="AA53" i="49"/>
  <c r="AB53" i="49" s="1"/>
  <c r="AA57" i="42"/>
  <c r="AB57" i="42" s="1"/>
  <c r="AA56" i="49"/>
  <c r="AB56" i="49" s="1"/>
  <c r="S55" i="42"/>
  <c r="D55" i="42" s="1"/>
  <c r="D82" i="48"/>
  <c r="AA35" i="42"/>
  <c r="AB35" i="42" s="1"/>
  <c r="AA34" i="49"/>
  <c r="AB34" i="49" s="1"/>
  <c r="M66" i="42"/>
  <c r="S48" i="42"/>
  <c r="D48" i="42" s="1"/>
  <c r="E66" i="44"/>
  <c r="D66" i="44" s="1"/>
  <c r="E56" i="27"/>
  <c r="E39" i="27"/>
  <c r="E72" i="44"/>
  <c r="D72" i="44" s="1"/>
  <c r="E71" i="44"/>
  <c r="AN38" i="27"/>
  <c r="E38" i="27"/>
  <c r="W63" i="27"/>
  <c r="C117" i="44"/>
  <c r="X52" i="42"/>
  <c r="D50" i="42"/>
  <c r="E79" i="44"/>
  <c r="D79" i="44" s="1"/>
  <c r="E55" i="27"/>
  <c r="E76" i="44"/>
  <c r="E48" i="27"/>
  <c r="C118" i="44"/>
  <c r="S66" i="42"/>
  <c r="E73" i="44"/>
  <c r="D73" i="44" s="1"/>
  <c r="E40" i="27"/>
  <c r="AC27" i="27"/>
  <c r="S26" i="42"/>
  <c r="S24" i="42" s="1"/>
  <c r="T24" i="42"/>
  <c r="E83" i="44"/>
  <c r="E68" i="44"/>
  <c r="E78" i="44"/>
  <c r="D78" i="44" s="1"/>
  <c r="E50" i="27"/>
  <c r="E64" i="44"/>
  <c r="S34" i="42"/>
  <c r="D34" i="42" s="1"/>
  <c r="E65" i="44"/>
  <c r="D65" i="44" s="1"/>
  <c r="T36" i="42"/>
  <c r="S38" i="42"/>
  <c r="W61" i="27"/>
  <c r="AC24" i="27"/>
  <c r="Z61" i="27" l="1"/>
  <c r="E86" i="48"/>
  <c r="D86" i="48" s="1"/>
  <c r="E79" i="48"/>
  <c r="D38" i="42"/>
  <c r="S36" i="42"/>
  <c r="S33" i="42" s="1"/>
  <c r="AA55" i="49"/>
  <c r="AB55" i="49" s="1"/>
  <c r="AE101" i="48"/>
  <c r="AA28" i="42"/>
  <c r="AB28" i="42" s="1"/>
  <c r="AA27" i="49"/>
  <c r="AB27" i="49" s="1"/>
  <c r="AA55" i="42"/>
  <c r="AB55" i="42" s="1"/>
  <c r="AA54" i="49"/>
  <c r="AB54" i="49" s="1"/>
  <c r="AA50" i="42"/>
  <c r="AB50" i="42" s="1"/>
  <c r="AA49" i="49"/>
  <c r="AB49" i="49" s="1"/>
  <c r="AA48" i="42"/>
  <c r="AB48" i="42" s="1"/>
  <c r="AA47" i="49"/>
  <c r="AB47" i="49" s="1"/>
  <c r="AA40" i="42"/>
  <c r="AB40" i="42" s="1"/>
  <c r="AA39" i="49"/>
  <c r="AB39" i="49" s="1"/>
  <c r="AA39" i="42"/>
  <c r="AB39" i="42" s="1"/>
  <c r="AA38" i="49"/>
  <c r="AB38" i="49" s="1"/>
  <c r="AA38" i="42"/>
  <c r="AA37" i="49"/>
  <c r="AB37" i="49" s="1"/>
  <c r="D79" i="48"/>
  <c r="AA27" i="42"/>
  <c r="AB27" i="42" s="1"/>
  <c r="AA26" i="49"/>
  <c r="AB26" i="49" s="1"/>
  <c r="M45" i="42"/>
  <c r="M23" i="42" s="1"/>
  <c r="I66" i="42"/>
  <c r="D76" i="44"/>
  <c r="S66" i="27"/>
  <c r="C103" i="44"/>
  <c r="S27" i="27"/>
  <c r="T33" i="42"/>
  <c r="D83" i="44"/>
  <c r="E118" i="44"/>
  <c r="E66" i="27"/>
  <c r="C80" i="44"/>
  <c r="C74" i="44" s="1"/>
  <c r="D64" i="44"/>
  <c r="E62" i="44"/>
  <c r="E67" i="44"/>
  <c r="D117" i="44"/>
  <c r="D71" i="44"/>
  <c r="E69" i="44"/>
  <c r="D69" i="44" s="1"/>
  <c r="AA56" i="42"/>
  <c r="AB56" i="42" s="1"/>
  <c r="F56" i="27"/>
  <c r="F63" i="27"/>
  <c r="S63" i="27"/>
  <c r="F27" i="27"/>
  <c r="Y61" i="27" l="1"/>
  <c r="Y45" i="27" s="1"/>
  <c r="Z45" i="27"/>
  <c r="D33" i="42"/>
  <c r="AB38" i="42"/>
  <c r="D36" i="42"/>
  <c r="AA66" i="42"/>
  <c r="AA65" i="49"/>
  <c r="AB65" i="49" s="1"/>
  <c r="D118" i="44"/>
  <c r="D62" i="44"/>
  <c r="AQ59" i="27"/>
  <c r="T59" i="42"/>
  <c r="T45" i="42" s="1"/>
  <c r="D66" i="42"/>
  <c r="C100" i="44"/>
  <c r="D100" i="44" s="1"/>
  <c r="D103" i="44"/>
  <c r="L10" i="13"/>
  <c r="K10" i="13"/>
  <c r="I10" i="13"/>
  <c r="H10" i="13"/>
  <c r="F10" i="13"/>
  <c r="E10" i="13"/>
  <c r="F73" i="27"/>
  <c r="AU71" i="27"/>
  <c r="AJ71" i="27"/>
  <c r="I71" i="27"/>
  <c r="AU67" i="27"/>
  <c r="AK67" i="27"/>
  <c r="E67" i="27" s="1"/>
  <c r="AJ67" i="27"/>
  <c r="I67" i="27"/>
  <c r="AU61" i="27"/>
  <c r="AK61" i="27"/>
  <c r="AK45" i="27" s="1"/>
  <c r="AJ61" i="27"/>
  <c r="AC61" i="27"/>
  <c r="P61" i="27"/>
  <c r="F60" i="27"/>
  <c r="W58" i="27"/>
  <c r="W57" i="27"/>
  <c r="Z57" i="27" l="1"/>
  <c r="Y57" i="27" s="1"/>
  <c r="Z58" i="27"/>
  <c r="Y58" i="27" s="1"/>
  <c r="AA67" i="42"/>
  <c r="AB67" i="42" s="1"/>
  <c r="AA66" i="49"/>
  <c r="AB66" i="49" s="1"/>
  <c r="AB66" i="42"/>
  <c r="E97" i="48"/>
  <c r="E61" i="27"/>
  <c r="E80" i="44"/>
  <c r="E74" i="44" s="1"/>
  <c r="D74" i="44" s="1"/>
  <c r="S59" i="42"/>
  <c r="S45" i="42" s="1"/>
  <c r="S23" i="42" s="1"/>
  <c r="E65" i="48"/>
  <c r="T21" i="42"/>
  <c r="T10" i="42" s="1"/>
  <c r="D61" i="42"/>
  <c r="AT61" i="27"/>
  <c r="F64" i="27"/>
  <c r="AC59" i="27"/>
  <c r="AQ45" i="27"/>
  <c r="F67" i="27"/>
  <c r="F71" i="27"/>
  <c r="F54" i="27"/>
  <c r="AZ50" i="27"/>
  <c r="BA48" i="27"/>
  <c r="AJ45" i="27"/>
  <c r="D65" i="48" l="1"/>
  <c r="E55" i="48"/>
  <c r="D55" i="48" s="1"/>
  <c r="D97" i="48"/>
  <c r="AE100" i="48" s="1"/>
  <c r="E91" i="48"/>
  <c r="AA61" i="42"/>
  <c r="AB61" i="42" s="1"/>
  <c r="AA60" i="49"/>
  <c r="AB60" i="49" s="1"/>
  <c r="C110" i="44"/>
  <c r="S48" i="27"/>
  <c r="AN21" i="27"/>
  <c r="E21" i="27"/>
  <c r="T23" i="42"/>
  <c r="S21" i="42"/>
  <c r="D21" i="42" s="1"/>
  <c r="C111" i="44"/>
  <c r="D111" i="44" s="1"/>
  <c r="S50" i="27"/>
  <c r="D80" i="44"/>
  <c r="I78" i="44" s="1"/>
  <c r="E84" i="44"/>
  <c r="C115" i="44"/>
  <c r="F57" i="27"/>
  <c r="S57" i="27"/>
  <c r="F58" i="27"/>
  <c r="S58" i="27"/>
  <c r="AC55" i="27"/>
  <c r="S55" i="27"/>
  <c r="S61" i="27"/>
  <c r="F48" i="27"/>
  <c r="AC48" i="27"/>
  <c r="F50" i="27"/>
  <c r="AC50" i="27"/>
  <c r="AC45" i="27"/>
  <c r="AT45" i="27"/>
  <c r="AU45" i="27"/>
  <c r="P45" i="27"/>
  <c r="AU42" i="27"/>
  <c r="I42" i="27"/>
  <c r="AU36" i="27"/>
  <c r="AK36" i="27"/>
  <c r="AJ36" i="27"/>
  <c r="P36" i="27"/>
  <c r="AA20" i="49" l="1"/>
  <c r="AB20" i="49" s="1"/>
  <c r="I95" i="48"/>
  <c r="D91" i="48"/>
  <c r="E101" i="48"/>
  <c r="D101" i="48" s="1"/>
  <c r="D110" i="44"/>
  <c r="AC39" i="27"/>
  <c r="M40" i="27"/>
  <c r="S10" i="42"/>
  <c r="Y13" i="42"/>
  <c r="AA21" i="42"/>
  <c r="AB21" i="42" s="1"/>
  <c r="F21" i="27"/>
  <c r="E42" i="27"/>
  <c r="F39" i="27"/>
  <c r="M39" i="27"/>
  <c r="C113" i="44"/>
  <c r="C108" i="44" s="1"/>
  <c r="AZ52" i="27"/>
  <c r="F53" i="27"/>
  <c r="M36" i="27"/>
  <c r="D42" i="27"/>
  <c r="F55" i="27"/>
  <c r="F35" i="27"/>
  <c r="AU34" i="27"/>
  <c r="AU33" i="27" s="1"/>
  <c r="AK34" i="27"/>
  <c r="AJ34" i="27"/>
  <c r="X34" i="27"/>
  <c r="X33" i="27" s="1"/>
  <c r="X23" i="27" s="1"/>
  <c r="V34" i="27"/>
  <c r="P33" i="27"/>
  <c r="G34" i="27"/>
  <c r="AU29" i="27"/>
  <c r="AJ29" i="27"/>
  <c r="G29" i="27"/>
  <c r="I29" i="27" s="1"/>
  <c r="AU24" i="27"/>
  <c r="AK24" i="27"/>
  <c r="E24" i="27" s="1"/>
  <c r="AJ24" i="27"/>
  <c r="AK14" i="27"/>
  <c r="AK11" i="27" s="1"/>
  <c r="W59" i="27" l="1"/>
  <c r="AA42" i="42"/>
  <c r="AB42" i="42" s="1"/>
  <c r="AA41" i="49"/>
  <c r="AB41" i="49" s="1"/>
  <c r="I101" i="48"/>
  <c r="J101" i="48" s="1"/>
  <c r="I34" i="27"/>
  <c r="F42" i="27"/>
  <c r="E29" i="27"/>
  <c r="C27" i="44"/>
  <c r="D27" i="44" s="1"/>
  <c r="I39" i="27"/>
  <c r="C28" i="44"/>
  <c r="D28" i="44" s="1"/>
  <c r="I40" i="27"/>
  <c r="E14" i="27"/>
  <c r="F40" i="27"/>
  <c r="C107" i="44"/>
  <c r="D107" i="44" s="1"/>
  <c r="S39" i="27"/>
  <c r="AK33" i="27"/>
  <c r="AK23" i="27" s="1"/>
  <c r="E34" i="27"/>
  <c r="AC38" i="27"/>
  <c r="D113" i="44"/>
  <c r="W34" i="27"/>
  <c r="Z34" i="27" s="1"/>
  <c r="Z33" i="27" s="1"/>
  <c r="Z23" i="27" s="1"/>
  <c r="AT33" i="27"/>
  <c r="V33" i="27"/>
  <c r="M33" i="27"/>
  <c r="F28" i="27"/>
  <c r="AJ33" i="27"/>
  <c r="Z76" i="27" l="1"/>
  <c r="Y34" i="27"/>
  <c r="Y33" i="27" s="1"/>
  <c r="Y23" i="27" s="1"/>
  <c r="Y76" i="27" s="1"/>
  <c r="AK76" i="27"/>
  <c r="AA13" i="49"/>
  <c r="AA29" i="42"/>
  <c r="AB29" i="42" s="1"/>
  <c r="AA28" i="49"/>
  <c r="AB28" i="49" s="1"/>
  <c r="AA34" i="42"/>
  <c r="AB34" i="42" s="1"/>
  <c r="AA33" i="49"/>
  <c r="AB33" i="49" s="1"/>
  <c r="H113" i="44"/>
  <c r="N78" i="27"/>
  <c r="N75" i="27"/>
  <c r="N76" i="27" s="1"/>
  <c r="F29" i="27"/>
  <c r="AK78" i="27"/>
  <c r="C23" i="44"/>
  <c r="D23" i="44" s="1"/>
  <c r="AR78" i="27"/>
  <c r="AR87" i="27"/>
  <c r="I33" i="27"/>
  <c r="I36" i="27"/>
  <c r="AQ36" i="27"/>
  <c r="AP33" i="27"/>
  <c r="U78" i="27"/>
  <c r="C106" i="44"/>
  <c r="S38" i="27"/>
  <c r="AA14" i="42"/>
  <c r="F14" i="27"/>
  <c r="W33" i="27"/>
  <c r="AC36" i="27"/>
  <c r="S36" i="27"/>
  <c r="S24" i="27"/>
  <c r="AT23" i="27"/>
  <c r="P23" i="27"/>
  <c r="P78" i="27" s="1"/>
  <c r="P79" i="27" s="1"/>
  <c r="P80" i="27" s="1"/>
  <c r="F38" i="27"/>
  <c r="AU23" i="27"/>
  <c r="AJ23" i="27"/>
  <c r="AP23" i="27" l="1"/>
  <c r="BA23" i="27" s="1"/>
  <c r="AM33" i="27"/>
  <c r="AN33" i="27" s="1"/>
  <c r="K58" i="49"/>
  <c r="V45" i="27"/>
  <c r="W45" i="27" s="1"/>
  <c r="K59" i="42"/>
  <c r="M19" i="49"/>
  <c r="M20" i="42"/>
  <c r="AK79" i="27"/>
  <c r="AK80" i="27" s="1"/>
  <c r="N79" i="27"/>
  <c r="N80" i="27" s="1"/>
  <c r="U79" i="27"/>
  <c r="U80" i="27" s="1"/>
  <c r="E36" i="27"/>
  <c r="AJ76" i="27"/>
  <c r="AJ78" i="27"/>
  <c r="AR79" i="27"/>
  <c r="AR80" i="27" s="1"/>
  <c r="C68" i="44"/>
  <c r="C104" i="44"/>
  <c r="D106" i="44"/>
  <c r="AU76" i="27"/>
  <c r="AU78" i="27"/>
  <c r="AO78" i="27"/>
  <c r="AO87" i="27"/>
  <c r="AT75" i="27"/>
  <c r="AT78" i="27"/>
  <c r="AT79" i="27" s="1"/>
  <c r="AC33" i="27"/>
  <c r="AA78" i="27"/>
  <c r="AP78" i="27" l="1"/>
  <c r="AM23" i="27"/>
  <c r="AN23" i="27" s="1"/>
  <c r="E20" i="27"/>
  <c r="W20" i="27"/>
  <c r="K19" i="49"/>
  <c r="K10" i="49" s="1"/>
  <c r="K20" i="42"/>
  <c r="K10" i="42" s="1"/>
  <c r="V23" i="27"/>
  <c r="V75" i="27" s="1"/>
  <c r="V83" i="27"/>
  <c r="E139" i="48"/>
  <c r="E132" i="48" s="1"/>
  <c r="E144" i="48" s="1"/>
  <c r="D144" i="48" s="1"/>
  <c r="H142" i="48" s="1"/>
  <c r="E115" i="44"/>
  <c r="R45" i="27"/>
  <c r="R23" i="27" s="1"/>
  <c r="R76" i="27" s="1"/>
  <c r="E59" i="27"/>
  <c r="S59" i="27"/>
  <c r="K44" i="49"/>
  <c r="K22" i="49" s="1"/>
  <c r="I58" i="49"/>
  <c r="K45" i="42"/>
  <c r="K23" i="42" s="1"/>
  <c r="I59" i="42"/>
  <c r="AU79" i="27"/>
  <c r="AU80" i="27" s="1"/>
  <c r="M10" i="49"/>
  <c r="M75" i="49" s="1"/>
  <c r="AA36" i="42"/>
  <c r="AB36" i="42" s="1"/>
  <c r="AA35" i="49"/>
  <c r="AB35" i="49" s="1"/>
  <c r="M10" i="42"/>
  <c r="M76" i="42" s="1"/>
  <c r="AA19" i="49"/>
  <c r="X78" i="27"/>
  <c r="X76" i="27"/>
  <c r="E11" i="27"/>
  <c r="AJ79" i="27"/>
  <c r="AJ80" i="27" s="1"/>
  <c r="AL78" i="27"/>
  <c r="AL87" i="27"/>
  <c r="E33" i="27"/>
  <c r="C67" i="44"/>
  <c r="D68" i="44"/>
  <c r="AO91" i="27"/>
  <c r="D104" i="44"/>
  <c r="C119" i="44"/>
  <c r="AO79" i="27"/>
  <c r="AO80" i="27" s="1"/>
  <c r="AT80" i="27"/>
  <c r="F34" i="27"/>
  <c r="AQ33" i="27"/>
  <c r="S33" i="27"/>
  <c r="F36" i="27"/>
  <c r="AA79" i="27"/>
  <c r="AA80" i="27" s="1"/>
  <c r="AC23" i="27"/>
  <c r="AC75" i="27" s="1"/>
  <c r="AC76" i="27" s="1"/>
  <c r="K75" i="49" l="1"/>
  <c r="S23" i="27"/>
  <c r="I19" i="49"/>
  <c r="I10" i="49" s="1"/>
  <c r="AA20" i="42"/>
  <c r="K76" i="42"/>
  <c r="I20" i="42"/>
  <c r="I10" i="42" s="1"/>
  <c r="I44" i="49"/>
  <c r="D58" i="49"/>
  <c r="R78" i="27"/>
  <c r="E45" i="27"/>
  <c r="S45" i="27"/>
  <c r="E108" i="44"/>
  <c r="E119" i="44" s="1"/>
  <c r="D119" i="44" s="1"/>
  <c r="H117" i="44" s="1"/>
  <c r="D115" i="44"/>
  <c r="I45" i="42"/>
  <c r="D59" i="42"/>
  <c r="W23" i="27"/>
  <c r="V78" i="27"/>
  <c r="AA59" i="42"/>
  <c r="AA58" i="49"/>
  <c r="F59" i="27"/>
  <c r="BM76" i="27"/>
  <c r="X79" i="27"/>
  <c r="X80" i="27" s="1"/>
  <c r="AA10" i="42"/>
  <c r="AA10" i="49"/>
  <c r="AA33" i="42"/>
  <c r="AB33" i="42" s="1"/>
  <c r="AA32" i="49"/>
  <c r="AB32" i="49" s="1"/>
  <c r="C85" i="44"/>
  <c r="C84" i="44"/>
  <c r="D84" i="44" s="1"/>
  <c r="I84" i="44" s="1"/>
  <c r="J84" i="44" s="1"/>
  <c r="D67" i="44"/>
  <c r="AL79" i="27"/>
  <c r="AL80" i="27" s="1"/>
  <c r="AC78" i="27"/>
  <c r="AP75" i="27"/>
  <c r="AP87" i="27"/>
  <c r="AQ23" i="27"/>
  <c r="F33" i="27"/>
  <c r="D19" i="49" l="1"/>
  <c r="AB19" i="49" s="1"/>
  <c r="D20" i="42"/>
  <c r="AB20" i="42" s="1"/>
  <c r="AB59" i="42"/>
  <c r="Y78" i="27"/>
  <c r="W78" i="27"/>
  <c r="Z78" i="27"/>
  <c r="AP76" i="27"/>
  <c r="AP79" i="27" s="1"/>
  <c r="AP80" i="27" s="1"/>
  <c r="H114" i="44"/>
  <c r="H115" i="44" s="1"/>
  <c r="D108" i="44"/>
  <c r="AB58" i="49"/>
  <c r="I23" i="42"/>
  <c r="I76" i="42" s="1"/>
  <c r="J84" i="42" s="1"/>
  <c r="D45" i="42"/>
  <c r="E97" i="27"/>
  <c r="AA45" i="42"/>
  <c r="AA44" i="49"/>
  <c r="I22" i="49"/>
  <c r="I75" i="49" s="1"/>
  <c r="D44" i="49"/>
  <c r="AP82" i="27"/>
  <c r="T75" i="42"/>
  <c r="G11" i="13"/>
  <c r="C86" i="44"/>
  <c r="M61" i="27"/>
  <c r="C37" i="44"/>
  <c r="C29" i="44" s="1"/>
  <c r="I66" i="27"/>
  <c r="AQ75" i="27"/>
  <c r="AQ76" i="27" s="1"/>
  <c r="AQ78" i="27"/>
  <c r="AM78" i="27"/>
  <c r="AC79" i="27"/>
  <c r="AC80" i="27" s="1"/>
  <c r="AM87" i="27"/>
  <c r="AM75" i="27"/>
  <c r="F66" i="27"/>
  <c r="AB45" i="42" l="1"/>
  <c r="AQ79" i="27"/>
  <c r="AQ80" i="27" s="1"/>
  <c r="E102" i="48"/>
  <c r="D102" i="48" s="1"/>
  <c r="AM76" i="27"/>
  <c r="AB44" i="49"/>
  <c r="E146" i="48"/>
  <c r="E121" i="44"/>
  <c r="R79" i="27"/>
  <c r="R80" i="27" s="1"/>
  <c r="W76" i="27"/>
  <c r="Y79" i="27" s="1"/>
  <c r="V79" i="27"/>
  <c r="V80" i="27" s="1"/>
  <c r="S75" i="42"/>
  <c r="T81" i="42"/>
  <c r="T76" i="42"/>
  <c r="D11" i="13"/>
  <c r="D10" i="13" s="1"/>
  <c r="G10" i="13"/>
  <c r="D37" i="44"/>
  <c r="F61" i="27"/>
  <c r="I61" i="27"/>
  <c r="K76" i="27"/>
  <c r="M45" i="27"/>
  <c r="E85" i="44"/>
  <c r="AN75" i="27"/>
  <c r="AN76" i="27" s="1"/>
  <c r="AN78" i="27"/>
  <c r="G23" i="27"/>
  <c r="G75" i="27" s="1"/>
  <c r="Y80" i="27" l="1"/>
  <c r="W79" i="27"/>
  <c r="W80" i="27" s="1"/>
  <c r="W99" i="27" s="1"/>
  <c r="Z79" i="27"/>
  <c r="Z80" i="27" s="1"/>
  <c r="E103" i="48"/>
  <c r="D103" i="48" s="1"/>
  <c r="AN79" i="27"/>
  <c r="AN80" i="27" s="1"/>
  <c r="AM79" i="27"/>
  <c r="AM80" i="27" s="1"/>
  <c r="S76" i="42"/>
  <c r="C34" i="48"/>
  <c r="C35" i="48" s="1"/>
  <c r="E86" i="44"/>
  <c r="D86" i="44" s="1"/>
  <c r="D85" i="44"/>
  <c r="D29" i="44"/>
  <c r="C38" i="44"/>
  <c r="F45" i="27"/>
  <c r="I45" i="27"/>
  <c r="K78" i="27"/>
  <c r="J10" i="13"/>
  <c r="C39" i="44" l="1"/>
  <c r="G78" i="27"/>
  <c r="G76" i="27"/>
  <c r="K79" i="27"/>
  <c r="K80" i="27" s="1"/>
  <c r="C40" i="44" l="1"/>
  <c r="G79" i="27"/>
  <c r="G80" i="27" s="1"/>
  <c r="F20" i="27"/>
  <c r="Q78" i="27" l="1"/>
  <c r="D88" i="27"/>
  <c r="Q4" i="27"/>
  <c r="F11" i="27" l="1"/>
  <c r="D78" i="27"/>
  <c r="S78" i="27"/>
  <c r="D79" i="27" l="1"/>
  <c r="D80" i="27" s="1"/>
  <c r="I26" i="27"/>
  <c r="E15" i="48"/>
  <c r="D15" i="48" s="1"/>
  <c r="AE34" i="48" s="1"/>
  <c r="E20" i="44"/>
  <c r="D20" i="44" s="1"/>
  <c r="L24" i="27"/>
  <c r="H100" i="27"/>
  <c r="H101" i="27" s="1"/>
  <c r="AA25" i="49" l="1"/>
  <c r="O102" i="27"/>
  <c r="AA26" i="42"/>
  <c r="E18" i="44"/>
  <c r="E38" i="44" s="1"/>
  <c r="D38" i="44" s="1"/>
  <c r="H23" i="27"/>
  <c r="H78" i="27" s="1"/>
  <c r="I24" i="27"/>
  <c r="E13" i="48"/>
  <c r="F26" i="27"/>
  <c r="M24" i="27"/>
  <c r="L23" i="27"/>
  <c r="M26" i="27"/>
  <c r="G26" i="42"/>
  <c r="G25" i="49"/>
  <c r="AA23" i="49" l="1"/>
  <c r="F24" i="27"/>
  <c r="AA24" i="42"/>
  <c r="D18" i="44"/>
  <c r="H93" i="27"/>
  <c r="H95" i="27" s="1"/>
  <c r="I23" i="27"/>
  <c r="I78" i="27" s="1"/>
  <c r="E23" i="27"/>
  <c r="H75" i="27"/>
  <c r="I4" i="27"/>
  <c r="D13" i="48"/>
  <c r="E33" i="48"/>
  <c r="D33" i="48" s="1"/>
  <c r="E25" i="49"/>
  <c r="D25" i="49" s="1"/>
  <c r="AB25" i="49" s="1"/>
  <c r="G23" i="49"/>
  <c r="G24" i="42"/>
  <c r="E26" i="42"/>
  <c r="D26" i="42" s="1"/>
  <c r="M23" i="27"/>
  <c r="M78" i="27" s="1"/>
  <c r="L78" i="27"/>
  <c r="L75" i="27"/>
  <c r="L76" i="27" s="1"/>
  <c r="E75" i="27" l="1"/>
  <c r="E81" i="27"/>
  <c r="L79" i="27"/>
  <c r="L80" i="27" s="1"/>
  <c r="AB26" i="42"/>
  <c r="E24" i="42"/>
  <c r="E23" i="42" s="1"/>
  <c r="G75" i="42"/>
  <c r="E75" i="42" s="1"/>
  <c r="D75" i="42" s="1"/>
  <c r="E39" i="44"/>
  <c r="D39" i="44" s="1"/>
  <c r="D40" i="44" s="1"/>
  <c r="L117" i="27"/>
  <c r="E78" i="27"/>
  <c r="I75" i="27"/>
  <c r="I76" i="27" s="1"/>
  <c r="AA22" i="49"/>
  <c r="F23" i="27"/>
  <c r="F78" i="27" s="1"/>
  <c r="AA23" i="42"/>
  <c r="H76" i="27"/>
  <c r="H79" i="27" s="1"/>
  <c r="H80" i="27" s="1"/>
  <c r="E34" i="48"/>
  <c r="E35" i="48" s="1"/>
  <c r="G23" i="42"/>
  <c r="M75" i="27"/>
  <c r="G22" i="49"/>
  <c r="E23" i="49"/>
  <c r="D23" i="49" s="1"/>
  <c r="AB23" i="49" s="1"/>
  <c r="AA74" i="49" l="1"/>
  <c r="AB74" i="49" s="1"/>
  <c r="E76" i="27"/>
  <c r="E4" i="27" s="1"/>
  <c r="D24" i="42"/>
  <c r="AB24" i="42" s="1"/>
  <c r="E102" i="27"/>
  <c r="E104" i="27"/>
  <c r="M76" i="27"/>
  <c r="M79" i="27" s="1"/>
  <c r="M80" i="27" s="1"/>
  <c r="E40" i="44"/>
  <c r="D34" i="48"/>
  <c r="D35" i="48" s="1"/>
  <c r="F75" i="27"/>
  <c r="AA75" i="42"/>
  <c r="AB75" i="42" s="1"/>
  <c r="F83" i="27"/>
  <c r="I79" i="27"/>
  <c r="I80" i="27" s="1"/>
  <c r="E22" i="49"/>
  <c r="F76" i="27" l="1"/>
  <c r="F79" i="27" s="1"/>
  <c r="F80" i="27" s="1"/>
  <c r="E79" i="27"/>
  <c r="E80" i="27" s="1"/>
  <c r="D22" i="49"/>
  <c r="D23" i="42"/>
  <c r="F84" i="27" l="1"/>
  <c r="AB22" i="49"/>
  <c r="AB23" i="42"/>
  <c r="Z18" i="53"/>
  <c r="Z6" i="53" s="1"/>
  <c r="L4" i="27" s="1"/>
  <c r="G14" i="49" l="1"/>
  <c r="M15" i="27"/>
  <c r="G15" i="42"/>
  <c r="G14" i="42" l="1"/>
  <c r="E15" i="42"/>
  <c r="D15" i="42" s="1"/>
  <c r="AB15" i="42" s="1"/>
  <c r="G13" i="49"/>
  <c r="E14" i="49"/>
  <c r="D14" i="49" s="1"/>
  <c r="AB14" i="49" s="1"/>
  <c r="G10" i="49" l="1"/>
  <c r="G75" i="49" s="1"/>
  <c r="E13" i="49"/>
  <c r="G10" i="42"/>
  <c r="G76" i="42" s="1"/>
  <c r="E14" i="42"/>
  <c r="E10" i="42" l="1"/>
  <c r="D14" i="42"/>
  <c r="AB14" i="42" s="1"/>
  <c r="E10" i="49"/>
  <c r="D13" i="49"/>
  <c r="AB13" i="49" s="1"/>
  <c r="D10" i="49" l="1"/>
  <c r="E75" i="49"/>
  <c r="D10" i="42"/>
  <c r="E76" i="42"/>
  <c r="AB10" i="42" l="1"/>
  <c r="D76" i="42"/>
  <c r="AB10" i="49"/>
  <c r="D75" i="49"/>
  <c r="R4" i="27"/>
  <c r="C146" i="48"/>
  <c r="D146" i="48" s="1"/>
  <c r="R111" i="27"/>
  <c r="C121" i="44"/>
  <c r="D121" i="44" s="1"/>
  <c r="Q79" i="27" l="1"/>
  <c r="Q80" i="27" s="1"/>
  <c r="S76" i="27"/>
  <c r="S79" i="27" s="1"/>
  <c r="S80" i="27" s="1"/>
  <c r="G13" i="45" l="1"/>
  <c r="G36" i="45"/>
  <c r="G38" i="45" s="1"/>
  <c r="D13" i="45" l="1"/>
  <c r="D22" i="45"/>
  <c r="D46" i="45"/>
  <c r="G21" i="45"/>
  <c r="M55" i="72" l="1"/>
  <c r="L45" i="72"/>
  <c r="M45" i="72" s="1"/>
  <c r="L23" i="72" l="1"/>
  <c r="M23" i="72" l="1"/>
  <c r="P55" i="72"/>
  <c r="O45" i="72"/>
  <c r="P45" i="72" s="1"/>
  <c r="E55" i="72"/>
  <c r="F55" i="72" s="1"/>
  <c r="H55" i="72"/>
  <c r="I55" i="72" s="1"/>
  <c r="H45" i="72"/>
  <c r="I45" i="72" s="1"/>
  <c r="O23" i="72" l="1"/>
  <c r="E45" i="72"/>
  <c r="H23" i="72"/>
  <c r="P23" i="72" l="1"/>
  <c r="O15" i="72"/>
  <c r="E23" i="72"/>
  <c r="H93" i="72"/>
  <c r="H95" i="72" s="1"/>
  <c r="I23" i="72"/>
  <c r="F45" i="72"/>
  <c r="E97" i="72"/>
  <c r="P15" i="72" l="1"/>
  <c r="O14" i="72"/>
  <c r="L15" i="72"/>
  <c r="F23" i="72"/>
  <c r="P14" i="72" l="1"/>
  <c r="O11" i="72"/>
  <c r="L14" i="72"/>
  <c r="L2" i="72"/>
  <c r="M15" i="72"/>
  <c r="H15" i="72"/>
  <c r="M14" i="72" l="1"/>
  <c r="H14" i="72"/>
  <c r="E15" i="72"/>
  <c r="F15" i="72" s="1"/>
  <c r="I15" i="72"/>
  <c r="O4" i="72"/>
  <c r="P11" i="72"/>
  <c r="O78" i="72"/>
  <c r="O75" i="72"/>
  <c r="O76" i="72" l="1"/>
  <c r="O79" i="72" s="1"/>
  <c r="O80" i="72" s="1"/>
  <c r="P78" i="72"/>
  <c r="P79" i="72" s="1"/>
  <c r="P75" i="72"/>
  <c r="I14" i="72"/>
  <c r="E14" i="72"/>
  <c r="F14" i="72" s="1"/>
  <c r="H11" i="72"/>
  <c r="L11" i="72" l="1"/>
  <c r="I4" i="72"/>
  <c r="I11" i="72"/>
  <c r="E11" i="72"/>
  <c r="H78" i="72"/>
  <c r="H75" i="72"/>
  <c r="P80" i="72"/>
  <c r="I78" i="72" l="1"/>
  <c r="L117" i="72"/>
  <c r="E75" i="72"/>
  <c r="E102" i="72" s="1"/>
  <c r="I75" i="72"/>
  <c r="H76" i="72"/>
  <c r="H79" i="72" s="1"/>
  <c r="H80" i="72" s="1"/>
  <c r="F11" i="72"/>
  <c r="E81" i="72"/>
  <c r="E78" i="72"/>
  <c r="O5" i="72"/>
  <c r="M11" i="72"/>
  <c r="L78" i="72"/>
  <c r="L75" i="72"/>
  <c r="L76" i="72" s="1"/>
  <c r="M78" i="72" l="1"/>
  <c r="L4" i="72"/>
  <c r="M75" i="72"/>
  <c r="M76" i="72" s="1"/>
  <c r="E104" i="72"/>
  <c r="E76" i="72"/>
  <c r="E79" i="72" s="1"/>
  <c r="E80" i="72" s="1"/>
  <c r="F75" i="72"/>
  <c r="I76" i="72"/>
  <c r="I79" i="72" s="1"/>
  <c r="I80" i="72" s="1"/>
  <c r="L79" i="72"/>
  <c r="L80" i="72" s="1"/>
  <c r="F83" i="72"/>
  <c r="F78" i="72"/>
  <c r="F76" i="72" l="1"/>
  <c r="F84" i="72" s="1"/>
  <c r="E4" i="72"/>
  <c r="M79" i="72"/>
  <c r="M80" i="72" s="1"/>
  <c r="F79" i="72" l="1"/>
  <c r="F80" i="72" s="1"/>
  <c r="G86" i="66" l="1"/>
  <c r="G87" i="66" s="1"/>
  <c r="G86" i="70"/>
  <c r="G87" i="70" s="1"/>
</calcChain>
</file>

<file path=xl/comments1.xml><?xml version="1.0" encoding="utf-8"?>
<comments xmlns="http://schemas.openxmlformats.org/spreadsheetml/2006/main">
  <authors>
    <author>Адыкаева</author>
  </authors>
  <commentList>
    <comment ref="K52" authorId="0" shapeId="0">
      <text>
        <r>
          <rPr>
            <b/>
            <sz val="9"/>
            <color indexed="81"/>
            <rFont val="Tahoma"/>
            <family val="2"/>
            <charset val="204"/>
          </rPr>
          <t>Адыкаева:</t>
        </r>
        <r>
          <rPr>
            <sz val="9"/>
            <color indexed="81"/>
            <rFont val="Tahoma"/>
            <family val="2"/>
            <charset val="204"/>
          </rPr>
          <t xml:space="preserve">
код субсидии 02-01 225/243
</t>
        </r>
      </text>
    </comment>
    <comment ref="L53" authorId="0" shapeId="0">
      <text>
        <r>
          <rPr>
            <b/>
            <sz val="9"/>
            <color indexed="81"/>
            <rFont val="Tahoma"/>
            <family val="2"/>
            <charset val="204"/>
          </rPr>
          <t>Адыкаева:</t>
        </r>
        <r>
          <rPr>
            <sz val="9"/>
            <color indexed="81"/>
            <rFont val="Tahoma"/>
            <family val="2"/>
            <charset val="204"/>
          </rPr>
          <t xml:space="preserve">
код субсидии 116 - 225/243
</t>
        </r>
      </text>
    </comment>
    <comment ref="L54" authorId="0" shapeId="0">
      <text>
        <r>
          <rPr>
            <b/>
            <sz val="9"/>
            <color indexed="81"/>
            <rFont val="Tahoma"/>
            <family val="2"/>
            <charset val="204"/>
          </rPr>
          <t>Адыкаева:</t>
        </r>
        <r>
          <rPr>
            <sz val="9"/>
            <color indexed="81"/>
            <rFont val="Tahoma"/>
            <family val="2"/>
            <charset val="204"/>
          </rPr>
          <t xml:space="preserve">
код субсидии 216 225/243
</t>
        </r>
      </text>
    </comment>
    <comment ref="K55" authorId="0" shapeId="0">
      <text>
        <r>
          <rPr>
            <b/>
            <sz val="9"/>
            <color indexed="81"/>
            <rFont val="Tahoma"/>
            <family val="2"/>
            <charset val="204"/>
          </rPr>
          <t>Адыкаева:</t>
        </r>
        <r>
          <rPr>
            <sz val="9"/>
            <color indexed="81"/>
            <rFont val="Tahoma"/>
            <family val="2"/>
            <charset val="204"/>
          </rPr>
          <t xml:space="preserve">
код субсидии 02-99 и 02-14  225/244
</t>
        </r>
      </text>
    </comment>
    <comment ref="K56" authorId="0" shapeId="0">
      <text>
        <r>
          <rPr>
            <b/>
            <sz val="9"/>
            <color indexed="81"/>
            <rFont val="Tahoma"/>
            <family val="2"/>
            <charset val="204"/>
          </rPr>
          <t>Адыкаева:</t>
        </r>
        <r>
          <rPr>
            <sz val="9"/>
            <color indexed="81"/>
            <rFont val="Tahoma"/>
            <family val="2"/>
            <charset val="204"/>
          </rPr>
          <t xml:space="preserve">
02-10
</t>
        </r>
      </text>
    </comment>
    <comment ref="K57" authorId="0" shapeId="0">
      <text>
        <r>
          <rPr>
            <b/>
            <sz val="9"/>
            <color indexed="81"/>
            <rFont val="Tahoma"/>
            <family val="2"/>
            <charset val="204"/>
          </rPr>
          <t>Адыкаева:</t>
        </r>
        <r>
          <rPr>
            <sz val="9"/>
            <color indexed="81"/>
            <rFont val="Tahoma"/>
            <family val="2"/>
            <charset val="204"/>
          </rPr>
          <t xml:space="preserve">
код субсидии 02-10 226/243</t>
        </r>
      </text>
    </comment>
    <comment ref="K58" authorId="0" shapeId="0">
      <text>
        <r>
          <rPr>
            <b/>
            <sz val="9"/>
            <color indexed="81"/>
            <rFont val="Tahoma"/>
            <family val="2"/>
            <charset val="204"/>
          </rPr>
          <t>Адыкаева:</t>
        </r>
        <r>
          <rPr>
            <sz val="9"/>
            <color indexed="81"/>
            <rFont val="Tahoma"/>
            <family val="2"/>
            <charset val="204"/>
          </rPr>
          <t xml:space="preserve">
код субсидии 02-01 226/243
</t>
        </r>
      </text>
    </comment>
    <comment ref="K59" authorId="0" shapeId="0">
      <text>
        <r>
          <rPr>
            <b/>
            <sz val="9"/>
            <color indexed="81"/>
            <rFont val="Tahoma"/>
            <family val="2"/>
            <charset val="204"/>
          </rPr>
          <t>Адыкаева:</t>
        </r>
        <r>
          <rPr>
            <sz val="9"/>
            <color indexed="81"/>
            <rFont val="Tahoma"/>
            <family val="2"/>
            <charset val="204"/>
          </rPr>
          <t xml:space="preserve">
08-01 20 000 000
</t>
        </r>
      </text>
    </comment>
  </commentList>
</comments>
</file>

<file path=xl/comments10.xml><?xml version="1.0" encoding="utf-8"?>
<comments xmlns="http://schemas.openxmlformats.org/spreadsheetml/2006/main">
  <authors>
    <author>Адыкаева</author>
  </authors>
  <commentList>
    <comment ref="V53" authorId="0" shapeId="0">
      <text>
        <r>
          <rPr>
            <b/>
            <sz val="9"/>
            <color indexed="81"/>
            <rFont val="Tahoma"/>
            <family val="2"/>
            <charset val="204"/>
          </rPr>
          <t>Адыкаева:</t>
        </r>
        <r>
          <rPr>
            <sz val="9"/>
            <color indexed="81"/>
            <rFont val="Tahoma"/>
            <family val="2"/>
            <charset val="204"/>
          </rPr>
          <t xml:space="preserve">
код субсидии 116 - 225/243
</t>
        </r>
      </text>
    </comment>
    <comment ref="V54" authorId="0" shapeId="0">
      <text>
        <r>
          <rPr>
            <b/>
            <sz val="9"/>
            <color indexed="81"/>
            <rFont val="Tahoma"/>
            <family val="2"/>
            <charset val="204"/>
          </rPr>
          <t>Адыкаева:</t>
        </r>
        <r>
          <rPr>
            <sz val="9"/>
            <color indexed="81"/>
            <rFont val="Tahoma"/>
            <family val="2"/>
            <charset val="204"/>
          </rPr>
          <t xml:space="preserve">
код субсидии 216 225/243
</t>
        </r>
      </text>
    </comment>
  </commentList>
</comments>
</file>

<file path=xl/comments11.xml><?xml version="1.0" encoding="utf-8"?>
<comments xmlns="http://schemas.openxmlformats.org/spreadsheetml/2006/main">
  <authors>
    <author>Адыкаева</author>
  </authors>
  <commentList>
    <comment ref="U51" authorId="0" shapeId="0">
      <text>
        <r>
          <rPr>
            <b/>
            <sz val="9"/>
            <color indexed="81"/>
            <rFont val="Tahoma"/>
            <family val="2"/>
            <charset val="204"/>
          </rPr>
          <t>Адыкаева:</t>
        </r>
        <r>
          <rPr>
            <sz val="9"/>
            <color indexed="81"/>
            <rFont val="Tahoma"/>
            <family val="2"/>
            <charset val="204"/>
          </rPr>
          <t xml:space="preserve">
код субсидии 02-01 225/243
</t>
        </r>
      </text>
    </comment>
    <comment ref="V52" authorId="0" shapeId="0">
      <text>
        <r>
          <rPr>
            <b/>
            <sz val="9"/>
            <color indexed="81"/>
            <rFont val="Tahoma"/>
            <family val="2"/>
            <charset val="204"/>
          </rPr>
          <t>Адыкаева:</t>
        </r>
        <r>
          <rPr>
            <sz val="9"/>
            <color indexed="81"/>
            <rFont val="Tahoma"/>
            <family val="2"/>
            <charset val="204"/>
          </rPr>
          <t xml:space="preserve">
код субсидии 116 - 225/243
</t>
        </r>
      </text>
    </comment>
    <comment ref="V53" authorId="0" shapeId="0">
      <text>
        <r>
          <rPr>
            <b/>
            <sz val="9"/>
            <color indexed="81"/>
            <rFont val="Tahoma"/>
            <family val="2"/>
            <charset val="204"/>
          </rPr>
          <t>Адыкаева:</t>
        </r>
        <r>
          <rPr>
            <sz val="9"/>
            <color indexed="81"/>
            <rFont val="Tahoma"/>
            <family val="2"/>
            <charset val="204"/>
          </rPr>
          <t xml:space="preserve">
код субсидии 216 225/243
</t>
        </r>
      </text>
    </comment>
    <comment ref="U54" authorId="0" shapeId="0">
      <text>
        <r>
          <rPr>
            <b/>
            <sz val="9"/>
            <color indexed="81"/>
            <rFont val="Tahoma"/>
            <family val="2"/>
            <charset val="204"/>
          </rPr>
          <t>Адыкаева:</t>
        </r>
        <r>
          <rPr>
            <sz val="9"/>
            <color indexed="81"/>
            <rFont val="Tahoma"/>
            <family val="2"/>
            <charset val="204"/>
          </rPr>
          <t xml:space="preserve">
код субсидии 02-99 и 02-14  225/244
</t>
        </r>
      </text>
    </comment>
    <comment ref="U55" authorId="0" shapeId="0">
      <text>
        <r>
          <rPr>
            <b/>
            <sz val="9"/>
            <color indexed="81"/>
            <rFont val="Tahoma"/>
            <family val="2"/>
            <charset val="204"/>
          </rPr>
          <t>Адыкаева:</t>
        </r>
        <r>
          <rPr>
            <sz val="9"/>
            <color indexed="81"/>
            <rFont val="Tahoma"/>
            <family val="2"/>
            <charset val="204"/>
          </rPr>
          <t xml:space="preserve">
02-10
</t>
        </r>
      </text>
    </comment>
    <comment ref="U56" authorId="0" shapeId="0">
      <text>
        <r>
          <rPr>
            <b/>
            <sz val="9"/>
            <color indexed="81"/>
            <rFont val="Tahoma"/>
            <family val="2"/>
            <charset val="204"/>
          </rPr>
          <t>Адыкаева:</t>
        </r>
        <r>
          <rPr>
            <sz val="9"/>
            <color indexed="81"/>
            <rFont val="Tahoma"/>
            <family val="2"/>
            <charset val="204"/>
          </rPr>
          <t xml:space="preserve">
код субсидии 02-10 226/243</t>
        </r>
      </text>
    </comment>
    <comment ref="U57" authorId="0" shapeId="0">
      <text>
        <r>
          <rPr>
            <b/>
            <sz val="9"/>
            <color indexed="81"/>
            <rFont val="Tahoma"/>
            <family val="2"/>
            <charset val="204"/>
          </rPr>
          <t>Адыкаева:</t>
        </r>
        <r>
          <rPr>
            <sz val="9"/>
            <color indexed="81"/>
            <rFont val="Tahoma"/>
            <family val="2"/>
            <charset val="204"/>
          </rPr>
          <t xml:space="preserve">
код субсидии 02-01 226/243
</t>
        </r>
      </text>
    </comment>
    <comment ref="U58" authorId="0" shapeId="0">
      <text>
        <r>
          <rPr>
            <b/>
            <sz val="9"/>
            <color indexed="81"/>
            <rFont val="Tahoma"/>
            <family val="2"/>
            <charset val="204"/>
          </rPr>
          <t>Адыкаева:</t>
        </r>
        <r>
          <rPr>
            <sz val="9"/>
            <color indexed="81"/>
            <rFont val="Tahoma"/>
            <family val="2"/>
            <charset val="204"/>
          </rPr>
          <t xml:space="preserve">
08-01 20 000 000
</t>
        </r>
      </text>
    </comment>
  </commentList>
</comments>
</file>

<file path=xl/comments12.xml><?xml version="1.0" encoding="utf-8"?>
<comments xmlns="http://schemas.openxmlformats.org/spreadsheetml/2006/main">
  <authors>
    <author>Адыкаева</author>
  </authors>
  <commentList>
    <comment ref="AB51" authorId="0" shapeId="0">
      <text>
        <r>
          <rPr>
            <b/>
            <sz val="9"/>
            <color indexed="81"/>
            <rFont val="Tahoma"/>
            <family val="2"/>
            <charset val="204"/>
          </rPr>
          <t>Адыкаева:</t>
        </r>
        <r>
          <rPr>
            <sz val="9"/>
            <color indexed="81"/>
            <rFont val="Tahoma"/>
            <family val="2"/>
            <charset val="204"/>
          </rPr>
          <t xml:space="preserve">
код субсидии 02-01 225/243
</t>
        </r>
      </text>
    </comment>
    <comment ref="AC52" authorId="0" shapeId="0">
      <text>
        <r>
          <rPr>
            <b/>
            <sz val="9"/>
            <color indexed="81"/>
            <rFont val="Tahoma"/>
            <family val="2"/>
            <charset val="204"/>
          </rPr>
          <t>Адыкаева:</t>
        </r>
        <r>
          <rPr>
            <sz val="9"/>
            <color indexed="81"/>
            <rFont val="Tahoma"/>
            <family val="2"/>
            <charset val="204"/>
          </rPr>
          <t xml:space="preserve">
код субсидии 116 - 225/243
</t>
        </r>
      </text>
    </comment>
    <comment ref="AC53" authorId="0" shapeId="0">
      <text>
        <r>
          <rPr>
            <b/>
            <sz val="9"/>
            <color indexed="81"/>
            <rFont val="Tahoma"/>
            <family val="2"/>
            <charset val="204"/>
          </rPr>
          <t>Адыкаева:</t>
        </r>
        <r>
          <rPr>
            <sz val="9"/>
            <color indexed="81"/>
            <rFont val="Tahoma"/>
            <family val="2"/>
            <charset val="204"/>
          </rPr>
          <t xml:space="preserve">
код субсидии 216 225/243
</t>
        </r>
      </text>
    </comment>
    <comment ref="AB54" authorId="0" shapeId="0">
      <text>
        <r>
          <rPr>
            <b/>
            <sz val="9"/>
            <color indexed="81"/>
            <rFont val="Tahoma"/>
            <family val="2"/>
            <charset val="204"/>
          </rPr>
          <t>Адыкаева:</t>
        </r>
        <r>
          <rPr>
            <sz val="9"/>
            <color indexed="81"/>
            <rFont val="Tahoma"/>
            <family val="2"/>
            <charset val="204"/>
          </rPr>
          <t xml:space="preserve">
код субсидии 02-99 и 02-14  225/244
</t>
        </r>
      </text>
    </comment>
    <comment ref="AB55" authorId="0" shapeId="0">
      <text>
        <r>
          <rPr>
            <b/>
            <sz val="9"/>
            <color indexed="81"/>
            <rFont val="Tahoma"/>
            <family val="2"/>
            <charset val="204"/>
          </rPr>
          <t>Адыкаева:</t>
        </r>
        <r>
          <rPr>
            <sz val="9"/>
            <color indexed="81"/>
            <rFont val="Tahoma"/>
            <family val="2"/>
            <charset val="204"/>
          </rPr>
          <t xml:space="preserve">
02-10
</t>
        </r>
      </text>
    </comment>
    <comment ref="AB56" authorId="0" shapeId="0">
      <text>
        <r>
          <rPr>
            <b/>
            <sz val="9"/>
            <color indexed="81"/>
            <rFont val="Tahoma"/>
            <family val="2"/>
            <charset val="204"/>
          </rPr>
          <t>Адыкаева:</t>
        </r>
        <r>
          <rPr>
            <sz val="9"/>
            <color indexed="81"/>
            <rFont val="Tahoma"/>
            <family val="2"/>
            <charset val="204"/>
          </rPr>
          <t xml:space="preserve">
код субсидии 02-10 226/243</t>
        </r>
      </text>
    </comment>
    <comment ref="AB57" authorId="0" shapeId="0">
      <text>
        <r>
          <rPr>
            <b/>
            <sz val="9"/>
            <color indexed="81"/>
            <rFont val="Tahoma"/>
            <family val="2"/>
            <charset val="204"/>
          </rPr>
          <t>Адыкаева:</t>
        </r>
        <r>
          <rPr>
            <sz val="9"/>
            <color indexed="81"/>
            <rFont val="Tahoma"/>
            <family val="2"/>
            <charset val="204"/>
          </rPr>
          <t xml:space="preserve">
код субсидии 02-01 226/243
</t>
        </r>
      </text>
    </comment>
    <comment ref="AB58" authorId="0" shapeId="0">
      <text>
        <r>
          <rPr>
            <b/>
            <sz val="9"/>
            <color indexed="81"/>
            <rFont val="Tahoma"/>
            <family val="2"/>
            <charset val="204"/>
          </rPr>
          <t>Адыкаева:</t>
        </r>
        <r>
          <rPr>
            <sz val="9"/>
            <color indexed="81"/>
            <rFont val="Tahoma"/>
            <family val="2"/>
            <charset val="204"/>
          </rPr>
          <t xml:space="preserve">
08-01 20 000 000
</t>
        </r>
      </text>
    </comment>
  </commentList>
</comments>
</file>

<file path=xl/comments13.xml><?xml version="1.0" encoding="utf-8"?>
<comments xmlns="http://schemas.openxmlformats.org/spreadsheetml/2006/main">
  <authors>
    <author>Адыкаева</author>
  </authors>
  <commentList>
    <comment ref="G51" authorId="0" shapeId="0">
      <text>
        <r>
          <rPr>
            <b/>
            <sz val="9"/>
            <color indexed="81"/>
            <rFont val="Tahoma"/>
            <family val="2"/>
            <charset val="204"/>
          </rPr>
          <t>Адыкаева:</t>
        </r>
        <r>
          <rPr>
            <sz val="9"/>
            <color indexed="81"/>
            <rFont val="Tahoma"/>
            <family val="2"/>
            <charset val="204"/>
          </rPr>
          <t xml:space="preserve">
код субсидии 02-01 225/243
</t>
        </r>
      </text>
    </comment>
    <comment ref="H52" authorId="0" shapeId="0">
      <text>
        <r>
          <rPr>
            <b/>
            <sz val="9"/>
            <color indexed="81"/>
            <rFont val="Tahoma"/>
            <family val="2"/>
            <charset val="204"/>
          </rPr>
          <t>Адыкаева:</t>
        </r>
        <r>
          <rPr>
            <sz val="9"/>
            <color indexed="81"/>
            <rFont val="Tahoma"/>
            <family val="2"/>
            <charset val="204"/>
          </rPr>
          <t xml:space="preserve">
код субсидии 116 - 225/243
</t>
        </r>
      </text>
    </comment>
    <comment ref="H53" authorId="0" shapeId="0">
      <text>
        <r>
          <rPr>
            <b/>
            <sz val="9"/>
            <color indexed="81"/>
            <rFont val="Tahoma"/>
            <family val="2"/>
            <charset val="204"/>
          </rPr>
          <t>Адыкаева:</t>
        </r>
        <r>
          <rPr>
            <sz val="9"/>
            <color indexed="81"/>
            <rFont val="Tahoma"/>
            <family val="2"/>
            <charset val="204"/>
          </rPr>
          <t xml:space="preserve">
код субсидии 216 225/243
</t>
        </r>
      </text>
    </comment>
    <comment ref="G54" authorId="0" shapeId="0">
      <text>
        <r>
          <rPr>
            <b/>
            <sz val="9"/>
            <color indexed="81"/>
            <rFont val="Tahoma"/>
            <family val="2"/>
            <charset val="204"/>
          </rPr>
          <t>Адыкаева:</t>
        </r>
        <r>
          <rPr>
            <sz val="9"/>
            <color indexed="81"/>
            <rFont val="Tahoma"/>
            <family val="2"/>
            <charset val="204"/>
          </rPr>
          <t xml:space="preserve">
код субсидии 02-99 и 02-14  225/244
</t>
        </r>
      </text>
    </comment>
    <comment ref="G55" authorId="0" shapeId="0">
      <text>
        <r>
          <rPr>
            <b/>
            <sz val="9"/>
            <color indexed="81"/>
            <rFont val="Tahoma"/>
            <family val="2"/>
            <charset val="204"/>
          </rPr>
          <t>Адыкаева:</t>
        </r>
        <r>
          <rPr>
            <sz val="9"/>
            <color indexed="81"/>
            <rFont val="Tahoma"/>
            <family val="2"/>
            <charset val="204"/>
          </rPr>
          <t xml:space="preserve">
02-10
</t>
        </r>
      </text>
    </comment>
    <comment ref="G56" authorId="0" shapeId="0">
      <text>
        <r>
          <rPr>
            <b/>
            <sz val="9"/>
            <color indexed="81"/>
            <rFont val="Tahoma"/>
            <family val="2"/>
            <charset val="204"/>
          </rPr>
          <t>Адыкаева:</t>
        </r>
        <r>
          <rPr>
            <sz val="9"/>
            <color indexed="81"/>
            <rFont val="Tahoma"/>
            <family val="2"/>
            <charset val="204"/>
          </rPr>
          <t xml:space="preserve">
код субсидии 02-10 226/243</t>
        </r>
      </text>
    </comment>
    <comment ref="G57" authorId="0" shapeId="0">
      <text>
        <r>
          <rPr>
            <b/>
            <sz val="9"/>
            <color indexed="81"/>
            <rFont val="Tahoma"/>
            <family val="2"/>
            <charset val="204"/>
          </rPr>
          <t>Адыкаева:</t>
        </r>
        <r>
          <rPr>
            <sz val="9"/>
            <color indexed="81"/>
            <rFont val="Tahoma"/>
            <family val="2"/>
            <charset val="204"/>
          </rPr>
          <t xml:space="preserve">
код субсидии 02-01 226/243
</t>
        </r>
      </text>
    </comment>
    <comment ref="G58" authorId="0" shapeId="0">
      <text>
        <r>
          <rPr>
            <b/>
            <sz val="9"/>
            <color indexed="81"/>
            <rFont val="Tahoma"/>
            <family val="2"/>
            <charset val="204"/>
          </rPr>
          <t>Адыкаева:</t>
        </r>
        <r>
          <rPr>
            <sz val="9"/>
            <color indexed="81"/>
            <rFont val="Tahoma"/>
            <family val="2"/>
            <charset val="204"/>
          </rPr>
          <t xml:space="preserve">
08-01 20 000 000
</t>
        </r>
      </text>
    </comment>
  </commentList>
</comments>
</file>

<file path=xl/comments14.xml><?xml version="1.0" encoding="utf-8"?>
<comments xmlns="http://schemas.openxmlformats.org/spreadsheetml/2006/main">
  <authors>
    <author>Адыкаева</author>
  </authors>
  <commentList>
    <comment ref="G51" authorId="0" shapeId="0">
      <text>
        <r>
          <rPr>
            <b/>
            <sz val="9"/>
            <color indexed="81"/>
            <rFont val="Tahoma"/>
            <family val="2"/>
            <charset val="204"/>
          </rPr>
          <t>Адыкаева:</t>
        </r>
        <r>
          <rPr>
            <sz val="9"/>
            <color indexed="81"/>
            <rFont val="Tahoma"/>
            <family val="2"/>
            <charset val="204"/>
          </rPr>
          <t xml:space="preserve">
код субсидии 02-01 225/243
</t>
        </r>
      </text>
    </comment>
    <comment ref="H52" authorId="0" shapeId="0">
      <text>
        <r>
          <rPr>
            <b/>
            <sz val="9"/>
            <color indexed="81"/>
            <rFont val="Tahoma"/>
            <family val="2"/>
            <charset val="204"/>
          </rPr>
          <t>Адыкаева:</t>
        </r>
        <r>
          <rPr>
            <sz val="9"/>
            <color indexed="81"/>
            <rFont val="Tahoma"/>
            <family val="2"/>
            <charset val="204"/>
          </rPr>
          <t xml:space="preserve">
код субсидии 116 - 225/243
</t>
        </r>
      </text>
    </comment>
    <comment ref="H53" authorId="0" shapeId="0">
      <text>
        <r>
          <rPr>
            <b/>
            <sz val="9"/>
            <color indexed="81"/>
            <rFont val="Tahoma"/>
            <family val="2"/>
            <charset val="204"/>
          </rPr>
          <t>Адыкаева:</t>
        </r>
        <r>
          <rPr>
            <sz val="9"/>
            <color indexed="81"/>
            <rFont val="Tahoma"/>
            <family val="2"/>
            <charset val="204"/>
          </rPr>
          <t xml:space="preserve">
код субсидии 216 225/243
</t>
        </r>
      </text>
    </comment>
    <comment ref="G54" authorId="0" shapeId="0">
      <text>
        <r>
          <rPr>
            <b/>
            <sz val="9"/>
            <color indexed="81"/>
            <rFont val="Tahoma"/>
            <family val="2"/>
            <charset val="204"/>
          </rPr>
          <t>Адыкаева:</t>
        </r>
        <r>
          <rPr>
            <sz val="9"/>
            <color indexed="81"/>
            <rFont val="Tahoma"/>
            <family val="2"/>
            <charset val="204"/>
          </rPr>
          <t xml:space="preserve">
код субсидии 02-99 и 02-14  225/244
</t>
        </r>
      </text>
    </comment>
    <comment ref="G55" authorId="0" shapeId="0">
      <text>
        <r>
          <rPr>
            <b/>
            <sz val="9"/>
            <color indexed="81"/>
            <rFont val="Tahoma"/>
            <family val="2"/>
            <charset val="204"/>
          </rPr>
          <t>Адыкаева:</t>
        </r>
        <r>
          <rPr>
            <sz val="9"/>
            <color indexed="81"/>
            <rFont val="Tahoma"/>
            <family val="2"/>
            <charset val="204"/>
          </rPr>
          <t xml:space="preserve">
02-10
</t>
        </r>
      </text>
    </comment>
    <comment ref="G56" authorId="0" shapeId="0">
      <text>
        <r>
          <rPr>
            <b/>
            <sz val="9"/>
            <color indexed="81"/>
            <rFont val="Tahoma"/>
            <family val="2"/>
            <charset val="204"/>
          </rPr>
          <t>Адыкаева:</t>
        </r>
        <r>
          <rPr>
            <sz val="9"/>
            <color indexed="81"/>
            <rFont val="Tahoma"/>
            <family val="2"/>
            <charset val="204"/>
          </rPr>
          <t xml:space="preserve">
код субсидии 02-10 226/243</t>
        </r>
      </text>
    </comment>
    <comment ref="G57" authorId="0" shapeId="0">
      <text>
        <r>
          <rPr>
            <b/>
            <sz val="9"/>
            <color indexed="81"/>
            <rFont val="Tahoma"/>
            <family val="2"/>
            <charset val="204"/>
          </rPr>
          <t>Адыкаева:</t>
        </r>
        <r>
          <rPr>
            <sz val="9"/>
            <color indexed="81"/>
            <rFont val="Tahoma"/>
            <family val="2"/>
            <charset val="204"/>
          </rPr>
          <t xml:space="preserve">
код субсидии 02-01 226/243
</t>
        </r>
      </text>
    </comment>
    <comment ref="G58" authorId="0" shapeId="0">
      <text>
        <r>
          <rPr>
            <b/>
            <sz val="9"/>
            <color indexed="81"/>
            <rFont val="Tahoma"/>
            <family val="2"/>
            <charset val="204"/>
          </rPr>
          <t>Адыкаева:</t>
        </r>
        <r>
          <rPr>
            <sz val="9"/>
            <color indexed="81"/>
            <rFont val="Tahoma"/>
            <family val="2"/>
            <charset val="204"/>
          </rPr>
          <t xml:space="preserve">
08-01 20 000 000
</t>
        </r>
      </text>
    </comment>
  </commentList>
</comments>
</file>

<file path=xl/comments15.xml><?xml version="1.0" encoding="utf-8"?>
<comments xmlns="http://schemas.openxmlformats.org/spreadsheetml/2006/main">
  <authors>
    <author>Адыкаева</author>
  </authors>
  <commentList>
    <comment ref="U51" authorId="0" shapeId="0">
      <text>
        <r>
          <rPr>
            <b/>
            <sz val="9"/>
            <color indexed="81"/>
            <rFont val="Tahoma"/>
            <family val="2"/>
            <charset val="204"/>
          </rPr>
          <t>Адыкаева:</t>
        </r>
        <r>
          <rPr>
            <sz val="9"/>
            <color indexed="81"/>
            <rFont val="Tahoma"/>
            <family val="2"/>
            <charset val="204"/>
          </rPr>
          <t xml:space="preserve">
код субсидии 02-01 225/243
</t>
        </r>
      </text>
    </comment>
    <comment ref="V52" authorId="0" shapeId="0">
      <text>
        <r>
          <rPr>
            <b/>
            <sz val="9"/>
            <color indexed="81"/>
            <rFont val="Tahoma"/>
            <family val="2"/>
            <charset val="204"/>
          </rPr>
          <t>Адыкаева:</t>
        </r>
        <r>
          <rPr>
            <sz val="9"/>
            <color indexed="81"/>
            <rFont val="Tahoma"/>
            <family val="2"/>
            <charset val="204"/>
          </rPr>
          <t xml:space="preserve">
код субсидии 116 - 225/243
</t>
        </r>
      </text>
    </comment>
    <comment ref="V53" authorId="0" shapeId="0">
      <text>
        <r>
          <rPr>
            <b/>
            <sz val="9"/>
            <color indexed="81"/>
            <rFont val="Tahoma"/>
            <family val="2"/>
            <charset val="204"/>
          </rPr>
          <t>Адыкаева:</t>
        </r>
        <r>
          <rPr>
            <sz val="9"/>
            <color indexed="81"/>
            <rFont val="Tahoma"/>
            <family val="2"/>
            <charset val="204"/>
          </rPr>
          <t xml:space="preserve">
код субсидии 216 225/243
</t>
        </r>
      </text>
    </comment>
    <comment ref="U54" authorId="0" shapeId="0">
      <text>
        <r>
          <rPr>
            <b/>
            <sz val="9"/>
            <color indexed="81"/>
            <rFont val="Tahoma"/>
            <family val="2"/>
            <charset val="204"/>
          </rPr>
          <t>Адыкаева:</t>
        </r>
        <r>
          <rPr>
            <sz val="9"/>
            <color indexed="81"/>
            <rFont val="Tahoma"/>
            <family val="2"/>
            <charset val="204"/>
          </rPr>
          <t xml:space="preserve">
код субсидии 02-99 и 02-14  225/244
</t>
        </r>
      </text>
    </comment>
    <comment ref="U55" authorId="0" shapeId="0">
      <text>
        <r>
          <rPr>
            <b/>
            <sz val="9"/>
            <color indexed="81"/>
            <rFont val="Tahoma"/>
            <family val="2"/>
            <charset val="204"/>
          </rPr>
          <t>Адыкаева:</t>
        </r>
        <r>
          <rPr>
            <sz val="9"/>
            <color indexed="81"/>
            <rFont val="Tahoma"/>
            <family val="2"/>
            <charset val="204"/>
          </rPr>
          <t xml:space="preserve">
02-10
</t>
        </r>
      </text>
    </comment>
    <comment ref="U56" authorId="0" shapeId="0">
      <text>
        <r>
          <rPr>
            <b/>
            <sz val="9"/>
            <color indexed="81"/>
            <rFont val="Tahoma"/>
            <family val="2"/>
            <charset val="204"/>
          </rPr>
          <t>Адыкаева:</t>
        </r>
        <r>
          <rPr>
            <sz val="9"/>
            <color indexed="81"/>
            <rFont val="Tahoma"/>
            <family val="2"/>
            <charset val="204"/>
          </rPr>
          <t xml:space="preserve">
код субсидии 02-10 226/243</t>
        </r>
      </text>
    </comment>
    <comment ref="U57" authorId="0" shapeId="0">
      <text>
        <r>
          <rPr>
            <b/>
            <sz val="9"/>
            <color indexed="81"/>
            <rFont val="Tahoma"/>
            <family val="2"/>
            <charset val="204"/>
          </rPr>
          <t>Адыкаева:</t>
        </r>
        <r>
          <rPr>
            <sz val="9"/>
            <color indexed="81"/>
            <rFont val="Tahoma"/>
            <family val="2"/>
            <charset val="204"/>
          </rPr>
          <t xml:space="preserve">
код субсидии 02-01 226/243
</t>
        </r>
      </text>
    </comment>
    <comment ref="U58" authorId="0" shapeId="0">
      <text>
        <r>
          <rPr>
            <b/>
            <sz val="9"/>
            <color indexed="81"/>
            <rFont val="Tahoma"/>
            <family val="2"/>
            <charset val="204"/>
          </rPr>
          <t>Адыкаева:</t>
        </r>
        <r>
          <rPr>
            <sz val="9"/>
            <color indexed="81"/>
            <rFont val="Tahoma"/>
            <family val="2"/>
            <charset val="204"/>
          </rPr>
          <t xml:space="preserve">
08-01 20 000 000
</t>
        </r>
      </text>
    </comment>
  </commentList>
</comments>
</file>

<file path=xl/comments2.xml><?xml version="1.0" encoding="utf-8"?>
<comments xmlns="http://schemas.openxmlformats.org/spreadsheetml/2006/main">
  <authors>
    <author>Адыкаева</author>
  </authors>
  <commentList>
    <comment ref="V53" authorId="0" shapeId="0">
      <text>
        <r>
          <rPr>
            <b/>
            <sz val="9"/>
            <color indexed="81"/>
            <rFont val="Tahoma"/>
            <family val="2"/>
            <charset val="204"/>
          </rPr>
          <t>Адыкаева:</t>
        </r>
        <r>
          <rPr>
            <sz val="9"/>
            <color indexed="81"/>
            <rFont val="Tahoma"/>
            <family val="2"/>
            <charset val="204"/>
          </rPr>
          <t xml:space="preserve">
код субсидии 116 - 225/243
</t>
        </r>
      </text>
    </comment>
    <comment ref="V54" authorId="0" shapeId="0">
      <text>
        <r>
          <rPr>
            <b/>
            <sz val="9"/>
            <color indexed="81"/>
            <rFont val="Tahoma"/>
            <family val="2"/>
            <charset val="204"/>
          </rPr>
          <t>Адыкаева:</t>
        </r>
        <r>
          <rPr>
            <sz val="9"/>
            <color indexed="81"/>
            <rFont val="Tahoma"/>
            <family val="2"/>
            <charset val="204"/>
          </rPr>
          <t xml:space="preserve">
код субсидии 216 225/243
</t>
        </r>
      </text>
    </comment>
  </commentList>
</comments>
</file>

<file path=xl/comments3.xml><?xml version="1.0" encoding="utf-8"?>
<comments xmlns="http://schemas.openxmlformats.org/spreadsheetml/2006/main">
  <authors>
    <author>Адыкаева</author>
  </authors>
  <commentList>
    <comment ref="V52" authorId="0" shapeId="0">
      <text>
        <r>
          <rPr>
            <b/>
            <sz val="9"/>
            <color indexed="81"/>
            <rFont val="Tahoma"/>
            <family val="2"/>
            <charset val="204"/>
          </rPr>
          <t>Адыкаева:</t>
        </r>
        <r>
          <rPr>
            <sz val="9"/>
            <color indexed="81"/>
            <rFont val="Tahoma"/>
            <family val="2"/>
            <charset val="204"/>
          </rPr>
          <t xml:space="preserve">
код субсидии 116 - 225/243
</t>
        </r>
      </text>
    </comment>
    <comment ref="V53" authorId="0" shapeId="0">
      <text>
        <r>
          <rPr>
            <b/>
            <sz val="9"/>
            <color indexed="81"/>
            <rFont val="Tahoma"/>
            <family val="2"/>
            <charset val="204"/>
          </rPr>
          <t>Адыкаева:</t>
        </r>
        <r>
          <rPr>
            <sz val="9"/>
            <color indexed="81"/>
            <rFont val="Tahoma"/>
            <family val="2"/>
            <charset val="204"/>
          </rPr>
          <t xml:space="preserve">
код субсидии 216 225/243
</t>
        </r>
      </text>
    </comment>
  </commentList>
</comments>
</file>

<file path=xl/comments4.xml><?xml version="1.0" encoding="utf-8"?>
<comments xmlns="http://schemas.openxmlformats.org/spreadsheetml/2006/main">
  <authors>
    <author>Адыкаева</author>
  </authors>
  <commentList>
    <comment ref="K51" authorId="0" shapeId="0">
      <text>
        <r>
          <rPr>
            <b/>
            <sz val="9"/>
            <color indexed="81"/>
            <rFont val="Tahoma"/>
            <family val="2"/>
            <charset val="204"/>
          </rPr>
          <t>Адыкаева:</t>
        </r>
        <r>
          <rPr>
            <sz val="9"/>
            <color indexed="81"/>
            <rFont val="Tahoma"/>
            <family val="2"/>
            <charset val="204"/>
          </rPr>
          <t xml:space="preserve">
код субсидии 02-01 225/243
</t>
        </r>
      </text>
    </comment>
    <comment ref="L52" authorId="0" shapeId="0">
      <text>
        <r>
          <rPr>
            <b/>
            <sz val="9"/>
            <color indexed="81"/>
            <rFont val="Tahoma"/>
            <family val="2"/>
            <charset val="204"/>
          </rPr>
          <t>Адыкаева:</t>
        </r>
        <r>
          <rPr>
            <sz val="9"/>
            <color indexed="81"/>
            <rFont val="Tahoma"/>
            <family val="2"/>
            <charset val="204"/>
          </rPr>
          <t xml:space="preserve">
код субсидии 116 - 225/243
</t>
        </r>
      </text>
    </comment>
    <comment ref="L53" authorId="0" shapeId="0">
      <text>
        <r>
          <rPr>
            <b/>
            <sz val="9"/>
            <color indexed="81"/>
            <rFont val="Tahoma"/>
            <family val="2"/>
            <charset val="204"/>
          </rPr>
          <t>Адыкаева:</t>
        </r>
        <r>
          <rPr>
            <sz val="9"/>
            <color indexed="81"/>
            <rFont val="Tahoma"/>
            <family val="2"/>
            <charset val="204"/>
          </rPr>
          <t xml:space="preserve">
код субсидии 216 225/243
</t>
        </r>
      </text>
    </comment>
    <comment ref="K54" authorId="0" shapeId="0">
      <text>
        <r>
          <rPr>
            <b/>
            <sz val="9"/>
            <color indexed="81"/>
            <rFont val="Tahoma"/>
            <family val="2"/>
            <charset val="204"/>
          </rPr>
          <t>Адыкаева:</t>
        </r>
        <r>
          <rPr>
            <sz val="9"/>
            <color indexed="81"/>
            <rFont val="Tahoma"/>
            <family val="2"/>
            <charset val="204"/>
          </rPr>
          <t xml:space="preserve">
код субсидии 02-99 и 02-14  225/244
</t>
        </r>
      </text>
    </comment>
    <comment ref="K55" authorId="0" shapeId="0">
      <text>
        <r>
          <rPr>
            <b/>
            <sz val="9"/>
            <color indexed="81"/>
            <rFont val="Tahoma"/>
            <family val="2"/>
            <charset val="204"/>
          </rPr>
          <t>Адыкаева:</t>
        </r>
        <r>
          <rPr>
            <sz val="9"/>
            <color indexed="81"/>
            <rFont val="Tahoma"/>
            <family val="2"/>
            <charset val="204"/>
          </rPr>
          <t xml:space="preserve">
02-10
</t>
        </r>
      </text>
    </comment>
    <comment ref="K56" authorId="0" shapeId="0">
      <text>
        <r>
          <rPr>
            <b/>
            <sz val="9"/>
            <color indexed="81"/>
            <rFont val="Tahoma"/>
            <family val="2"/>
            <charset val="204"/>
          </rPr>
          <t>Адыкаева:</t>
        </r>
        <r>
          <rPr>
            <sz val="9"/>
            <color indexed="81"/>
            <rFont val="Tahoma"/>
            <family val="2"/>
            <charset val="204"/>
          </rPr>
          <t xml:space="preserve">
код субсидии 02-10 226/243</t>
        </r>
      </text>
    </comment>
    <comment ref="K57" authorId="0" shapeId="0">
      <text>
        <r>
          <rPr>
            <b/>
            <sz val="9"/>
            <color indexed="81"/>
            <rFont val="Tahoma"/>
            <family val="2"/>
            <charset val="204"/>
          </rPr>
          <t>Адыкаева:</t>
        </r>
        <r>
          <rPr>
            <sz val="9"/>
            <color indexed="81"/>
            <rFont val="Tahoma"/>
            <family val="2"/>
            <charset val="204"/>
          </rPr>
          <t xml:space="preserve">
код субсидии 02-01 226/243
</t>
        </r>
      </text>
    </comment>
    <comment ref="K58" authorId="0" shapeId="0">
      <text>
        <r>
          <rPr>
            <b/>
            <sz val="9"/>
            <color indexed="81"/>
            <rFont val="Tahoma"/>
            <family val="2"/>
            <charset val="204"/>
          </rPr>
          <t>Адыкаева:</t>
        </r>
        <r>
          <rPr>
            <sz val="9"/>
            <color indexed="81"/>
            <rFont val="Tahoma"/>
            <family val="2"/>
            <charset val="204"/>
          </rPr>
          <t xml:space="preserve">
08-01 20 000 000
</t>
        </r>
      </text>
    </comment>
  </commentList>
</comments>
</file>

<file path=xl/comments5.xml><?xml version="1.0" encoding="utf-8"?>
<comments xmlns="http://schemas.openxmlformats.org/spreadsheetml/2006/main">
  <authors>
    <author>Адыкаева</author>
  </authors>
  <commentList>
    <comment ref="V53" authorId="0" shapeId="0">
      <text>
        <r>
          <rPr>
            <b/>
            <sz val="9"/>
            <color indexed="81"/>
            <rFont val="Tahoma"/>
            <family val="2"/>
            <charset val="204"/>
          </rPr>
          <t>Адыкаева:</t>
        </r>
        <r>
          <rPr>
            <sz val="9"/>
            <color indexed="81"/>
            <rFont val="Tahoma"/>
            <family val="2"/>
            <charset val="204"/>
          </rPr>
          <t xml:space="preserve">
код субсидии 116 - 225/243
</t>
        </r>
      </text>
    </comment>
    <comment ref="V54" authorId="0" shapeId="0">
      <text>
        <r>
          <rPr>
            <b/>
            <sz val="9"/>
            <color indexed="81"/>
            <rFont val="Tahoma"/>
            <family val="2"/>
            <charset val="204"/>
          </rPr>
          <t>Адыкаева:</t>
        </r>
        <r>
          <rPr>
            <sz val="9"/>
            <color indexed="81"/>
            <rFont val="Tahoma"/>
            <family val="2"/>
            <charset val="204"/>
          </rPr>
          <t xml:space="preserve">
код субсидии 216 225/243
</t>
        </r>
      </text>
    </comment>
  </commentList>
</comments>
</file>

<file path=xl/comments6.xml><?xml version="1.0" encoding="utf-8"?>
<comments xmlns="http://schemas.openxmlformats.org/spreadsheetml/2006/main">
  <authors>
    <author>Адыкаева</author>
  </authors>
  <commentList>
    <comment ref="V53" authorId="0" shapeId="0">
      <text>
        <r>
          <rPr>
            <b/>
            <sz val="9"/>
            <color indexed="81"/>
            <rFont val="Tahoma"/>
            <family val="2"/>
            <charset val="204"/>
          </rPr>
          <t>Адыкаева:</t>
        </r>
        <r>
          <rPr>
            <sz val="9"/>
            <color indexed="81"/>
            <rFont val="Tahoma"/>
            <family val="2"/>
            <charset val="204"/>
          </rPr>
          <t xml:space="preserve">
код субсидии 116 - 225/243
</t>
        </r>
      </text>
    </comment>
    <comment ref="V54" authorId="0" shapeId="0">
      <text>
        <r>
          <rPr>
            <b/>
            <sz val="9"/>
            <color indexed="81"/>
            <rFont val="Tahoma"/>
            <family val="2"/>
            <charset val="204"/>
          </rPr>
          <t>Адыкаева:</t>
        </r>
        <r>
          <rPr>
            <sz val="9"/>
            <color indexed="81"/>
            <rFont val="Tahoma"/>
            <family val="2"/>
            <charset val="204"/>
          </rPr>
          <t xml:space="preserve">
код субсидии 216 225/243
</t>
        </r>
      </text>
    </comment>
  </commentList>
</comments>
</file>

<file path=xl/comments7.xml><?xml version="1.0" encoding="utf-8"?>
<comments xmlns="http://schemas.openxmlformats.org/spreadsheetml/2006/main">
  <authors>
    <author>Адыкаева</author>
  </authors>
  <commentList>
    <comment ref="V53" authorId="0" shapeId="0">
      <text>
        <r>
          <rPr>
            <b/>
            <sz val="9"/>
            <color indexed="81"/>
            <rFont val="Tahoma"/>
            <family val="2"/>
            <charset val="204"/>
          </rPr>
          <t>Адыкаева:</t>
        </r>
        <r>
          <rPr>
            <sz val="9"/>
            <color indexed="81"/>
            <rFont val="Tahoma"/>
            <family val="2"/>
            <charset val="204"/>
          </rPr>
          <t xml:space="preserve">
код субсидии 116 - 225/243
</t>
        </r>
      </text>
    </comment>
    <comment ref="V54" authorId="0" shapeId="0">
      <text>
        <r>
          <rPr>
            <b/>
            <sz val="9"/>
            <color indexed="81"/>
            <rFont val="Tahoma"/>
            <family val="2"/>
            <charset val="204"/>
          </rPr>
          <t>Адыкаева:</t>
        </r>
        <r>
          <rPr>
            <sz val="9"/>
            <color indexed="81"/>
            <rFont val="Tahoma"/>
            <family val="2"/>
            <charset val="204"/>
          </rPr>
          <t xml:space="preserve">
код субсидии 216 225/243
</t>
        </r>
      </text>
    </comment>
  </commentList>
</comments>
</file>

<file path=xl/comments8.xml><?xml version="1.0" encoding="utf-8"?>
<comments xmlns="http://schemas.openxmlformats.org/spreadsheetml/2006/main">
  <authors>
    <author>Адыкаева</author>
  </authors>
  <commentList>
    <comment ref="AA60" authorId="0" shapeId="0">
      <text>
        <r>
          <rPr>
            <b/>
            <sz val="9"/>
            <color indexed="81"/>
            <rFont val="Tahoma"/>
            <family val="2"/>
            <charset val="204"/>
          </rPr>
          <t>Адыкаева:</t>
        </r>
        <r>
          <rPr>
            <sz val="9"/>
            <color indexed="81"/>
            <rFont val="Tahoma"/>
            <family val="2"/>
            <charset val="204"/>
          </rPr>
          <t xml:space="preserve">
код субсидии 116 - 225/243
</t>
        </r>
      </text>
    </comment>
    <comment ref="AA61" authorId="0" shapeId="0">
      <text>
        <r>
          <rPr>
            <b/>
            <sz val="9"/>
            <color indexed="81"/>
            <rFont val="Tahoma"/>
            <family val="2"/>
            <charset val="204"/>
          </rPr>
          <t>Адыкаева:</t>
        </r>
        <r>
          <rPr>
            <sz val="9"/>
            <color indexed="81"/>
            <rFont val="Tahoma"/>
            <family val="2"/>
            <charset val="204"/>
          </rPr>
          <t xml:space="preserve">
код субсидии 216 225/243
</t>
        </r>
      </text>
    </comment>
  </commentList>
</comments>
</file>

<file path=xl/comments9.xml><?xml version="1.0" encoding="utf-8"?>
<comments xmlns="http://schemas.openxmlformats.org/spreadsheetml/2006/main">
  <authors>
    <author>Адыкаева</author>
  </authors>
  <commentList>
    <comment ref="AF54" authorId="0" shapeId="0">
      <text>
        <r>
          <rPr>
            <b/>
            <sz val="9"/>
            <color indexed="81"/>
            <rFont val="Tahoma"/>
            <family val="2"/>
            <charset val="204"/>
          </rPr>
          <t>Адыкаева:</t>
        </r>
        <r>
          <rPr>
            <sz val="9"/>
            <color indexed="81"/>
            <rFont val="Tahoma"/>
            <family val="2"/>
            <charset val="204"/>
          </rPr>
          <t xml:space="preserve">
код субсидии 116 - 225/243
</t>
        </r>
      </text>
    </comment>
    <comment ref="AF55" authorId="0" shapeId="0">
      <text>
        <r>
          <rPr>
            <b/>
            <sz val="9"/>
            <color indexed="81"/>
            <rFont val="Tahoma"/>
            <family val="2"/>
            <charset val="204"/>
          </rPr>
          <t>Адыкаева:</t>
        </r>
        <r>
          <rPr>
            <sz val="9"/>
            <color indexed="81"/>
            <rFont val="Tahoma"/>
            <family val="2"/>
            <charset val="204"/>
          </rPr>
          <t xml:space="preserve">
код субсидии 216 225/243
</t>
        </r>
      </text>
    </comment>
  </commentList>
</comments>
</file>

<file path=xl/sharedStrings.xml><?xml version="1.0" encoding="utf-8"?>
<sst xmlns="http://schemas.openxmlformats.org/spreadsheetml/2006/main" count="5754" uniqueCount="1001">
  <si>
    <t>УТВЕРЖДАЮ</t>
  </si>
  <si>
    <t>Директор  Административного департамента</t>
  </si>
  <si>
    <t>Министерства финансов Российской Федерации</t>
  </si>
  <si>
    <t>(наименование должности лица, утверждающего документ)</t>
  </si>
  <si>
    <t xml:space="preserve">               В.И. Бродский</t>
  </si>
  <si>
    <t xml:space="preserve">                                                                    (подпись)                             </t>
  </si>
  <si>
    <t xml:space="preserve">  (расшифровка подписи)</t>
  </si>
  <si>
    <r>
      <t>"</t>
    </r>
    <r>
      <rPr>
        <u/>
        <sz val="14"/>
        <rFont val="Times New Roman"/>
        <family val="1"/>
        <charset val="204"/>
      </rPr>
      <t xml:space="preserve">        </t>
    </r>
    <r>
      <rPr>
        <sz val="14"/>
        <rFont val="Times New Roman"/>
        <family val="1"/>
        <charset val="204"/>
      </rPr>
      <t>"</t>
    </r>
    <r>
      <rPr>
        <u/>
        <sz val="14"/>
        <rFont val="Times New Roman"/>
        <family val="1"/>
        <charset val="204"/>
      </rPr>
      <t xml:space="preserve">                         </t>
    </r>
    <r>
      <rPr>
        <sz val="14"/>
        <rFont val="Times New Roman"/>
        <family val="1"/>
        <charset val="204"/>
      </rPr>
      <t>20</t>
    </r>
    <r>
      <rPr>
        <u/>
        <sz val="14"/>
        <rFont val="Times New Roman"/>
        <family val="1"/>
        <charset val="204"/>
      </rPr>
      <t xml:space="preserve">      </t>
    </r>
    <r>
      <rPr>
        <sz val="14"/>
        <rFont val="Times New Roman"/>
        <family val="1"/>
        <charset val="204"/>
      </rPr>
      <t>г.</t>
    </r>
  </si>
  <si>
    <t>План финансово-хозяйственной деятельности</t>
  </si>
  <si>
    <t>КОДЫ</t>
  </si>
  <si>
    <t>Форма по КФД</t>
  </si>
  <si>
    <t>"__" ________________ 20__ г.</t>
  </si>
  <si>
    <t>Дата</t>
  </si>
  <si>
    <t>Наименование государственного бюджетного учреждения (подразделения)</t>
  </si>
  <si>
    <t xml:space="preserve">  Федеральное государственное  бюджетное учреждение   "Многофункциональный комплекс   Министерства финансов Российской Федерации"</t>
  </si>
  <si>
    <t>по ОКПО</t>
  </si>
  <si>
    <t>Код по реестру участников бюджетного процесса, а также юридических лиц, не являющихся участниками бюджетного процесса</t>
  </si>
  <si>
    <t>Идентификационный номер налогоплательщика (ИНН)</t>
  </si>
  <si>
    <t>Код причины постановки на учет (КПП)</t>
  </si>
  <si>
    <t>Наименование органа, осуществляющего функции и полномочия учредителя</t>
  </si>
  <si>
    <t xml:space="preserve"> Министерство финансов Российской Федерации</t>
  </si>
  <si>
    <t>Глава по БК</t>
  </si>
  <si>
    <t>Адрес фактического местонахождения государственного бюджетного учреждения (подразделения)</t>
  </si>
  <si>
    <t>г.Домодедово Московской области Каширское шоссе, д.112</t>
  </si>
  <si>
    <t>по ОКАТО</t>
  </si>
  <si>
    <t>Единица измерения: руб.</t>
  </si>
  <si>
    <t>по ОКЕИ</t>
  </si>
  <si>
    <t xml:space="preserve">                  (подпись)                                         (расшифровка подписи)</t>
  </si>
  <si>
    <r>
      <t xml:space="preserve">                   </t>
    </r>
    <r>
      <rPr>
        <sz val="11"/>
        <rFont val="Times New Roman"/>
        <family val="1"/>
        <charset val="204"/>
      </rPr>
      <t>.</t>
    </r>
  </si>
  <si>
    <r>
      <t>"</t>
    </r>
    <r>
      <rPr>
        <u/>
        <sz val="11"/>
        <rFont val="Times New Roman"/>
        <family val="1"/>
        <charset val="204"/>
      </rPr>
      <t xml:space="preserve">        </t>
    </r>
    <r>
      <rPr>
        <sz val="11"/>
        <rFont val="Times New Roman"/>
        <family val="1"/>
        <charset val="204"/>
      </rPr>
      <t>"</t>
    </r>
    <r>
      <rPr>
        <u/>
        <sz val="11"/>
        <rFont val="Times New Roman"/>
        <family val="1"/>
        <charset val="204"/>
      </rPr>
      <t xml:space="preserve">                           </t>
    </r>
    <r>
      <rPr>
        <sz val="11"/>
        <rFont val="Times New Roman"/>
        <family val="1"/>
        <charset val="204"/>
      </rPr>
      <t>20</t>
    </r>
    <r>
      <rPr>
        <u/>
        <sz val="11"/>
        <rFont val="Times New Roman"/>
        <family val="1"/>
        <charset val="204"/>
      </rPr>
      <t xml:space="preserve">      </t>
    </r>
    <r>
      <rPr>
        <sz val="11"/>
        <rFont val="Times New Roman"/>
        <family val="1"/>
        <charset val="204"/>
      </rPr>
      <t>г.</t>
    </r>
  </si>
  <si>
    <t>План финансово - хозяйственной деятельности</t>
  </si>
  <si>
    <t>на 2016 год</t>
  </si>
  <si>
    <t xml:space="preserve">                   "____" __________  20___г.</t>
  </si>
  <si>
    <t>Наименование государственного</t>
  </si>
  <si>
    <t xml:space="preserve">  Федеральное государственное</t>
  </si>
  <si>
    <t>02250416</t>
  </si>
  <si>
    <t>бюджетного учреждения</t>
  </si>
  <si>
    <t xml:space="preserve">   бюджетное учреждение</t>
  </si>
  <si>
    <t xml:space="preserve">                  " Многофункциональный комплекс </t>
  </si>
  <si>
    <t xml:space="preserve">      Министерства финансов Российской Федерации"</t>
  </si>
  <si>
    <t>ИНН  5009067866; КПП  500901001</t>
  </si>
  <si>
    <t>Наименование органа, осуществляющего</t>
  </si>
  <si>
    <t xml:space="preserve">     Министерство финансов </t>
  </si>
  <si>
    <t>функции и полномочия учредителя</t>
  </si>
  <si>
    <t xml:space="preserve">     Российской Федерации</t>
  </si>
  <si>
    <t>Адрес фактического местонахождения</t>
  </si>
  <si>
    <t xml:space="preserve">     г.Домодедово</t>
  </si>
  <si>
    <t>государственного бюджетного</t>
  </si>
  <si>
    <t xml:space="preserve">     Московской области</t>
  </si>
  <si>
    <t xml:space="preserve">учреждения </t>
  </si>
  <si>
    <t xml:space="preserve">     Каширское шоссе, д.112</t>
  </si>
  <si>
    <t>I. Сведения о деятельности государственного бюджетного учреждения</t>
  </si>
  <si>
    <t>1.1. Цели деятельности государственного бюджетного учреждения:</t>
  </si>
  <si>
    <r>
      <rPr>
        <b/>
        <sz val="11"/>
        <rFont val="Times New Roman"/>
        <family val="1"/>
        <charset val="204"/>
      </rPr>
      <t>1.1.1.</t>
    </r>
    <r>
      <rPr>
        <sz val="11"/>
        <rFont val="Times New Roman"/>
        <family val="1"/>
        <charset val="204"/>
      </rPr>
      <t xml:space="preserve">    - профилактика заболеваний, оздоровление, лечение и реабилитация федеральных государственных</t>
    </r>
  </si>
  <si>
    <t>1.1.2.</t>
  </si>
  <si>
    <r>
      <rPr>
        <b/>
        <sz val="11"/>
        <rFont val="Times New Roman"/>
        <family val="1"/>
        <charset val="204"/>
      </rPr>
      <t>1.1.3.</t>
    </r>
    <r>
      <rPr>
        <sz val="11"/>
        <rFont val="Times New Roman"/>
        <family val="1"/>
        <charset val="204"/>
      </rPr>
      <t xml:space="preserve">     - укрепление здоровья детей дошкольного возраста, обеспечение интеллектуального, личностного </t>
    </r>
  </si>
  <si>
    <t xml:space="preserve">           Российской Федерации;</t>
  </si>
  <si>
    <t>и физического развития ребенка, приобщение детей к общечеловеческим ценностям.</t>
  </si>
  <si>
    <t>1.2. Основные виды деятельности государственного бюджетного учреждения:</t>
  </si>
  <si>
    <t>1.2.1. -санаторно-курортное лечение:</t>
  </si>
  <si>
    <t xml:space="preserve">          - оказание медицинской помощи по видам работ (услуг), выполняемых (оказываемых) на основании</t>
  </si>
  <si>
    <t>лицензии на осуществление медицинской деятельности;</t>
  </si>
  <si>
    <t xml:space="preserve">          - организация госпитализации лиц, нуждающихся в экстренной госпитализации по нарядам скорой</t>
  </si>
  <si>
    <t xml:space="preserve">          - осуществление мероприятий по профилактике инфекционных заболеваний и пищевых отравлений, </t>
  </si>
  <si>
    <t>улучшению санитарно-гигиенического содержания Учреждения;</t>
  </si>
  <si>
    <t xml:space="preserve">          - размещение лиц, прибывающих в Учреждение на санаторно-курортное лечение;</t>
  </si>
  <si>
    <t xml:space="preserve">          - организация питания для лиц, находящихся на санаторно-курортном лечении;</t>
  </si>
  <si>
    <t>1.2.2.   - проведение диспансеризации федеральных государственных гражданских служащих</t>
  </si>
  <si>
    <t xml:space="preserve">              Минфина России, Федерального казначейства, Росфиннадзора. </t>
  </si>
  <si>
    <t xml:space="preserve">1.2.3.  - организация и проведение по заданию Минфина России семинаров, тренингов и </t>
  </si>
  <si>
    <t>обучающих мероприятий, включающих в себя, в том числе:</t>
  </si>
  <si>
    <t xml:space="preserve">           - обеспечение размещения участников;</t>
  </si>
  <si>
    <t xml:space="preserve">          -  организацию питания;</t>
  </si>
  <si>
    <t xml:space="preserve">          - организацию проведения семинаров в соответствии с планом-графиком проведения </t>
  </si>
  <si>
    <t xml:space="preserve">           совещаний-семинаров, конференций, проводимых на базе Учреждения, утвержденным         </t>
  </si>
  <si>
    <t>Министерством финансов Российской Федерации;</t>
  </si>
  <si>
    <t xml:space="preserve">           - обеспечение проведения мероприятий по вопросам гражданской обороны,мобилизационной</t>
  </si>
  <si>
    <t xml:space="preserve">подготовки, по подготовке к выполнению установленных нормативов Всероссийского </t>
  </si>
  <si>
    <t>физкультурно-спортивного комплекса "Готов к труду и обороне"</t>
  </si>
  <si>
    <t>1.3. Перечень услуг (работ) государственного бюджетного учреждения, относящихся к основным видам деятельности, предоставление которых для физических и юридических лиц осуществляется за плату:</t>
  </si>
  <si>
    <t>1.3.1. - санаторно-курортное лечение:</t>
  </si>
  <si>
    <t xml:space="preserve">          - осуществление мероприятий по профилактике инфекционных заболеваний и пищевых отравлений.</t>
  </si>
  <si>
    <t>1.3.2.  - организация и проведение семинаров, тренингов и обучающих мероприятий:</t>
  </si>
  <si>
    <t xml:space="preserve">          -  организация питания;</t>
  </si>
  <si>
    <t xml:space="preserve">          - организация проведения семинаров, совещаний-семинаров, конференций.</t>
  </si>
  <si>
    <t xml:space="preserve">            </t>
  </si>
  <si>
    <t>1.3.3.   - проведение диспансеризации федеральных государственных гражданских служащих</t>
  </si>
  <si>
    <t>II. Показатели финансового состояния учреждения</t>
  </si>
  <si>
    <t>Наименование показателя</t>
  </si>
  <si>
    <t>Сумма</t>
  </si>
  <si>
    <t>Сумма (руб.)</t>
  </si>
  <si>
    <t>I. Нефинансовые активы, всего:</t>
  </si>
  <si>
    <t>из них:</t>
  </si>
  <si>
    <t>1.1 Общая балансовая стоимость недвижимого государственного имущества, всего</t>
  </si>
  <si>
    <t xml:space="preserve">      в том числе:</t>
  </si>
  <si>
    <t xml:space="preserve">1.1.1. Стоимость имущества, закрепленного собственником имущества за государственным бюджетным учреждением на праве оперативного управления </t>
  </si>
  <si>
    <t>1.1.2. Стоимость имущества, приобретенного государственным бюджетным учреждением (продразделением) за счет средств выделенных собственником имущества учреждения средств</t>
  </si>
  <si>
    <t>1.1.3. Стоимость имущества, приобретенного государственным бюджетным учреждением (продразделением) за счет доходов, полученных от платной и иной приносящей доход деятельности</t>
  </si>
  <si>
    <t>1.1.4. Остаточная стоимость недвижимого  государственного имущества</t>
  </si>
  <si>
    <t>1.2. Общая балансовая стоимость движимого государственного имущества, всего</t>
  </si>
  <si>
    <t>1.2.1. Общая балансовая стоимость особо ценного движимого имущества</t>
  </si>
  <si>
    <t>1.2.2. Остаточная стоимость особо ценного движимого имущества</t>
  </si>
  <si>
    <t>II. Финансовые активы, всего:</t>
  </si>
  <si>
    <t>2.1. Дебиторская задолженность по доходам, полученным за счет средств федерального бюджета</t>
  </si>
  <si>
    <t>2.2. Дебиторская задолженность по выданным авансам, полученным за счет средств федерального бюджета всего:</t>
  </si>
  <si>
    <t>2.2.1. по выданным авансам на оплату труда</t>
  </si>
  <si>
    <t>2.2.2. по выданным авансам на начисления по оплате труда</t>
  </si>
  <si>
    <t>2.2.3. по выданным авансам на услуги связи</t>
  </si>
  <si>
    <t>2.2.4. по выданным авансам на коммунальные услуги</t>
  </si>
  <si>
    <t>2.2.5. по выданным авансам на услуги по содержанию имущества</t>
  </si>
  <si>
    <t xml:space="preserve">2.2.6. по выданным авансам на прочие услуги </t>
  </si>
  <si>
    <t xml:space="preserve">2.2.7. по выданным авансам на приобретение основных средств </t>
  </si>
  <si>
    <t>2.2.8. по выданным авансам на приобретение нематериальных активов</t>
  </si>
  <si>
    <t>2.2.9. по выданным авансам на приобретение непроизведенных активов</t>
  </si>
  <si>
    <t>2.2.10. по выданным авансам на приобретение материальных запасов</t>
  </si>
  <si>
    <t>2.2.11. по выданным авансам на прочие расходы</t>
  </si>
  <si>
    <t>2.3. Дебиторская задолженность по выданным авансам за счет доходов, полученных от платной и иной приносящей доход деятельности, всего:</t>
  </si>
  <si>
    <t>2.3.1. по выданным авансам на оплату труда</t>
  </si>
  <si>
    <t>2.3.2. по выданным авансам на начисления на оплату труда</t>
  </si>
  <si>
    <t>2.3.3. по выданным авансам на коммунальные услуги</t>
  </si>
  <si>
    <t>2.3.4. по выданным авансам на услуги по содержанию имущества</t>
  </si>
  <si>
    <t xml:space="preserve">2.3.5. по выданным авансам на прочие услуги </t>
  </si>
  <si>
    <t xml:space="preserve">2.3.6. по выданным авансам на приобретение основных средств </t>
  </si>
  <si>
    <t>2.3.7. по выданным авансам на приобретение нематериальных активов</t>
  </si>
  <si>
    <t>2.3.8. по выданным авансам на приобретение непроизведенных активов</t>
  </si>
  <si>
    <t>2.3.9. по выданным авансам на приобретение материальных запасов</t>
  </si>
  <si>
    <t>2.3.10. по выданным авансам на прочие расходы</t>
  </si>
  <si>
    <t>III. Обязательства, всего:</t>
  </si>
  <si>
    <t>3.1. Просроченная кредиторская задолженность</t>
  </si>
  <si>
    <t>3.2. Кредиторская задолженность по расчетам с поставщиками и подрядчиками за счет средств федерального бюджета, всего:</t>
  </si>
  <si>
    <t>3.3. Кредиторская задолженность по расчетам с поставщиками и подрядчиками за счет доходов, полученных от платной и иной приносящей доход деятельности, всего:</t>
  </si>
  <si>
    <t>III. Показатели по поступлениям и выплатам государственного бюджетного учреждения (подразделения)</t>
  </si>
  <si>
    <t>на "____"______________20___г.</t>
  </si>
  <si>
    <t>Код строки</t>
  </si>
  <si>
    <t>Код по бюджетной классификации Российской Федерации</t>
  </si>
  <si>
    <t>Объем финансового обеспечения, руб.</t>
  </si>
  <si>
    <t>всего</t>
  </si>
  <si>
    <t>в том числе:</t>
  </si>
  <si>
    <t>субсидия на финансовое обеспечение выполнения государственного задания</t>
  </si>
  <si>
    <t>в т.ч Елочки</t>
  </si>
  <si>
    <t>субсидии, предоставляемые в соответствии с абзацем вторым пункта 1 статьи 78.1 Бюджетного кодекса Российской Федерации</t>
  </si>
  <si>
    <t>в т.ч. Иные цели переходящие остатки</t>
  </si>
  <si>
    <t>в т.ч. Содержание Южный</t>
  </si>
  <si>
    <t>субсидии на осуществление капитальных вложений</t>
  </si>
  <si>
    <t>средства обязательного медицинского страхования</t>
  </si>
  <si>
    <t>поступления от оказания услуг (выполнения работ) на платной основе и от иной приносящей доход деятельности</t>
  </si>
  <si>
    <t>в т.ч. Южный</t>
  </si>
  <si>
    <t>из них гранты</t>
  </si>
  <si>
    <t>Поступления от доходов, всего:</t>
  </si>
  <si>
    <t>X</t>
  </si>
  <si>
    <t>доходы от собственности</t>
  </si>
  <si>
    <t>доходы от оказания услуг, работ</t>
  </si>
  <si>
    <t>Услуга N 1</t>
  </si>
  <si>
    <t>Услуга N 2</t>
  </si>
  <si>
    <t>Работа</t>
  </si>
  <si>
    <t>доходы от штрафов, пеней, иных сумм принудительного изъятия</t>
  </si>
  <si>
    <t>безвозмездные поступления от наднациональных организаций, правительств иностранных государств международных финансовых организаций</t>
  </si>
  <si>
    <t>иные субсидии, предоставленные из бюджета</t>
  </si>
  <si>
    <t>прочие доходы</t>
  </si>
  <si>
    <t>доходы от операций с активами</t>
  </si>
  <si>
    <t>Выплаты по расходам, всего:</t>
  </si>
  <si>
    <t>в том числе на выплаты персоналу всего:</t>
  </si>
  <si>
    <t>фонд оплаты труда</t>
  </si>
  <si>
    <t>начисления на выплаты по оплате труда</t>
  </si>
  <si>
    <t>иные выплаты персоналу учреждений, за исключением фонда оплаты труда</t>
  </si>
  <si>
    <t>Социальное обеспечение и иные выплаты населению, всего:</t>
  </si>
  <si>
    <t>иные выплаты населению</t>
  </si>
  <si>
    <t>Иные бюджетные ассигнования</t>
  </si>
  <si>
    <t>Исполнение судебных актов</t>
  </si>
  <si>
    <t>Исполнение судебных актов РФ и мировых соглашений по возмещению вреда, причиненного в результате незаконных действий</t>
  </si>
  <si>
    <t>уплата налогов, сборов и иных платежей,  всего:</t>
  </si>
  <si>
    <t>уплата налога на имущество организаций и земельного налога</t>
  </si>
  <si>
    <t>уплата прочих налогов и сборов</t>
  </si>
  <si>
    <t>уплата иных платежей</t>
  </si>
  <si>
    <t>Безвозмездные перечисления организациям</t>
  </si>
  <si>
    <t>Прочие расходы (кроме расходов на закупку товаров, работ, услуг)</t>
  </si>
  <si>
    <t>Расходы на закупку товаров, работ, услуг, всего:</t>
  </si>
  <si>
    <t>научно-исследовательские и опытно-конструкторские работы</t>
  </si>
  <si>
    <t>услуги связи</t>
  </si>
  <si>
    <t>транспортные услуги</t>
  </si>
  <si>
    <t>коммунальные услуги</t>
  </si>
  <si>
    <t>арендная плата за пользование имуществом</t>
  </si>
  <si>
    <t>работы, услуги по содержанию имущества</t>
  </si>
  <si>
    <t>прочие работы, услуги</t>
  </si>
  <si>
    <t>Прочие расходы</t>
  </si>
  <si>
    <t>увеличение стоимости основных средств</t>
  </si>
  <si>
    <t>увеличение стоимости нематериальных активов</t>
  </si>
  <si>
    <t>увеличение стоимости материальных запасов</t>
  </si>
  <si>
    <t>Поступление финансовых активов, всего:</t>
  </si>
  <si>
    <t>увеличение остатков средств</t>
  </si>
  <si>
    <t>прочие поступления</t>
  </si>
  <si>
    <t>Выбытие финансовых активов, всего:</t>
  </si>
  <si>
    <t>уменьшение остатков средств</t>
  </si>
  <si>
    <t>прочие выбытия</t>
  </si>
  <si>
    <t>Остаток средств на начало года</t>
  </si>
  <si>
    <t>Остаток средств на конец года</t>
  </si>
  <si>
    <t xml:space="preserve"> (расшифровка подписи)</t>
  </si>
  <si>
    <t>Южный</t>
  </si>
  <si>
    <t>IV. Показатели выплат по расходам на закупку товаров, работ, услуг государственного бюджетного учреждения (подразделения)</t>
  </si>
  <si>
    <t>на "__" ________________ 20___г.</t>
  </si>
  <si>
    <t>Год начала закупки</t>
  </si>
  <si>
    <t>Сумма выплат по расходам на закупку товаров, работ и услуг, руб.</t>
  </si>
  <si>
    <t>всего на закупки</t>
  </si>
  <si>
    <t>в соответствии с Федеральным законом от 5 апреля 2013 г. N 44-ФЗ "О контрактной системе в сфере закупок товаров, работ, услуг для обеспечения государственных и муниципальных нужд"</t>
  </si>
  <si>
    <t>в соответствии с Федеральным законом от 18 июля 2011 г. N 223-ФЗ "О закупках товаров, работ, услуг отдельными видами юридических лиц"</t>
  </si>
  <si>
    <t>на 2018г.</t>
  </si>
  <si>
    <t>на 2019г.</t>
  </si>
  <si>
    <t>очередной финансовый год</t>
  </si>
  <si>
    <t>1-ый год планового периода</t>
  </si>
  <si>
    <t>2-ой год планового периода</t>
  </si>
  <si>
    <t>1 -ый год планового периода</t>
  </si>
  <si>
    <t>Выплаты по расходам на закупку товаров, работ, услуг, всего:</t>
  </si>
  <si>
    <t>в том числе: на оплату контрактов, заключенных до начала очередного финансового года</t>
  </si>
  <si>
    <t>на закупку товаров, работ, услуг по году начала закупки</t>
  </si>
  <si>
    <t>VI. Справочная информация</t>
  </si>
  <si>
    <t>на "__" __________________20__ г.</t>
  </si>
  <si>
    <t>Сумма, тыс. руб.</t>
  </si>
  <si>
    <t>Объем публичных обязательств, всего:</t>
  </si>
  <si>
    <t>Объем бюджетных инвестиций (в части переданных полномочий государственного (муниципального) заказчика в соответствии с Бюджетным кодексом Российской Федерации), всего:</t>
  </si>
  <si>
    <t>Объем средств, поступивших во временное распоряжение, всего:</t>
  </si>
  <si>
    <t xml:space="preserve">                                   (расшифровка подписи)</t>
  </si>
  <si>
    <t>тел. 8(495) 996-21-83</t>
  </si>
  <si>
    <t>"_____"________________ 20____ г.</t>
  </si>
  <si>
    <t>гражданских служащих Минфина России, федеральных служб,находящихся в ведении Минфина России,</t>
  </si>
  <si>
    <t>и членов их семей, в том числе после выхода гражданского служащего на пенсию за выслугу лет, работников</t>
  </si>
  <si>
    <t xml:space="preserve">Минфина России, замещающих должности, не являющиеся должностями федеральной государственной </t>
  </si>
  <si>
    <t>гражданской службы, работников организаций, подведомственных Минфину России;</t>
  </si>
  <si>
    <t>- содействие в организации просвещения по вопросам, относящимся к сфере ведения Минфина России,и повышения правовой, финансовой грамотности федеральных государственных гражданских служащих</t>
  </si>
  <si>
    <t xml:space="preserve"> Минфина России, федеральных служб, находящихся в ведении Минфина России, работников Минфина России,</t>
  </si>
  <si>
    <t>замещающих должности, не являющиеся должностями федеральной государственной гражданской службы,</t>
  </si>
  <si>
    <t>работников организаций, подведомственных Минфину России, а также содействие формированию у них</t>
  </si>
  <si>
    <t>мотивации к занятиям физической культурой и спортом, ведению здорового образа жизни;</t>
  </si>
  <si>
    <t xml:space="preserve">           медицинской службы;</t>
  </si>
  <si>
    <t>092</t>
  </si>
  <si>
    <t>услуги связи Ю</t>
  </si>
  <si>
    <t>Дорожная карта</t>
  </si>
  <si>
    <t xml:space="preserve">Руководитель </t>
  </si>
  <si>
    <t>Ёлочки</t>
  </si>
  <si>
    <t>до изменений</t>
  </si>
  <si>
    <t>содержание имущества</t>
  </si>
  <si>
    <t>бюджет</t>
  </si>
  <si>
    <t>внебюджет</t>
  </si>
  <si>
    <t>до изменений транспортные услуги</t>
  </si>
  <si>
    <t>до изменений коммунальные услуги</t>
  </si>
  <si>
    <t>на 2018 год</t>
  </si>
  <si>
    <t>Сумма, руб.</t>
  </si>
  <si>
    <t>010</t>
  </si>
  <si>
    <t>020</t>
  </si>
  <si>
    <t>Поступление</t>
  </si>
  <si>
    <t>030</t>
  </si>
  <si>
    <t>Выбытие</t>
  </si>
  <si>
    <t>040</t>
  </si>
  <si>
    <t xml:space="preserve"> </t>
  </si>
  <si>
    <t>в т.ч. Иные цели Семинары - 08-14</t>
  </si>
  <si>
    <t>Расчет нормативных  затрат  на оказание государственных услуг и нормативных затрат на содержание имущества ФГБУ "МФК Минфина России "на 2018 - 2020 годы</t>
  </si>
  <si>
    <t>№ п/п</t>
  </si>
  <si>
    <t>Наименование затрат</t>
  </si>
  <si>
    <t>НЗ 2017 г</t>
  </si>
  <si>
    <t>НЗ 2018</t>
  </si>
  <si>
    <t>НЗ 2019</t>
  </si>
  <si>
    <t>НЗ 2020</t>
  </si>
  <si>
    <t>Санаторно-курортное лечение</t>
  </si>
  <si>
    <t>койко-дни</t>
  </si>
  <si>
    <t>рублей</t>
  </si>
  <si>
    <t>тыс. рублей</t>
  </si>
  <si>
    <t xml:space="preserve">Нормативные затраты, непосредственно связанные с оказанием государственной услуги </t>
  </si>
  <si>
    <t>1.1</t>
  </si>
  <si>
    <t>НЗ на ОТ и начисления на выплаты по оплате труда персонала,принимающего непосредственное участие в оказании государственной услуги</t>
  </si>
  <si>
    <t>окт-дек 2019</t>
  </si>
  <si>
    <t>на 2020</t>
  </si>
  <si>
    <t>1.1.1</t>
  </si>
  <si>
    <t xml:space="preserve">Оплата труда работников, за исключением денежного довольствия военнослужащих и сотрудников, имеющих специальные звания </t>
  </si>
  <si>
    <t>1.1.2</t>
  </si>
  <si>
    <t>ВСЕГО на оплату труда работников</t>
  </si>
  <si>
    <t>1.2.1</t>
  </si>
  <si>
    <t>Начисления на выплаты по оплате труда работников</t>
  </si>
  <si>
    <t>1.2.2</t>
  </si>
  <si>
    <t>Дорожная карта - начисления</t>
  </si>
  <si>
    <t>Всего на начисления на выплаты по ОТ работников</t>
  </si>
  <si>
    <t>ВСЕГО по зарплате ОТ1</t>
  </si>
  <si>
    <t>1.2</t>
  </si>
  <si>
    <t>НЗ  на приобретение материальных запасов и на приобретение движимого имущества (основных средств и нематериальных активов), не отнесенного к особо ценному движимому имуществу и используемого в процессе оказания государственной услуги, с учетом срока его полезного использования, а также затраты на аренду указанного имущества.</t>
  </si>
  <si>
    <t>Продукты питания</t>
  </si>
  <si>
    <t>Медикаменты</t>
  </si>
  <si>
    <t>1.2.3</t>
  </si>
  <si>
    <t>Моющие,чистящие</t>
  </si>
  <si>
    <t>Итого:МЗ</t>
  </si>
  <si>
    <t>1.2.4</t>
  </si>
  <si>
    <t>Увеличение стоимости основных ср-в</t>
  </si>
  <si>
    <t>1.2.5</t>
  </si>
  <si>
    <r>
      <t xml:space="preserve">Иные нормативные затраты,непосредственно связанные с оказанием государственной услуги </t>
    </r>
    <r>
      <rPr>
        <b/>
        <sz val="11"/>
        <color theme="1"/>
        <rFont val="Times New Roman"/>
        <family val="1"/>
        <charset val="204"/>
      </rPr>
      <t>ИНЗ</t>
    </r>
  </si>
  <si>
    <t>1.2.6</t>
  </si>
  <si>
    <r>
      <t xml:space="preserve">Горюче-смазочные </t>
    </r>
    <r>
      <rPr>
        <b/>
        <sz val="11"/>
        <color theme="1"/>
        <rFont val="Times New Roman"/>
        <family val="1"/>
        <charset val="204"/>
      </rPr>
      <t>ГСМ</t>
    </r>
  </si>
  <si>
    <t>Итого</t>
  </si>
  <si>
    <t>ВСЕГО МЗ+ИНЗ</t>
  </si>
  <si>
    <t>ВСЕГО:</t>
  </si>
  <si>
    <t>2</t>
  </si>
  <si>
    <t>Нормативные   затраты   на     общехозяйственные  нужды на оказание государственной услуги</t>
  </si>
  <si>
    <t>2.1</t>
  </si>
  <si>
    <t>НЗ на коммунальные услуги</t>
  </si>
  <si>
    <t>2.1.1</t>
  </si>
  <si>
    <t>Потребление газа</t>
  </si>
  <si>
    <t>2.1.2</t>
  </si>
  <si>
    <t xml:space="preserve">Потребление электрической энергии </t>
  </si>
  <si>
    <t>2.1.3</t>
  </si>
  <si>
    <t>Потребление теплоэнергии на отопление зданий, помещений и сооружений</t>
  </si>
  <si>
    <t>2.1.4</t>
  </si>
  <si>
    <t>Потребление горячей воды</t>
  </si>
  <si>
    <t>2.1.5</t>
  </si>
  <si>
    <t>Холодное водоснабжение</t>
  </si>
  <si>
    <t>2.1.6</t>
  </si>
  <si>
    <t>Затраты на водоотведение</t>
  </si>
  <si>
    <t>ИТОГО:КУ</t>
  </si>
  <si>
    <t>2.2</t>
  </si>
  <si>
    <t xml:space="preserve">НЗ  на содержание объектов недвижимого имущества, а также затраты на аренду указанного имущества (СНИ) </t>
  </si>
  <si>
    <t>2.2.1</t>
  </si>
  <si>
    <t xml:space="preserve">Прочие ТО </t>
  </si>
  <si>
    <t>2.2.2</t>
  </si>
  <si>
    <t>ТО медтехники</t>
  </si>
  <si>
    <t>Итого:СНИ</t>
  </si>
  <si>
    <t>2.3</t>
  </si>
  <si>
    <t>НЗ на содержание особо ценного движимого имущества (СОЦДИ)</t>
  </si>
  <si>
    <t>2.3.1</t>
  </si>
  <si>
    <t>Технич.обслуживание оборудования</t>
  </si>
  <si>
    <t>2.3.2</t>
  </si>
  <si>
    <t>Ремонт оборудования</t>
  </si>
  <si>
    <t>2.3.3</t>
  </si>
  <si>
    <t>Итого: СОЦДИ</t>
  </si>
  <si>
    <t>2.4</t>
  </si>
  <si>
    <t>НЗ на формирование в установленном порядке резерва на полное восстановление состава объектов особо ценного движимого имущества, необходимого для общехозяйственных нужд, с учетом срока их полезного использования</t>
  </si>
  <si>
    <t>2.4.1</t>
  </si>
  <si>
    <t>Резерв на полное восстановление состава объектов ОЦДИ</t>
  </si>
  <si>
    <t>2.5</t>
  </si>
  <si>
    <t>НЗ на приобретение услуг связи</t>
  </si>
  <si>
    <t>Связь</t>
  </si>
  <si>
    <t>Итого:УС</t>
  </si>
  <si>
    <t>3</t>
  </si>
  <si>
    <t>НЗ  на оплату труда, в том числе начисления на выплаты по оплате труда, работников, которые не принимают непосредственного участия в оказании государственной услуги, включая административно-управленческий персонал, в случаях, установленных стандартами услуги.</t>
  </si>
  <si>
    <t>3.1</t>
  </si>
  <si>
    <t>3.2</t>
  </si>
  <si>
    <t>Итого: ОТ2</t>
  </si>
  <si>
    <t>4</t>
  </si>
  <si>
    <t>НЗ на прочие общехозяйственные нужды ПНЗ</t>
  </si>
  <si>
    <t>4.1</t>
  </si>
  <si>
    <t>Прочие работы,услуги</t>
  </si>
  <si>
    <t>4.2</t>
  </si>
  <si>
    <t>Итого: ПНЗ</t>
  </si>
  <si>
    <t>Всего НЗ на ОХ</t>
  </si>
  <si>
    <t>5</t>
  </si>
  <si>
    <t>Затраты на уплату налогов, в качестве объекта налогообложения по которым признается имущество учреждения</t>
  </si>
  <si>
    <t>5.1</t>
  </si>
  <si>
    <t>Затраты на уплату налогов</t>
  </si>
  <si>
    <t>Норматив без имущества</t>
  </si>
  <si>
    <t>Норматив на имущество</t>
  </si>
  <si>
    <t>Норматив общий</t>
  </si>
  <si>
    <t>без ДК</t>
  </si>
  <si>
    <t>ДК</t>
  </si>
  <si>
    <t>Д/карта</t>
  </si>
  <si>
    <t>всего на ОТ</t>
  </si>
  <si>
    <t>в т.ч. Иные цели 2018 г</t>
  </si>
  <si>
    <t xml:space="preserve">в т.ч. Иные цели переходящие остатки </t>
  </si>
  <si>
    <t>О.Б. Хлопов</t>
  </si>
  <si>
    <t>на 2020г.</t>
  </si>
  <si>
    <t xml:space="preserve">в т.ч. </t>
  </si>
  <si>
    <t>Всего</t>
  </si>
  <si>
    <t>Елочки</t>
  </si>
  <si>
    <t xml:space="preserve"> Южный</t>
  </si>
  <si>
    <t>3.2.1 по оплате труда</t>
  </si>
  <si>
    <t>3.2.2  по начислениям на выплаты по оплате труда</t>
  </si>
  <si>
    <t>3.2.3  по прочим выплатам</t>
  </si>
  <si>
    <t>3.2.4. по оплате услуг связи</t>
  </si>
  <si>
    <t xml:space="preserve">3.2.5. по оплате коммунальных услуг </t>
  </si>
  <si>
    <t>3.2.6. по оплате услуг по содержанию имущества</t>
  </si>
  <si>
    <t>3.2.7. по оплате прочих услуг</t>
  </si>
  <si>
    <t>3.2.8. по приобретению основных средств</t>
  </si>
  <si>
    <t>3.2.9. по приобретению нематериальных активов</t>
  </si>
  <si>
    <t>3.2.10. по приобретению непроизводственных активов</t>
  </si>
  <si>
    <t>3.2.11. по приобретению материальных запасов</t>
  </si>
  <si>
    <t>3.2.12. по оплате прочих расходов</t>
  </si>
  <si>
    <t>3.2.13. по платежам в бюджет</t>
  </si>
  <si>
    <t>3.2.14. по прочим расчетам с кредиторами</t>
  </si>
  <si>
    <t>3.3.1 по оплате труда</t>
  </si>
  <si>
    <t>3.3.2  по начислениям на выплаты по оплате труда</t>
  </si>
  <si>
    <t>3.3.4. по оплате услуг связи</t>
  </si>
  <si>
    <t>3.3.5. по оплате транспортных услуг</t>
  </si>
  <si>
    <t xml:space="preserve">3.3.6. по оплате коммунальных услуг </t>
  </si>
  <si>
    <t>3.3.7. по оплате услуг по содержанию имущества</t>
  </si>
  <si>
    <t>3.3.8. по оплате прочих услуг</t>
  </si>
  <si>
    <t>3.3.9. по приобретению основных средств</t>
  </si>
  <si>
    <t>3.3.10. по приобретению нематериальных активов</t>
  </si>
  <si>
    <t>3.3.11. по приобретению непроизводственных активов</t>
  </si>
  <si>
    <t>3.3.12. по приобретению материальных запасов</t>
  </si>
  <si>
    <t>3.3.13. по оплате прочих расходов</t>
  </si>
  <si>
    <t>3.3.14. по платежам в бюджет</t>
  </si>
  <si>
    <t>3.3.15. по прочим расчетам с кредиторами</t>
  </si>
  <si>
    <t>разница</t>
  </si>
  <si>
    <t>Разница</t>
  </si>
  <si>
    <r>
      <t>субсидия на финансовое обеспечение выполнения государственного задания</t>
    </r>
    <r>
      <rPr>
        <b/>
        <sz val="12"/>
        <rFont val="Times New Roman"/>
        <family val="1"/>
        <charset val="204"/>
      </rPr>
      <t xml:space="preserve"> Корректировка</t>
    </r>
  </si>
  <si>
    <r>
      <t xml:space="preserve">Елочки </t>
    </r>
    <r>
      <rPr>
        <b/>
        <sz val="12"/>
        <rFont val="Times New Roman"/>
        <family val="1"/>
        <charset val="204"/>
      </rPr>
      <t>корректировка</t>
    </r>
  </si>
  <si>
    <r>
      <t xml:space="preserve">Южный </t>
    </r>
    <r>
      <rPr>
        <b/>
        <sz val="12"/>
        <rFont val="Times New Roman"/>
        <family val="1"/>
        <charset val="204"/>
      </rPr>
      <t>корректировка</t>
    </r>
  </si>
  <si>
    <r>
      <t xml:space="preserve">в т.ч. Южный </t>
    </r>
    <r>
      <rPr>
        <b/>
        <sz val="12"/>
        <rFont val="Times New Roman"/>
        <family val="1"/>
        <charset val="204"/>
      </rPr>
      <t>Корректировка</t>
    </r>
  </si>
  <si>
    <r>
      <t xml:space="preserve">в т.ч Елочки </t>
    </r>
    <r>
      <rPr>
        <b/>
        <sz val="12"/>
        <rFont val="Times New Roman"/>
        <family val="1"/>
        <charset val="204"/>
      </rPr>
      <t>корректировка</t>
    </r>
  </si>
  <si>
    <r>
      <t xml:space="preserve">всего </t>
    </r>
    <r>
      <rPr>
        <b/>
        <sz val="12"/>
        <rFont val="Times New Roman"/>
        <family val="1"/>
        <charset val="204"/>
      </rPr>
      <t>корректировка</t>
    </r>
  </si>
  <si>
    <r>
      <t xml:space="preserve">субсидии, предоставляемые в соответствии с абзацем вторым пункта 1 статьи 78.1 Бюджетного кодекса Российской Федерации </t>
    </r>
    <r>
      <rPr>
        <b/>
        <sz val="12"/>
        <rFont val="Times New Roman"/>
        <family val="1"/>
        <charset val="204"/>
      </rPr>
      <t>корректировка</t>
    </r>
  </si>
  <si>
    <r>
      <t xml:space="preserve">в т.ч. Содержание Южный </t>
    </r>
    <r>
      <rPr>
        <b/>
        <sz val="12"/>
        <rFont val="Times New Roman"/>
        <family val="1"/>
        <charset val="204"/>
      </rPr>
      <t>Корректировка</t>
    </r>
  </si>
  <si>
    <r>
      <t xml:space="preserve">в т.ч. Иные цели </t>
    </r>
    <r>
      <rPr>
        <b/>
        <sz val="12"/>
        <rFont val="Times New Roman"/>
        <family val="1"/>
        <charset val="204"/>
      </rPr>
      <t>корректировка</t>
    </r>
  </si>
  <si>
    <r>
      <t xml:space="preserve">Всего </t>
    </r>
    <r>
      <rPr>
        <b/>
        <sz val="12"/>
        <rFont val="Times New Roman"/>
        <family val="1"/>
        <charset val="204"/>
      </rPr>
      <t>корректировка</t>
    </r>
  </si>
  <si>
    <t>М.С. Абдулхалимов</t>
  </si>
  <si>
    <t>(рублей)</t>
  </si>
  <si>
    <t>КБК</t>
  </si>
  <si>
    <t>Утвержденный ПФХД                    на 2018г</t>
  </si>
  <si>
    <t>Изменения</t>
  </si>
  <si>
    <t>ПФХД  на 2018г</t>
  </si>
  <si>
    <t>измененный</t>
  </si>
  <si>
    <t>Выплаты персоналу всего:</t>
  </si>
  <si>
    <t xml:space="preserve">Фонд оплаты труда </t>
  </si>
  <si>
    <t xml:space="preserve">Начисления на выплаты по оплате труда </t>
  </si>
  <si>
    <t>Иные выплаты персоналу учреждений, за исключением фонда оплаты труда</t>
  </si>
  <si>
    <t>Уплата налогов, сборов и иных платежей,  всего:</t>
  </si>
  <si>
    <t>Услуги связи</t>
  </si>
  <si>
    <t>Коммунальные услуги</t>
  </si>
  <si>
    <t>Работы, услуги по содержанию имущества</t>
  </si>
  <si>
    <t>Прочие работы, услуги</t>
  </si>
  <si>
    <t>Увеличение стоимости основных средств</t>
  </si>
  <si>
    <t>Увеличение стоимости материальных запасов</t>
  </si>
  <si>
    <t>Приложение №1</t>
  </si>
  <si>
    <t>Пояснительная  записка к</t>
  </si>
  <si>
    <t>Разделу Ш «Показатели по поступлениям и выплатам учреждения»</t>
  </si>
  <si>
    <t>Плана финансово-хозяйственной деятельности на 2018 год</t>
  </si>
  <si>
    <t>2. Плановые показатели Плана по выплатам от оказания услуг (выполнения работ) на платной основе и от иной приносящей доход деятельности:</t>
  </si>
  <si>
    <t>Утвержденный</t>
  </si>
  <si>
    <t>ПФХД</t>
  </si>
  <si>
    <t>на 2018 г</t>
  </si>
  <si>
    <t>Фонд оплаты труда</t>
  </si>
  <si>
    <t>Начисления на выплаты  по оплате труда</t>
  </si>
  <si>
    <t>Исполнение судебных актов, всего:</t>
  </si>
  <si>
    <t>Уплата налогов, сборов и иных платежей, всего:</t>
  </si>
  <si>
    <t>Уплата налога на имущество организаций и земельного налога</t>
  </si>
  <si>
    <t>Уплата прочих налогов и сборов</t>
  </si>
  <si>
    <t>Уплата иных платежей</t>
  </si>
  <si>
    <t>Транспортные услуги</t>
  </si>
  <si>
    <t>Работы услуги по содержанию имущества</t>
  </si>
  <si>
    <t>Остаток средств на начало года:</t>
  </si>
  <si>
    <t>Остаток средств на конец года:</t>
  </si>
  <si>
    <t>Исполнитель:</t>
  </si>
  <si>
    <t>Бойко Е.В.</t>
  </si>
  <si>
    <t>тел.8(495)996-21-83</t>
  </si>
  <si>
    <t xml:space="preserve">Руководитель                                                                               </t>
  </si>
  <si>
    <t xml:space="preserve">   О.Б. Хлопов</t>
  </si>
  <si>
    <t>ФГБУ "МФК Минфина России"</t>
  </si>
  <si>
    <t>по соглашению</t>
  </si>
  <si>
    <t>Поступление от оказания услуг (выполнения работ) на платной основе и от приносящей доход деятельности:</t>
  </si>
  <si>
    <t>2. Плановые показатели Плана по поступлениям от оказания услуг (выполнения работ) на платной основе и от иной приносящей доход деятельности:</t>
  </si>
  <si>
    <t>1. Плановые показатели Плана по выплатам субсидии на финансовое обеспечение выполнения государственного задания:</t>
  </si>
  <si>
    <t xml:space="preserve">        Корректировку просим произвести в связи с увеличением субсидии на финансовое обеспечение выполнения государственного задания на оказание государственных услуг, и с увеличением объема государственной услуги санаторно-курортного лечения в 2018 году.</t>
  </si>
  <si>
    <t>Субсидия на финансовое обеспечение выполнения государственного задания</t>
  </si>
  <si>
    <t>Субсидии, предоставляемые в соответствии с абзацем вторым пункта 1 статьи 78.1 Бюджетного кодекса Российской Федерации</t>
  </si>
  <si>
    <t>в т.ч. Иные цели 2019г</t>
  </si>
  <si>
    <t>в т.ч. Иные цели Семинары</t>
  </si>
  <si>
    <t>Субсидии на осуществление капитальных вложений</t>
  </si>
  <si>
    <t>Средства обязательного медицинского страхования</t>
  </si>
  <si>
    <t>Поступления от оказания услуг (выполнения работ) на платной основе и от иной приносящей доход деятельности</t>
  </si>
  <si>
    <t>Из них гранты</t>
  </si>
  <si>
    <t xml:space="preserve">       Прошу Вас разрешить произвести корректировку следующих кодов по бюджетной классификации в сторону увеличения на сумму 284 176,63 руб.: </t>
  </si>
  <si>
    <t>244 "Увеличение стоимости основных средств" на сумму 284 176,63 руб. в связи с необходимостью приобретения огнетушителей и противопожарного оборудования.</t>
  </si>
  <si>
    <t xml:space="preserve">        Корректировку просим произвести за счет уменьшения лимитов, в связи со сложившейся экономией, со следующих кодов по бюджетной классификации на сумму 284 176,63 руб.:</t>
  </si>
  <si>
    <t xml:space="preserve">       Прошу Вас разрешить произвести корректировку следующих кодов по бюджетной классификации в сторону увеличения на сумму 90 929 900,0 руб:</t>
  </si>
  <si>
    <t>в связи с поступлением субсидии из федерального бюджета на финансовое обеспечение выполнения государственного задания, с целью повышения оплаты труда медицинских работников в объеме 33 629 900,00 руб.;</t>
  </si>
  <si>
    <t xml:space="preserve">226 -7336 (за счет образовавшейся экономии и увеличение 290 на </t>
  </si>
  <si>
    <t xml:space="preserve">       Одновременно вносятся изменения в следующие коды по бюджетной классификации:</t>
  </si>
  <si>
    <t xml:space="preserve">       Прошу произвести корректировку кодов по бюджетной классификации в сторону уменьшения на сумму 24 622 729,71 руб., в сязи с планируемым уменьшением поступлений от оказания услуг (выполнения работ) на платной основе и от иной приносящей доход деятельности.</t>
  </si>
  <si>
    <t xml:space="preserve">        Вместе с тем вносятся изменения в следующие коды по бюджетной классификации:</t>
  </si>
  <si>
    <t>увеличение кода 112 "Иные выплаты персоналу учреждений, за исключением фонда оплаты труда" на сумму 644 086,36 руб. в связи с необходимостью увеличения командировочных проездов, в целях обеспечения деятельности и контроля выполнения ремонтных работ, проводимых на территории филиала - Санаторий "Южный".</t>
  </si>
  <si>
    <t>уменьшение кода 226 "Прочие работы, услуги" на сумму 7 336,00 руб. в связи с экономией от проведенных электронных аукционов;</t>
  </si>
  <si>
    <t>увеличение кода 290 "Прочие расходы" на сумму 7 336,00 руб. на приобретение бланков благодарностей и грамот для ФГБУ "МФК Минфина России".</t>
  </si>
  <si>
    <t>увеличение кода 852 " Уплата прочих налогов и сборов" на сумму 20 000,00 руб. на выплату транспортного налога.</t>
  </si>
  <si>
    <t>увеличение кода 244 " Прочие работы, услуги" на сумму 2 362 176,92 руб. на организацию праздничных мероприятий для отдыхающих.</t>
  </si>
  <si>
    <t xml:space="preserve">увеличение кода 244 " Увеличение стоимости основных средств" на сумму 500 000 руб. в связи с необходимостью приобретения триммеров, детских кроватей, ламинаторов для пропусков. </t>
  </si>
  <si>
    <t>а также, в связи с увеличением объема оказываемых услуг на 16 800 койко-дней, в объеме 57 300 000,00 руб.</t>
  </si>
  <si>
    <t>0001</t>
  </si>
  <si>
    <t>Главный бухгалтер</t>
  </si>
  <si>
    <t>А.Ю. Адыкаева</t>
  </si>
  <si>
    <t xml:space="preserve">       В соответствии с приказом Минфина России от 30 августа 2010 г. №422 «Об утверждении Порядка составления и утверждения плана финансово-хозяйственной деятельности государственных бюджетных учреждений, находящихся в ведении Министерства финансов Российской Федерации» предлагается внести соответствующие изменения в План финансово-хозяйственной деятельности на 2018 год (далее – План), утвержденный Минфином России от 28 сентября 2018 г., в части внесения изменений в раздел III Плана «Показатели по поступлениям и выплатам государственного бюджетного учреждения":</t>
  </si>
  <si>
    <t>1. Плановые показатели Плана по поступлениям субсидии, предоставляемые в соответствии с абзацем вторым пункта 1 статьи 78.1 Бюджетного кодекса Российской Федерации (иные цели):</t>
  </si>
  <si>
    <t>2. Плановые показатели Плана по выплатам субсидии, предоставляемые в соответствии с абзацем вторым пункта 1 статьи 78.1 Бюджетного кодекса Российской Федерации (иные цели):</t>
  </si>
  <si>
    <t>Поступление субсидии из федерального бюджета в соответствии с Федеральным законом № 458-ФЗ "О внесении изменений в Федеральный закон "О федеральном бюджете на 2018 год и на плановый период 2019 и 2020 годов"</t>
  </si>
  <si>
    <t>Субсидии, предоставляемые в соответствии с абзацем вторым пункта 1 статьи 78.1 Бюджетного кодекса Российской Федерации (иные цели)</t>
  </si>
  <si>
    <t>Субсидии, предоставляемые в соответствии с абзацем вторым пункта 1 статьи 78.1 Бюджетного кодекса Российской Федерации (иные цели), всего:</t>
  </si>
  <si>
    <t>в т.ч. Южный (простой)</t>
  </si>
  <si>
    <r>
      <t xml:space="preserve">в т.ч. Южный (простой) </t>
    </r>
    <r>
      <rPr>
        <b/>
        <sz val="12"/>
        <rFont val="Times New Roman"/>
        <family val="1"/>
        <charset val="204"/>
      </rPr>
      <t>Корректировка</t>
    </r>
  </si>
  <si>
    <t xml:space="preserve">в т.ч. Содержание Икша </t>
  </si>
  <si>
    <r>
      <t xml:space="preserve">в т.ч. Содержание Икша </t>
    </r>
    <r>
      <rPr>
        <b/>
        <sz val="12"/>
        <rFont val="Times New Roman"/>
        <family val="1"/>
        <charset val="204"/>
      </rPr>
      <t>Корректировка</t>
    </r>
  </si>
  <si>
    <t>в т.ч. Икша (содержание)</t>
  </si>
  <si>
    <t xml:space="preserve">         Корректировку просим произвести за счет увеличения лимитов в объеме 152 000 000 руб., в связи принятием Федерального закона № 458-ФЗ "О внесении изменений в Федеральный закон "О федеральном бюджете на 2018 год и на плановый период 2019 и 2020 годов":</t>
  </si>
  <si>
    <t>111 "Фонд оплаты труда" на сумму 4 394 961,00 руб. в целях осуществления выплат физическим лицам в связи с объявлением времени простоя в филиалае - Санаторий "Южный" ФГБУ "МФК Минфина России";</t>
  </si>
  <si>
    <t>119 "Начисления на выплаты по оплате труда" на сумму 1 977 339,00 руб. в целях осуществления выплат физическим лицам в связи с объявлением времени простоя в филиалае - Санаторий "Южный" ФГБУ "МФК Минфина России";</t>
  </si>
  <si>
    <t>244 "Коммунальные услуги" на сумму 1 896 500,00 руб. в связи с увеличением расходов на содержание имущества филиала - УОЦ "Икша" ФГБУ "МФК Минфина России";</t>
  </si>
  <si>
    <t>243 "Работы и услуги по содержанию имущества" на сумму 38 894 300,00 руб. в связи с необходимостью проведения капитального ремонта помещений ФГБУ "МФК Минфина России";</t>
  </si>
  <si>
    <t>243 "Прочие работы, услуги" на сумму 4 440 000,00 руб. в связи с необходимостью разработки проектно-сметной документации для объектов электрохозяйства ФГБУ "МФК Минфина России";</t>
  </si>
  <si>
    <t>244 "Прочие работы, услуги" на сумму 26 849 700,00 руб. в связи с необходимостью внедрения информационных систем и приобретения и модернизации программного обеспечения для ФГБУ "МФК Минфина России";</t>
  </si>
  <si>
    <t>244 "Увеличение стоимости основных средств" на сумму 67 276 857,00 руб.: в связи с необходимостью приобретения лифтового обрудования для филиала - Санаторий "Южный" - 50 971 173,00 руб., приобретения парового стерилизатора - 11 836 977,00 руб., приобретения технологического и кухонного оборудования - 4 468 707,00 руб.;</t>
  </si>
  <si>
    <t>244 "Увеличение стоимости материальных запасов" на сумму 6 270 343,00 руб. в связи с необходимостью приобретения мягкого инвентаря, столового текстиля и посуды для ФГБУ "МФК Минфина России".</t>
  </si>
  <si>
    <t>+152 000 000,00</t>
  </si>
  <si>
    <t>субсидии, предоставляемые в соответствии с абзацем вторым пункта 1 статьи 78.1 Бюджетного кодекса Российской Федерации (содержание)</t>
  </si>
  <si>
    <t>субсидии, предоставляемые в соответствии с абзацем вторым пункта 1 статьи 78.1 Бюджетного кодекса Российской Федерации (простой)</t>
  </si>
  <si>
    <t>на 24.12.18</t>
  </si>
  <si>
    <t>елочки</t>
  </si>
  <si>
    <t>план</t>
  </si>
  <si>
    <t>факт на 24.12.2018</t>
  </si>
  <si>
    <t>корр-ка</t>
  </si>
  <si>
    <t>112 "Иные выплаты персоналу учреждений, за исключением фонда оплаты труда" на сумму 164 181,90 руб. в связи с необходимостью увеличения командировочных проездов, в целях обеспечения деятельности и контроля выполнения ремонтных работ, проводимых на территории филиала - Санаторий "Южный";</t>
  </si>
  <si>
    <t xml:space="preserve">       В соответствии с приказом Минфина России от 30 августа 2010 г. №422 «Об утверждении Порядка составления и утверждения плана финансово-хозяйственной деятельности государственных бюджетных учреждений, находящихся в ведении Министерства финансов Российской Федерации» предлагается внести соответствующие изменения в План финансово-хозяйственной деятельности на 2018 год (далее – План), утвержденный Минфином России от 12 декабря 2018 г., в части внесения изменений в раздел III Плана «Показатели по поступлениям и выплатам государственного бюджетного учреждения":</t>
  </si>
  <si>
    <t>244 "Прочие расходы" на сумму 3 164,00 руб. на приобретение бланков благодарностей и грамот для ФГБУ "МФК Минфина России".</t>
  </si>
  <si>
    <t>244 "Коммунальные услуги" на сумму 2 093 287,52 руб. в связи с экономией расхода потребления газа, электроэнергии и водоотведения от плановых мощностей по заключенным контрактам;</t>
  </si>
  <si>
    <t>244 "Транспортные услуги" на сумму 95 972,34 руб. в связи с образовавшейся экономией;</t>
  </si>
  <si>
    <t>851 "Уплата налога на имущество организаций и земельного налога" на сумму 244 979,66 руб. в связи с образовавшейся экономией;</t>
  </si>
  <si>
    <t>831 "Исполнение судебных актов РФ и мировых соглашений по возмещению вреда, причиненного в результате незаконных действий" на сумму 192 855,58 руб. в связи с образовавшейся экономией;</t>
  </si>
  <si>
    <t xml:space="preserve">       Прошу Вас разрешить произвести корректировку следующих кодов по бюджетной классификации в сторону увеличения на сумму 7 148 033,62 руб:</t>
  </si>
  <si>
    <t xml:space="preserve">        Корректировку просим произвести за счет уменьшения следующих кодов по бюджетной классификации на сумму 7 148 033,62 руб.:</t>
  </si>
  <si>
    <t>853 "Уплата иных платежей" на сумму 681 004,55 руб. в связи с образовавшейся экономией;</t>
  </si>
  <si>
    <t>244 "Коммунальные услуги" на сумму 1 460 230,51 руб. на сумму в связи с экономией расхода потребления газа, электроэнергии и водоотведения от плановых мощностей по заключенным контрактам.</t>
  </si>
  <si>
    <t xml:space="preserve">       Прошу Вас разрешить произвести корректировку следующих кодов по бюджетной классификации в сторону увеличения на сумму 5 703 258,66 руб:</t>
  </si>
  <si>
    <t xml:space="preserve">        Корректировку просим произвести за счет уменьшения следующих кодов по бюджетной классификации на сумму 5 703 258,66 руб.:</t>
  </si>
  <si>
    <t>852 "Уплата прочих налогов и сборов" на сумму 206 181,24 руб. в связи с необходимостью выплаты страхового возмещения и уплаты госпошлины;</t>
  </si>
  <si>
    <t>244 "Работы, услуги по содержанию имущества" на сумму 1 141 533,44 руб. в связи со сложившейся фактической экономией;</t>
  </si>
  <si>
    <t>244 "Прочие работы, услуги" на сумму 1 196 044,13 руб. в связи со сложившейся фактической экономией;</t>
  </si>
  <si>
    <t>244 "Увеличение стоимости основных средств" на сумму 605 051,28 руб. в связи со сложившейся фактической экономией.</t>
  </si>
  <si>
    <t>244 "Работы, услуги по содержанию имущества" на сумму 533 169,74 руб. в связи с необходимостью проведения ремонта спортивного оборудования тренажерного зала ФГБУ "МФК Минфина России";</t>
  </si>
  <si>
    <t>244 "Увеличение стоимости материальных запасов" на сумму 2 375 723,36 руб. в связи с необходимостью приобретения материальных запасов для функционирования Обособленных Подразделений филиала - Санаторий "Южный" ФГБУ "МФК Минфина России".</t>
  </si>
  <si>
    <t>244 "Прочие работы, услуги" на сумму 4 007 371,62 руб. в связи проведением работ по организации функционирования Обособленных Подразделений филиала - Санаторий "Южный" ФГБУ "МФК Минфина России";</t>
  </si>
  <si>
    <t>119 "Начисления на выплаты по оплате труда" на сумму 667 342,29 руб. в связи с достигнутым регрессом тарифа страховых взносов на обязательное пенсионное страхование;</t>
  </si>
  <si>
    <t>119 "Начисления на выплаты по оплате труда" на сумму 4 472 990,98 руб. в связи с достигнутым регрессом тарифа страховых взносов на обязательное пенсионное страхование;</t>
  </si>
  <si>
    <t xml:space="preserve">       Прошу Вас разрешить произвести корректировку следующих кодов по бюджетной классификации на сумму 57 449 055,20 руб:</t>
  </si>
  <si>
    <t>Кредиторская задолженность допущена не будет и вносимая корректировка не повлияет на качество оказываемых услуг.</t>
  </si>
  <si>
    <t>111 "Фонд оплаты труда" на сумму 5 535 912,76 руб.:</t>
  </si>
  <si>
    <t xml:space="preserve">        В связи с достигнутыми показателями государственного задания, а так же качественным оказанием государственной услуги по санаторно-курортному лечению просим увеличить фонд оплаты труда на выплату премии работникам ФГБУ "МФК Минфина России" на сумму 4 267 712,76 руб.;</t>
  </si>
  <si>
    <t xml:space="preserve">         В связи с проведением организационно штатных мероприятий в филиале - Санаторий "Южный" ФГБУ "МФК Минфина России" и необходимости выплат компенсационного характера сокращенным работникам филиала на сумму 1 268 200,00 руб.;</t>
  </si>
  <si>
    <t>244 "Прочие расходы" на сумму 25 587,66 руб. в связи с необходимостью приобретения подарочной и сувенирной продукции, не предназначенной для дальнейшей перепродажи для филиала - Санаторий "Южный" ФГБУ "МФК Минфина России";</t>
  </si>
  <si>
    <t>3. Плановые показатели Плана по выплатам от оказания услуг (выполнения работ) на платной основе и от иной приносящей доход деятельности:</t>
  </si>
  <si>
    <t>4. Плановые показатели Плана по выплатам субсидии, предоставляемые в соответствии с абзацем вторым пункта 1 статьи 78.1 Бюджетного кодекса Российской Федерации (иные цели):</t>
  </si>
  <si>
    <t>Утвержденный ПФХД                    на 2018 год</t>
  </si>
  <si>
    <t xml:space="preserve">       Прошу Вас разрешить произвести корректировку следующих кодов по бюджетной классификации в сторону увеличения: </t>
  </si>
  <si>
    <t>180 "Доходы от операций с активами" на сумму 118 365,96 руб. в связи с поступлением средств от сдачи металлолома в филиале - Санаторий "Южный" ФГБУ "МФК Минфина России".</t>
  </si>
  <si>
    <t xml:space="preserve">        Корректировку просим произвести за счет уменьшения следующих кодов по бюджетной классификации:</t>
  </si>
  <si>
    <t xml:space="preserve">120 "Доходы от оказания услуг, работ" на сумму 118 365,96 руб. </t>
  </si>
  <si>
    <t xml:space="preserve">       В связи с отнесением приобретаемого оборудования по контракту № 35-ОАЭФ-17 от  19.09.2017г. "На выполнение работ по капитальному ремонту котельной с поставкой оборудования" на другой вид расходов, просим уменьшить 244 вид расходов и увеличить 243 вид расходов.</t>
  </si>
  <si>
    <t>по 24.12.18</t>
  </si>
  <si>
    <t>реестр 25.12.2018</t>
  </si>
  <si>
    <t>реестр 26.12.2018</t>
  </si>
  <si>
    <t>Итого нарастающим итогом</t>
  </si>
  <si>
    <t>Остаток</t>
  </si>
  <si>
    <t>реестр 27.12.2018</t>
  </si>
  <si>
    <t>реестр 28.12.2018</t>
  </si>
  <si>
    <t>Южный ДК</t>
  </si>
  <si>
    <t>ВСЕГО ОСТАТОК</t>
  </si>
  <si>
    <t>План по ПФХД на 2018 г.</t>
  </si>
  <si>
    <t>Субсидия (дорожная карта)</t>
  </si>
  <si>
    <t>2018 год</t>
  </si>
  <si>
    <t>План на 2018г.</t>
  </si>
  <si>
    <t>Факт на 18.12.2018</t>
  </si>
  <si>
    <t>выплата по дорожной карте за декабрь (в декабре)</t>
  </si>
  <si>
    <t>Остаток дорожной карты на 01.01.2019г.</t>
  </si>
  <si>
    <t>Субсидия на выполнение гос. Задания (ЛИМИТЫ) на 2018г.</t>
  </si>
  <si>
    <t>Принятые обязательства (по договорам) за 2018г. (на 25.12.2018г.)</t>
  </si>
  <si>
    <t>Остаток от лимитов</t>
  </si>
  <si>
    <t>аванс за декабрь 2018г.</t>
  </si>
  <si>
    <t>Остаток от лимитов в учетом ожидаемых расходов</t>
  </si>
  <si>
    <t>4=1-2-3</t>
  </si>
  <si>
    <t>7=5-6</t>
  </si>
  <si>
    <t>9=7-8</t>
  </si>
  <si>
    <t>Доходы по источникам всего, в т.ч.:</t>
  </si>
  <si>
    <t xml:space="preserve">Субсидия </t>
  </si>
  <si>
    <t>Расходы всего</t>
  </si>
  <si>
    <t>Заработная плата</t>
  </si>
  <si>
    <t>Прочие выплаты</t>
  </si>
  <si>
    <t>Начисления на выплаты по оплате труда</t>
  </si>
  <si>
    <t>Расходы на содержание имущества</t>
  </si>
  <si>
    <t xml:space="preserve">Прочие расходы, услуги </t>
  </si>
  <si>
    <t>Приобретение основных средств</t>
  </si>
  <si>
    <t>Приобретение материальных запасов</t>
  </si>
  <si>
    <t>Уплата налогов</t>
  </si>
  <si>
    <t xml:space="preserve">Финансовый результат нарастающим итогом </t>
  </si>
  <si>
    <t xml:space="preserve">субсидия на финансовое обеспечение выполнения государственного задания </t>
  </si>
  <si>
    <t>на 2019 год</t>
  </si>
  <si>
    <t>Налоговые доходы, таможенные платежи и страховые взносы на обязательное социальное страхование</t>
  </si>
  <si>
    <t>Доходы от собственности</t>
  </si>
  <si>
    <t>Доходы от оказания платных услуг (работ), компенсаций затрат</t>
  </si>
  <si>
    <t>Штрафы, пени, неустойки, возмещения ущерба</t>
  </si>
  <si>
    <t>Безвозмездные денежные поступления текущего характера</t>
  </si>
  <si>
    <t>койко -дни</t>
  </si>
  <si>
    <t xml:space="preserve">по утв. нормативу </t>
  </si>
  <si>
    <t>Разница (3900/14000)</t>
  </si>
  <si>
    <t>расход ГСМ в руб. на 1 поездку в 2 стороны</t>
  </si>
  <si>
    <t>поездок</t>
  </si>
  <si>
    <r>
      <t xml:space="preserve">Расчет нормативных  затрат  на оказание государственных услуг и нормативных затрат на содержание имущества </t>
    </r>
    <r>
      <rPr>
        <b/>
        <u/>
        <sz val="14"/>
        <rFont val="Times New Roman"/>
        <family val="1"/>
        <charset val="204"/>
      </rPr>
      <t xml:space="preserve">филиала Санаторий "Южный" </t>
    </r>
    <r>
      <rPr>
        <b/>
        <sz val="14"/>
        <rFont val="Times New Roman"/>
        <family val="1"/>
        <charset val="204"/>
      </rPr>
      <t>ФГБУ "МФК Минфина России "на 2019 год</t>
    </r>
  </si>
  <si>
    <t>ПЛАН ПО ДОХОДАМ НА ОЧЕРЕДНОЙ ФИНАНСОВЫЙ 2019 ГОД (ВНЕБЮДЖЕТ)</t>
  </si>
  <si>
    <t>Наименование услуги</t>
  </si>
  <si>
    <t xml:space="preserve">Центр финансовой ответственности </t>
  </si>
  <si>
    <t>Филиал-Санаторий "Южный" "ФГБУ МФК Минфина России"</t>
  </si>
  <si>
    <t>2019 год</t>
  </si>
  <si>
    <t>январь</t>
  </si>
  <si>
    <t>февраль</t>
  </si>
  <si>
    <t>март</t>
  </si>
  <si>
    <t>апрель</t>
  </si>
  <si>
    <t>май</t>
  </si>
  <si>
    <t>июнь</t>
  </si>
  <si>
    <t>июль</t>
  </si>
  <si>
    <t>август</t>
  </si>
  <si>
    <t>сентябрь</t>
  </si>
  <si>
    <t>октябрь</t>
  </si>
  <si>
    <t>ноябрь</t>
  </si>
  <si>
    <t>декабрь</t>
  </si>
  <si>
    <r>
      <t> </t>
    </r>
    <r>
      <rPr>
        <b/>
        <sz val="12"/>
        <color indexed="8"/>
        <rFont val="Times New Roman"/>
        <family val="1"/>
        <charset val="204"/>
      </rPr>
      <t>ВСЕГО</t>
    </r>
  </si>
  <si>
    <t>Доплата по государственному заданию</t>
  </si>
  <si>
    <t>Государственное задание </t>
  </si>
  <si>
    <t>стоимость услуги, руб.</t>
  </si>
  <si>
    <t>кол-во услуг, ед.</t>
  </si>
  <si>
    <t> Доходы от внебюджетной деятельности по проживанию и санаторно-курортному лечению</t>
  </si>
  <si>
    <t>доход от услуги, руб.</t>
  </si>
  <si>
    <t>Медицинские услуги </t>
  </si>
  <si>
    <t>Доход от услуги, руб.</t>
  </si>
  <si>
    <t>ИТОГО</t>
  </si>
  <si>
    <t>Начальник управления экономики и финансов</t>
  </si>
  <si>
    <t>________________</t>
  </si>
  <si>
    <t>А.А. Ботвинко</t>
  </si>
  <si>
    <t>Исполнитель: Ботвинко А.А.</t>
  </si>
  <si>
    <t>ОБАСС</t>
  </si>
  <si>
    <t>в т.ч. ДК</t>
  </si>
  <si>
    <t>Расчет нормативных  затрат  на оказание государственных услуг и нормативных затрат на содержание имущества ФГБУ "МФК Минфина России "на 2019 годы</t>
  </si>
  <si>
    <t>НЗ 2021</t>
  </si>
  <si>
    <t>62-р</t>
  </si>
  <si>
    <t>33 629, 9</t>
  </si>
  <si>
    <t>дорожная карта 2019-2021</t>
  </si>
  <si>
    <t>дор карта</t>
  </si>
  <si>
    <t>дорожка от Минздрава 19-21</t>
  </si>
  <si>
    <t>33629,9 (2018 год)</t>
  </si>
  <si>
    <t>дорожная карта - начисления 2019-2021</t>
  </si>
  <si>
    <t>дорожка от Минздрава 19-21 начисления</t>
  </si>
  <si>
    <t>Итого:МЗ+ГСМ</t>
  </si>
  <si>
    <t>1.2.7</t>
  </si>
  <si>
    <t>Отклонение в БП а Аналитике</t>
  </si>
  <si>
    <t>ОТ1+ОТ2</t>
  </si>
  <si>
    <t>норматив без налога и доржной карты</t>
  </si>
  <si>
    <t>норматив без доржной карты</t>
  </si>
  <si>
    <t>Семинары</t>
  </si>
  <si>
    <r>
      <t xml:space="preserve">в т.ч. Содержание (Икша и др)  </t>
    </r>
    <r>
      <rPr>
        <b/>
        <sz val="12"/>
        <rFont val="Times New Roman"/>
        <family val="1"/>
        <charset val="204"/>
      </rPr>
      <t>Корректировка</t>
    </r>
  </si>
  <si>
    <t>на 2021г.</t>
  </si>
  <si>
    <t>Свод заявок по целевым субсидиям на иные цели и фактическая оплата за 2016 год</t>
  </si>
  <si>
    <t>Организация</t>
  </si>
  <si>
    <t>Наименование документа</t>
  </si>
  <si>
    <t>Сумма по договору</t>
  </si>
  <si>
    <t>Факт оплата 2013</t>
  </si>
  <si>
    <t>Факт оплата 2014</t>
  </si>
  <si>
    <t>Факт оплата 2015</t>
  </si>
  <si>
    <t>Код Цели</t>
  </si>
  <si>
    <t>КОСГУ/КЭК</t>
  </si>
  <si>
    <t>ООО "СПЕЦСТРОЙГАРАНТ"</t>
  </si>
  <si>
    <t>Государственный контракт № 12-ОК-16 от 03.07.2016г.</t>
  </si>
  <si>
    <t>02-01</t>
  </si>
  <si>
    <t>РАСТОРЖЕНИЕ от 11.04.2018</t>
  </si>
  <si>
    <t>ООО "НВБ Проект"</t>
  </si>
  <si>
    <t>Государственный контракт № 58-ОАЭФ-16 от 03.07.2016г.</t>
  </si>
  <si>
    <t>РАСТОРЖЕНИЕ на основании письма 77/01 от 01.02.2017</t>
  </si>
  <si>
    <t>ООО "В2В-Сервис"</t>
  </si>
  <si>
    <t>Государственный контракт № 11-ОК-16 от 05.12.2016г.</t>
  </si>
  <si>
    <t>Расторжение от 25.05.2017г.</t>
  </si>
  <si>
    <t>ИП Колесникова О.Н.</t>
  </si>
  <si>
    <t>Контракт № 131-ОАЭФ-16 от 26.12.2016г.</t>
  </si>
  <si>
    <t>03-01</t>
  </si>
  <si>
    <t>РАСТОРЖЕНИЕ на основании письма 80/01 от 02.02.2017</t>
  </si>
  <si>
    <t>ИТОГО за 2016 год</t>
  </si>
  <si>
    <t>Свод заявок по целевым субсидиям на иные цели и фактическая оплата за 2017 год</t>
  </si>
  <si>
    <t>Код-цели</t>
  </si>
  <si>
    <t>КЭК</t>
  </si>
  <si>
    <t>КПС</t>
  </si>
  <si>
    <t>ООО "КОНТРФОРС"</t>
  </si>
  <si>
    <t>Государственный контракт № 01-ОАЭФ-17от 06.02.2017г.</t>
  </si>
  <si>
    <t>РАСТОРЖЕНИЕ от 22.03.2018</t>
  </si>
  <si>
    <t>ИП Салов Е.П.</t>
  </si>
  <si>
    <t>Государственный контракт № 06-ЕП-17от 07.03.2017г.</t>
  </si>
  <si>
    <t>ООО "Пост Модерн Текнододжи"</t>
  </si>
  <si>
    <t>Контракт № 03-ОАЭФ-17 от 27.03.2017г.</t>
  </si>
  <si>
    <t>08-01</t>
  </si>
  <si>
    <t>ООО "Цвет Севера"</t>
  </si>
  <si>
    <t>Контракт № 51-ОАЭФ-17 от 20.06.2017г.</t>
  </si>
  <si>
    <t>03-02</t>
  </si>
  <si>
    <t>ООО "Главсетьстрой"</t>
  </si>
  <si>
    <t>Контракт № 49-ОАЭФ-17 от 30.06.2017г.</t>
  </si>
  <si>
    <t>оплата по исполнительному</t>
  </si>
  <si>
    <t>АО ПК "ТиС"</t>
  </si>
  <si>
    <t>Контракт 35-ОАЭФ-17 от 19.09.2017</t>
  </si>
  <si>
    <t>ООО УК "Реал Эстейт"</t>
  </si>
  <si>
    <t>Контракт 34-ОАЭФ-17 от 26.09.2017</t>
  </si>
  <si>
    <t>РАСТОРЖЕНИЕ от 15.05.2018</t>
  </si>
  <si>
    <t>ООО "СтройИнжСервис"</t>
  </si>
  <si>
    <t>Контракт 95-ОАЭФ-17 от 28.09.2017</t>
  </si>
  <si>
    <t>02-99</t>
  </si>
  <si>
    <t>РАСТОРЖЕНИЕ от 07.02.2018</t>
  </si>
  <si>
    <t>ООО "СНАБПРОМСТРОЙ"</t>
  </si>
  <si>
    <t>Контракт 89-ОАЭФ-17 от 29.09.2017 Доп. Согл № 1 от 03.10.2017</t>
  </si>
  <si>
    <t>Контракт 102-ОАЭФ-17 от 01.12.2017</t>
  </si>
  <si>
    <t>ООО "ФЕНИКС"</t>
  </si>
  <si>
    <t>Контракт 123-ОАЭФ-17 от 15.12.2017</t>
  </si>
  <si>
    <t>РАСТОРЖЕНИЕ от 21.03.2018</t>
  </si>
  <si>
    <t>ООО "НИЛЭО"</t>
  </si>
  <si>
    <t>Договор № 10/17-28 от 24.11.2017г.</t>
  </si>
  <si>
    <t>02-10</t>
  </si>
  <si>
    <t>ООО "РетроСтройГрад"</t>
  </si>
  <si>
    <t>Контракт 119-ОАЭФ-17 от 25.12.2017</t>
  </si>
  <si>
    <t>02-14</t>
  </si>
  <si>
    <t>ООО "Стройгазмонтаж"</t>
  </si>
  <si>
    <t>Контракт 122-ОАЭФ-17 от 25.12.2017</t>
  </si>
  <si>
    <t>ООО "Лифтсервис"</t>
  </si>
  <si>
    <t>Контракт 135-ОАЭФ-17 от 25.12.2017</t>
  </si>
  <si>
    <t>РАСТОРЖЕНИЕ от 25.05.2018</t>
  </si>
  <si>
    <t>ООО "ПОС-Магазин"</t>
  </si>
  <si>
    <t>Договор № 09-12М/17 от 25.12.2017</t>
  </si>
  <si>
    <t>03-99</t>
  </si>
  <si>
    <t>ИТОГО за 2017 год</t>
  </si>
  <si>
    <t>Свод заявок по целевым субсидиям на иные цели и фактическая оплата за 2018 год</t>
  </si>
  <si>
    <t>ЮЖНЫЙ</t>
  </si>
  <si>
    <t>Выписка из штатного расписания филиала-Санаторий "ЮжныЙ" ФГБУ "МФК Минфина России"</t>
  </si>
  <si>
    <t>111/119</t>
  </si>
  <si>
    <t>610</t>
  </si>
  <si>
    <t>ООО «МСК»</t>
  </si>
  <si>
    <t>Контракт № 03-ЭА-18 от 26.03.2018</t>
  </si>
  <si>
    <t>225</t>
  </si>
  <si>
    <t>244</t>
  </si>
  <si>
    <t>Расторжение</t>
  </si>
  <si>
    <t>ООО "АТИС"</t>
  </si>
  <si>
    <t>Контракт 26-ЭА-18 от 24.04.2018</t>
  </si>
  <si>
    <t>310</t>
  </si>
  <si>
    <t>340</t>
  </si>
  <si>
    <t>ООО "Специализированное строительное управление - 6"</t>
  </si>
  <si>
    <t>Контракт 02-ЭА-18 от 25.04.2018</t>
  </si>
  <si>
    <t>243</t>
  </si>
  <si>
    <t>ООО "Крымская инженерная компания "Энерго-Альянс"</t>
  </si>
  <si>
    <t>Контракт 29-ЭА-18 от 27.04.2018</t>
  </si>
  <si>
    <t>ИП Алабушкин В.В.</t>
  </si>
  <si>
    <t>Контракт 35-ЭА-18 от 27.04.2018</t>
  </si>
  <si>
    <t>ИП Кузнецов С.П.</t>
  </si>
  <si>
    <t>Контракт № 54-ЭА-18 от 22.05.2018</t>
  </si>
  <si>
    <t>РАСТОРЖЕНИЕ 28.05.2017</t>
  </si>
  <si>
    <t>ООО "КомплексСтройпроект"</t>
  </si>
  <si>
    <t>Контракт № 60-ЭА-18 от 05.06.2018</t>
  </si>
  <si>
    <t>ООО "Аданат Групп"</t>
  </si>
  <si>
    <t>Контракт № 53-ЭА-18 от 23.05.2018</t>
  </si>
  <si>
    <t>Контракт № 62-ЭА-18 от 25.05.2018</t>
  </si>
  <si>
    <t>ООО "ИМЦ"</t>
  </si>
  <si>
    <t>Контракт № 80-ЭА-18 от 03.07.2018</t>
  </si>
  <si>
    <t>03-08</t>
  </si>
  <si>
    <t>226</t>
  </si>
  <si>
    <t>ООО "АБВ"</t>
  </si>
  <si>
    <t>Контракт № 78-ЭА-18 от 10.07.2018</t>
  </si>
  <si>
    <t>ООО "Строймакс-плюс"</t>
  </si>
  <si>
    <t>Контракт № 94-ЭА-18 от 17.07.2018</t>
  </si>
  <si>
    <t>ЗАО "Центр-проект"</t>
  </si>
  <si>
    <t>Договор  № 12-12/17 от 27.12.2017</t>
  </si>
  <si>
    <t>ООО "Еврострой"</t>
  </si>
  <si>
    <t>Контракт № 116-ЭА-18 от 04.09.2018</t>
  </si>
  <si>
    <t>ООО "Техремстрой ЛТД"</t>
  </si>
  <si>
    <t>Контракт № 117-ЭА-18 от 22.08.2018</t>
  </si>
  <si>
    <t>ООО "МРИЯ"</t>
  </si>
  <si>
    <t>Контракт № 119-ЭА-18 от 24.08.2018</t>
  </si>
  <si>
    <t>ООО "Виатера"</t>
  </si>
  <si>
    <t>Контракт № 122-ЭА-18 от 05.09.2018</t>
  </si>
  <si>
    <t>ООО "ЦМТ"</t>
  </si>
  <si>
    <t>Контракт № 123-ЭА-18 от 10.09.2018</t>
  </si>
  <si>
    <t>ООО "Управляющая компания - Реал Эстейт"</t>
  </si>
  <si>
    <t>Контракт № 133-ЭА-18 от 17.09.2018</t>
  </si>
  <si>
    <t>ООО "ЭЛИОТ Медицина"</t>
  </si>
  <si>
    <t>Контракт № 121-ЭА-18 от 02.10.2018</t>
  </si>
  <si>
    <t>Контракт № 134-ЭА-18 от 28.09.2018</t>
  </si>
  <si>
    <t>ИП Суфьянов А.Р.</t>
  </si>
  <si>
    <t>Контракт № 14-ЭА-18Ю от 31.07.2018</t>
  </si>
  <si>
    <t>ООО "Сельхозпром"</t>
  </si>
  <si>
    <t>Контракт № 148-ЭА-18 от 23.10.2018</t>
  </si>
  <si>
    <t>Контракт № 149-ЭА-18 от 23.10.2018</t>
  </si>
  <si>
    <t>Контракт № 150-ЭА-18 от 31.10.2018</t>
  </si>
  <si>
    <t>ИП Леляева А.Н.</t>
  </si>
  <si>
    <t>Контракт № 155-ЭА-18 от 06.11.2018</t>
  </si>
  <si>
    <t>ООО "ЭльКомфорт"</t>
  </si>
  <si>
    <t>Контракт № 161-ЭА-18 от 09.11.2018</t>
  </si>
  <si>
    <t>расторжение</t>
  </si>
  <si>
    <t>ООО "НПО Криста"</t>
  </si>
  <si>
    <t>Контракт № 169-ЭА-18 от 15.11.2018</t>
  </si>
  <si>
    <t>ООО "Ультра"</t>
  </si>
  <si>
    <t>Контракт № 175-ЭА-18 от 28.11.2018</t>
  </si>
  <si>
    <t>ЗАО "Мособлстройтрест № 11"</t>
  </si>
  <si>
    <t>Контракт № 178-ЭА-18 от 03.12.2018</t>
  </si>
  <si>
    <t>Контракт № 182-ЭА-18 от 06.12.2018</t>
  </si>
  <si>
    <t>Контракт № 186-ЭА-18 от 03.12.2018</t>
  </si>
  <si>
    <t>ИП Тимохина И.Э.</t>
  </si>
  <si>
    <t>Контракт № 193-ЭА-18 от 07.12.2018</t>
  </si>
  <si>
    <t>ООО "КлинДез"</t>
  </si>
  <si>
    <t>Контракт № 194-ЭА-18 от 06.12.2018</t>
  </si>
  <si>
    <t>ООО "Альянс ЧК"</t>
  </si>
  <si>
    <t>Контракт № 195-ЭА-18 от 06.12.2018</t>
  </si>
  <si>
    <t>ООО "МК Протон"</t>
  </si>
  <si>
    <t>Контракт № 204-ЭА-18 от 06.12.2018</t>
  </si>
  <si>
    <t>Контракт № 205-ЭА-18 от 06.12.2018</t>
  </si>
  <si>
    <t>Семинар № 1-6  Заявка 10</t>
  </si>
  <si>
    <t>Письмо МФ РФ № 11-05-06/3/ План-график проведения семинаров, конференций № 11-05-06/3/ВН-2351 от 15.01.2018г. Изм к доп. К Плану-графику от 01.02.2018, 14.03.2018, 28.04.2018, 30.08.2018, 10.10.2018, 19.10.2018</t>
  </si>
  <si>
    <t>08-14</t>
  </si>
  <si>
    <t>Семинар № 7  Заявка 10 ИКША</t>
  </si>
  <si>
    <t>ООО "КВИРКО"</t>
  </si>
  <si>
    <t>Контракт № 188-ЭА-18 от 14.12.2018</t>
  </si>
  <si>
    <t>ООО СК "Экспертспецстрой"</t>
  </si>
  <si>
    <t>Контракт № 196-ЭА-18 от 11.12.2018</t>
  </si>
  <si>
    <t>Контракт № 199-ЭА-18 от 11.12.2018</t>
  </si>
  <si>
    <t>Контракт № 213-ЭА-18 от 11.12.2018</t>
  </si>
  <si>
    <t>Контракт № 216-ЭА-18 от 10.12.2018</t>
  </si>
  <si>
    <t>Контракт № 173-ЭА-18 от 06.12.2018</t>
  </si>
  <si>
    <t>ООО "Прогресс"</t>
  </si>
  <si>
    <t>Контракт № 183-ЭА-18 от 08.12.2018</t>
  </si>
  <si>
    <t>ООО "Экоресурс"</t>
  </si>
  <si>
    <t>Контракт № 209-ЭА-18 от 18.12.2018</t>
  </si>
  <si>
    <t>ООО "Главмедторг"</t>
  </si>
  <si>
    <t>Контракт № 217-ЭА-18 от 18.12.2018</t>
  </si>
  <si>
    <t>Контракт № 218-ЭА-18 от 18.12.2018</t>
  </si>
  <si>
    <t>ООО "Ай Ти Групп"</t>
  </si>
  <si>
    <t>Контракт № 219-ЭА-18 от 18.12.2018</t>
  </si>
  <si>
    <t>ООО "Победитстрой"</t>
  </si>
  <si>
    <t>Контракт № 229-ЭА-18 от 18.12.2018</t>
  </si>
  <si>
    <t>Контракт № 208-ЭА-18 от 19.12.2018</t>
  </si>
  <si>
    <t>ООО "Скай Ай Ти"</t>
  </si>
  <si>
    <t>Контракт № 225-ЭА-18 от 21.12.2018</t>
  </si>
  <si>
    <t>ООО "Баланс Софт Проект"</t>
  </si>
  <si>
    <t>Контракт № 226-ЭА-18 от 21.12.2018</t>
  </si>
  <si>
    <t>ИП Шорин И.В.</t>
  </si>
  <si>
    <t>Договор № 02-155/2 от 18.06.2018</t>
  </si>
  <si>
    <t>04-05</t>
  </si>
  <si>
    <t>Договор № 02-168/2 от 19.07.2018</t>
  </si>
  <si>
    <t>ООО "Рэд Лайн Девелопмент"</t>
  </si>
  <si>
    <t>Договор № 02-185/2 от 03.08.2018</t>
  </si>
  <si>
    <t>ООО "СЭР-Клин"</t>
  </si>
  <si>
    <t>Договор № 02-194/2 от 30.08.2018</t>
  </si>
  <si>
    <t>Договор № 02-197/2 от 07.09.2018</t>
  </si>
  <si>
    <t>Договор № 02-200/2 от 25.09.2018</t>
  </si>
  <si>
    <t>Договор № 02-218/2 от 10.10.2018</t>
  </si>
  <si>
    <t>Договор № 02-229/2 от 31.10.2018</t>
  </si>
  <si>
    <t>Договор № 02-240/2 от 12.11.2018</t>
  </si>
  <si>
    <t>Договор № 02-250/2 от 23.11.2018</t>
  </si>
  <si>
    <t>Договор № 02-255/2 от 03.12.2018</t>
  </si>
  <si>
    <t>Договор № 02-290 от 20.12.2018</t>
  </si>
  <si>
    <t>ООО "СК Сеан Аква-Терм"</t>
  </si>
  <si>
    <t>Договор № 02-250/18 от 26.11.2018</t>
  </si>
  <si>
    <t>ООО "ГРАНД СП"</t>
  </si>
  <si>
    <t>Договор №  264/18 от 07.12.2018</t>
  </si>
  <si>
    <t>ООО "Вилком холдинг"</t>
  </si>
  <si>
    <t xml:space="preserve"> Договор № 282 от 18.12.2018</t>
  </si>
  <si>
    <t>ООО "Генпроектстрой"</t>
  </si>
  <si>
    <t>Контракт № 07-ОК-18 от 24.12.2018</t>
  </si>
  <si>
    <t>ООО Уралстрой"</t>
  </si>
  <si>
    <t>Контракт № 180-ЭА-18 от 24.12.2018</t>
  </si>
  <si>
    <t>ООО "МКПротон"</t>
  </si>
  <si>
    <t>Контракт № 206-ЭА-18 от 24.12.2018</t>
  </si>
  <si>
    <t>Контракт № 214-ЭА-18 от 24.12.2018</t>
  </si>
  <si>
    <t>ООО "МСК"</t>
  </si>
  <si>
    <t>Контракт № 227-ЭА-18 от 24.12.2018</t>
  </si>
  <si>
    <t>ООО "Профснаб"</t>
  </si>
  <si>
    <t>Контракт № 230-ЭА-18 от 24.12.2018</t>
  </si>
  <si>
    <t>ООО "Континиум"</t>
  </si>
  <si>
    <t>Контракт № 231-ЭА-18 от 21.12.2018</t>
  </si>
  <si>
    <t>ООО "Торакс"</t>
  </si>
  <si>
    <t>Договор № 02-294 от 21.12.2018</t>
  </si>
  <si>
    <t>Семинар № 1-5  Заявка 11</t>
  </si>
  <si>
    <t>ИТОГО за 2018 год</t>
  </si>
  <si>
    <t>ИТОГО остатки по кодам</t>
  </si>
  <si>
    <t>к возврату</t>
  </si>
  <si>
    <t>Расторжение 17.09.2018г.</t>
  </si>
  <si>
    <t>переходящие остатки</t>
  </si>
  <si>
    <t>Остаток субсидии на конец периода</t>
  </si>
  <si>
    <t>111</t>
  </si>
  <si>
    <t>Предмент контракта</t>
  </si>
  <si>
    <t>Предмет контракта</t>
  </si>
  <si>
    <t>Осуществление строительного контроля за объектом капитального ремонта изолятора ДОЛа для ФГБУ «МФК Минфина России»</t>
  </si>
  <si>
    <t>Выполнение работ по капитальному ремонту изолятора ДОЛа для ФГБУ «МФК Минфина России»</t>
  </si>
  <si>
    <t>Осуществление строительного контроля за капитальным ремонтом прачечной для ФГБУ «МФК Минфина России»</t>
  </si>
  <si>
    <t>Приобретение особо ценного движимого имущества: комплекты интерьерного текстиля для Лечебного корпуса № 2 (Москва) для ФГБУ «МФК Минфина России»</t>
  </si>
  <si>
    <t>Выполнение работ по  капитальному ремонту гаража</t>
  </si>
  <si>
    <t>Выполнение работ по капитальному ремонту автоматической пожарной сигнализации и системы оповещения корпусов филиала Санаторий «Южный» ФГБУ «МФК Минфина России»</t>
  </si>
  <si>
    <t>Выпонение работ по капитальному ремонту объектов недвижимого имущества (деревянный корпус)</t>
  </si>
  <si>
    <t xml:space="preserve">На выполнение работ по ремонту корпусов филиала – санаторий «Южный» 
ФГБУ «МФК Минфина России» Объект 2
</t>
  </si>
  <si>
    <t xml:space="preserve"> Выполнение работ по капитальному ремонту котельной  с поставкой оборудования
</t>
  </si>
  <si>
    <t>На выполнение работ по ремонту корпусов филиала – санаторий «Южный» ФГБУ «МФК Минфина России» Объект 1</t>
  </si>
  <si>
    <t>Субсидии в целях приобретения объектов особо ценного движимого имущества в части оборудования (Установка палубного крана Южный)</t>
  </si>
  <si>
    <t>Выполнение работ по ремонту помещений комплекса зданий и сооружений филиала Санаторий Южный</t>
  </si>
  <si>
    <t>Выполнение работ по ремонту лифтов филиала Санаторий Южный</t>
  </si>
  <si>
    <t>На выполнение работ по ремонту помещений и инженерных сетей филиала-Санаторий «Южный»</t>
  </si>
  <si>
    <t>Поставка изделий и принадлежностей для бильярда для филиала - Санаторий Южный ФГБУ МФК "Минфина России</t>
  </si>
  <si>
    <t>Поставка посуды для филиала - Санаторий "Южный" ФГБУ МФК "Минфина России"</t>
  </si>
  <si>
    <t>Поставка штор для филиала-Санаторий Южный ФГБУ «МФК Минфина России»</t>
  </si>
  <si>
    <t>выполнение работ по капитальному ремонту помещений главного корпуса филиала – Санаторий «Южный» ФГБУ «МФК Минфина России»</t>
  </si>
  <si>
    <t>Поставка садово-парковой  мебели для нужд филиала-Санаторий «Южный»</t>
  </si>
  <si>
    <t>Выполнение работ по завершению капитального ремонта здания прачечной на территории ФГБУ «МФК Минфина России»</t>
  </si>
  <si>
    <t>На выполнение работ по обустройству территории, прилегающей к зданиям ФГБУ «МФК Минфина России»</t>
  </si>
  <si>
    <t>Поставка мультимедийного оборудования для столовой ФГБУ МФК "Минфина России"</t>
  </si>
  <si>
    <t>Итого за 2016 год</t>
  </si>
  <si>
    <t>Итого за 2017 год</t>
  </si>
  <si>
    <t>Итого за 2018 год</t>
  </si>
  <si>
    <t>Переходящий остаток</t>
  </si>
  <si>
    <t>Остаток финансирования</t>
  </si>
  <si>
    <t>Контракт № 72-ОАЭФ-16 от 26.12.2016г. (заключен новый контракт в 2018г.)</t>
  </si>
  <si>
    <t>Итого за 2016-2018гг.</t>
  </si>
  <si>
    <t>норматив</t>
  </si>
  <si>
    <t>расчетный</t>
  </si>
  <si>
    <t>утвержденный</t>
  </si>
  <si>
    <t>переходящие</t>
  </si>
  <si>
    <t>Государственное задание</t>
  </si>
  <si>
    <t>Субсидии, предоставляемые в соответствии с абзацем втоым пункта 1 статьи 78.1 Бюджетного кодекса Российской Федерации</t>
  </si>
  <si>
    <t>01-99</t>
  </si>
  <si>
    <t>переходящие остатки Елочки</t>
  </si>
  <si>
    <t>переходящие остатки Икша</t>
  </si>
  <si>
    <t>Итого переходящие</t>
  </si>
  <si>
    <t>в т.ч. Икша</t>
  </si>
  <si>
    <r>
      <t xml:space="preserve">в т.ч. Икша </t>
    </r>
    <r>
      <rPr>
        <b/>
        <sz val="12"/>
        <rFont val="Times New Roman"/>
        <family val="1"/>
        <charset val="204"/>
      </rPr>
      <t>Корректировка</t>
    </r>
  </si>
  <si>
    <t>225/243</t>
  </si>
  <si>
    <t>226/243</t>
  </si>
  <si>
    <t>225/244</t>
  </si>
  <si>
    <t>226/244</t>
  </si>
  <si>
    <t>310/244</t>
  </si>
  <si>
    <t>310/243</t>
  </si>
  <si>
    <t>340/244</t>
  </si>
  <si>
    <t>Х</t>
  </si>
  <si>
    <t>Начальник планово-экономического отдела</t>
  </si>
  <si>
    <t>Е.В. Бойко</t>
  </si>
  <si>
    <t>на 01 января 2019 г.</t>
  </si>
  <si>
    <t>№ 
п/п</t>
  </si>
  <si>
    <t>II</t>
  </si>
  <si>
    <t>Нефинансовые активы, всего:</t>
  </si>
  <si>
    <t>Недвижимое имущество, всего:</t>
  </si>
  <si>
    <t>Остаточная стоимость</t>
  </si>
  <si>
    <t>Особо ценное движимое имущество, всего:</t>
  </si>
  <si>
    <t>Финансовые активы, всего:</t>
  </si>
  <si>
    <t>Денежные средства учреждения, всего:</t>
  </si>
  <si>
    <t>Денежные средства учреждения на счетах</t>
  </si>
  <si>
    <t>Денежные средства учреждения, размещенные на
депозиты в кредитной организации</t>
  </si>
  <si>
    <t>Денежные средства в кассе учреждения</t>
  </si>
  <si>
    <t>Иные финансовые инструменты</t>
  </si>
  <si>
    <t>Дебиторская задолженность по доходам</t>
  </si>
  <si>
    <t>Дебиторская задолженность по расходам</t>
  </si>
  <si>
    <t>III</t>
  </si>
  <si>
    <t>Обязательства, всего:</t>
  </si>
  <si>
    <t>Долговые обязательства</t>
  </si>
  <si>
    <t>Кредиторская задолженность:</t>
  </si>
  <si>
    <t>3.2.1</t>
  </si>
  <si>
    <t>Просроченная кредиторская задолженность</t>
  </si>
  <si>
    <t>I</t>
  </si>
  <si>
    <t>II. Показатели финансового состояния государственного бюджетного учреждения (подразделения)</t>
  </si>
  <si>
    <t>V. Сведения о средствах, поступающих</t>
  </si>
  <si>
    <t>на 01 января  2019 г.</t>
  </si>
  <si>
    <t>(очередной финансовый год)</t>
  </si>
  <si>
    <t>Сумма (руб., с точностью до двух знаков после запятой - 0,00) услуги, руб.</t>
  </si>
  <si>
    <t xml:space="preserve"> VI. Справочная информация</t>
  </si>
  <si>
    <t>Сумма (тыс. руб.)
услуги, руб.</t>
  </si>
  <si>
    <t>Объем бюджетных инвестиций (в части предельных полномочий государственного (муниципального) заказчика в соответствии с Бюджетным кодексом Российской Федерации), всего:</t>
  </si>
  <si>
    <t>Руководитель</t>
  </si>
  <si>
    <t>Хлопов О.Б.</t>
  </si>
  <si>
    <t>подпись</t>
  </si>
  <si>
    <t>(расшифровка подписи)</t>
  </si>
  <si>
    <t>Исполнитель</t>
  </si>
  <si>
    <t>тел.</t>
  </si>
  <si>
    <t>"___"________________2019 г.</t>
  </si>
  <si>
    <t>во временное распоряжение государственного бюджетного учреждения (подразделения)</t>
  </si>
  <si>
    <r>
      <t xml:space="preserve">в т.ч. 08-14 Ёлочки  </t>
    </r>
    <r>
      <rPr>
        <b/>
        <sz val="12"/>
        <rFont val="Times New Roman"/>
        <family val="1"/>
        <charset val="204"/>
      </rPr>
      <t>Корректировка</t>
    </r>
  </si>
  <si>
    <r>
      <t xml:space="preserve">в т.ч. 08-14 Икша  </t>
    </r>
    <r>
      <rPr>
        <b/>
        <sz val="12"/>
        <rFont val="Times New Roman"/>
        <family val="1"/>
        <charset val="204"/>
      </rPr>
      <t>Корректировка</t>
    </r>
  </si>
  <si>
    <t>Начальник Планово-экономического отдела</t>
  </si>
  <si>
    <t>1.4. Общая балансовая стоимость недвижимого государственного имущества, всего</t>
  </si>
  <si>
    <t xml:space="preserve">1.4.1. Стоимость имущества, закрепленного собственником имущества за государственным бюджетным учреждением на праве оперативного управления </t>
  </si>
  <si>
    <t>1.4.2. Стоимость имущества, приобретенного государственным бюджетным учреждением (подразделением) за счет средств выделенных собственником имущества учреждения средств</t>
  </si>
  <si>
    <t>1.4.3. Стоимость имущества, приобретенного государственным бюджетным учреждением (продразделением) за счет доходов, полученных от платной и иной приносящей доход деятельности</t>
  </si>
  <si>
    <t>1.5 Общая балансовая стоимость движимого государственного имущества, всего</t>
  </si>
  <si>
    <t>1.5.1. Балансовая стоимость особо ценного движимого имущества</t>
  </si>
  <si>
    <t>Адыкаева А.Ю.</t>
  </si>
  <si>
    <t>Расчет нормативных  затрат  на оказание государственных услуг и нормативных затрат на содержание имущества ФГБУ "МФК Минфина России "на 2019г.</t>
  </si>
  <si>
    <t>Итого:Мз без ГСМ</t>
  </si>
  <si>
    <t>Итого ИНЗ</t>
  </si>
  <si>
    <t>Итого ИНЗ+ резерв</t>
  </si>
  <si>
    <t>ВСЕГО МЗ+ИНЗ без резерва</t>
  </si>
  <si>
    <t>Дорожная карта:</t>
  </si>
  <si>
    <t>Начисления на заработную плату</t>
  </si>
  <si>
    <t>211 ДК</t>
  </si>
  <si>
    <t>213 ДК</t>
  </si>
  <si>
    <t>Икша</t>
  </si>
  <si>
    <t>утв значения</t>
  </si>
  <si>
    <t>изменения</t>
  </si>
  <si>
    <t>проч</t>
  </si>
  <si>
    <t>Общая</t>
  </si>
  <si>
    <t>Новые лимиты</t>
  </si>
  <si>
    <t>пр</t>
  </si>
  <si>
    <t>СВОД</t>
  </si>
  <si>
    <r>
      <t xml:space="preserve">Икша </t>
    </r>
    <r>
      <rPr>
        <b/>
        <sz val="12"/>
        <rFont val="Times New Roman"/>
        <family val="1"/>
        <charset val="204"/>
      </rPr>
      <t>корректировка</t>
    </r>
  </si>
  <si>
    <r>
      <t xml:space="preserve">Дорожная карта </t>
    </r>
    <r>
      <rPr>
        <b/>
        <sz val="12"/>
        <rFont val="Times New Roman"/>
        <family val="1"/>
        <charset val="204"/>
      </rPr>
      <t>корректировка</t>
    </r>
  </si>
  <si>
    <t>Н.А. Еркеева</t>
  </si>
  <si>
    <t>Заместитель руководителя по экономике и финансам</t>
  </si>
  <si>
    <t>Субсидия</t>
  </si>
  <si>
    <t>исполнено на 01.09.19</t>
  </si>
  <si>
    <t>прогноз на 31.12.19</t>
  </si>
  <si>
    <t>остаток от лимитов</t>
  </si>
  <si>
    <t>исполнено на 01.10.19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</si>
</sst>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0">
    <numFmt numFmtId="43" formatCode="_-* #,##0.00\ _₽_-;\-* #,##0.00\ _₽_-;_-* &quot;-&quot;??\ _₽_-;_-@_-"/>
    <numFmt numFmtId="164" formatCode="_-* #,##0.00_р_._-;\-* #,##0.00_р_._-;_-* &quot;-&quot;??_р_._-;_-@_-"/>
    <numFmt numFmtId="165" formatCode="[$-419]General"/>
    <numFmt numFmtId="166" formatCode="_-* #,##0.00\ &quot;р.&quot;_-;\-* #,##0.00\ &quot;р.&quot;_-;_-* &quot;-&quot;??\ &quot;р.&quot;_-;_-@_-"/>
    <numFmt numFmtId="167" formatCode="#,##0.00_р_."/>
    <numFmt numFmtId="168" formatCode="_(* #,##0.00_);_(* \(#,##0.00\);_(* &quot;-&quot;??_);_(@_)"/>
    <numFmt numFmtId="169" formatCode="#,##0.0000"/>
    <numFmt numFmtId="170" formatCode="0.0000"/>
    <numFmt numFmtId="171" formatCode="#,##0.0"/>
    <numFmt numFmtId="172" formatCode="0.000"/>
    <numFmt numFmtId="173" formatCode="0.0"/>
    <numFmt numFmtId="174" formatCode="#,##0.00_ ;\-#,##0.00\ "/>
    <numFmt numFmtId="175" formatCode="#,##0.000000"/>
    <numFmt numFmtId="176" formatCode="#,##0.00\ _₽"/>
    <numFmt numFmtId="177" formatCode="#,##0.00000000"/>
    <numFmt numFmtId="178" formatCode="#,##0.0000000000"/>
    <numFmt numFmtId="179" formatCode="#,##0.0000000"/>
    <numFmt numFmtId="180" formatCode="#,##0.00000000000"/>
    <numFmt numFmtId="181" formatCode="#,##0.000000000"/>
    <numFmt numFmtId="182" formatCode="#,##0.000"/>
  </numFmts>
  <fonts count="85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4"/>
      <color theme="1"/>
      <name val="Times New Roman"/>
      <family val="1"/>
      <charset val="204"/>
    </font>
    <font>
      <sz val="10"/>
      <name val="Arial"/>
      <family val="2"/>
      <charset val="204"/>
    </font>
    <font>
      <sz val="14"/>
      <name val="Times New Roman"/>
      <family val="1"/>
      <charset val="204"/>
    </font>
    <font>
      <u/>
      <sz val="14"/>
      <name val="Times New Roman"/>
      <family val="1"/>
      <charset val="204"/>
    </font>
    <font>
      <vertAlign val="superscript"/>
      <sz val="14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sz val="16"/>
      <color rgb="FF26282F"/>
      <name val="Times New Roman"/>
      <family val="1"/>
      <charset val="204"/>
    </font>
    <font>
      <sz val="10"/>
      <color rgb="FF000000"/>
      <name val="Arial Cyr"/>
      <charset val="204"/>
    </font>
    <font>
      <sz val="10"/>
      <name val="Arial Cyr"/>
      <family val="2"/>
      <charset val="204"/>
    </font>
    <font>
      <sz val="10"/>
      <name val="Arial"/>
      <family val="2"/>
    </font>
    <font>
      <sz val="10"/>
      <name val="Arial Cyr"/>
      <charset val="204"/>
    </font>
    <font>
      <sz val="8"/>
      <name val="Arial"/>
      <family val="2"/>
      <charset val="204"/>
    </font>
    <font>
      <sz val="11"/>
      <color theme="1"/>
      <name val="Calibri"/>
      <family val="2"/>
      <scheme val="minor"/>
    </font>
    <font>
      <sz val="8"/>
      <name val="Arial"/>
      <family val="2"/>
    </font>
    <font>
      <sz val="11"/>
      <name val="Times New Roman"/>
      <family val="1"/>
      <charset val="204"/>
    </font>
    <font>
      <sz val="10"/>
      <name val="Times New Roman"/>
      <family val="1"/>
      <charset val="204"/>
    </font>
    <font>
      <u/>
      <sz val="11"/>
      <name val="Times New Roman"/>
      <family val="1"/>
      <charset val="204"/>
    </font>
    <font>
      <vertAlign val="superscript"/>
      <sz val="11"/>
      <name val="Times New Roman"/>
      <family val="1"/>
      <charset val="204"/>
    </font>
    <font>
      <vertAlign val="superscript"/>
      <sz val="12"/>
      <name val="Times New Roman"/>
      <family val="1"/>
      <charset val="204"/>
    </font>
    <font>
      <b/>
      <sz val="14"/>
      <name val="Times New Roman"/>
      <family val="1"/>
      <charset val="204"/>
    </font>
    <font>
      <b/>
      <sz val="11"/>
      <name val="Times New Roman"/>
      <family val="1"/>
      <charset val="204"/>
    </font>
    <font>
      <sz val="11"/>
      <name val="Arial"/>
      <family val="2"/>
      <charset val="204"/>
    </font>
    <font>
      <b/>
      <u/>
      <sz val="12"/>
      <name val="Times New Roman"/>
      <family val="1"/>
      <charset val="204"/>
    </font>
    <font>
      <b/>
      <sz val="10"/>
      <name val="Arial"/>
      <family val="2"/>
      <charset val="204"/>
    </font>
    <font>
      <sz val="12"/>
      <name val="Times New Roman"/>
      <family val="1"/>
      <charset val="204"/>
    </font>
    <font>
      <b/>
      <sz val="12"/>
      <color rgb="FF26282F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1"/>
      <color rgb="FFFF0000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u/>
      <sz val="12"/>
      <name val="Times New Roman"/>
      <family val="1"/>
      <charset val="204"/>
    </font>
    <font>
      <b/>
      <sz val="9"/>
      <color indexed="81"/>
      <name val="Tahoma"/>
      <family val="2"/>
      <charset val="204"/>
    </font>
    <font>
      <sz val="9"/>
      <color indexed="81"/>
      <name val="Tahoma"/>
      <family val="2"/>
      <charset val="204"/>
    </font>
    <font>
      <sz val="10"/>
      <color theme="1"/>
      <name val="Times New Roman"/>
      <family val="1"/>
      <charset val="204"/>
    </font>
    <font>
      <sz val="11"/>
      <color rgb="FF7030A0"/>
      <name val="Times New Roman"/>
      <family val="1"/>
      <charset val="204"/>
    </font>
    <font>
      <b/>
      <sz val="11"/>
      <color rgb="FFFF0000"/>
      <name val="Times New Roman"/>
      <family val="1"/>
      <charset val="204"/>
    </font>
    <font>
      <i/>
      <sz val="12"/>
      <name val="Times New Roman"/>
      <family val="1"/>
      <charset val="204"/>
    </font>
    <font>
      <i/>
      <sz val="11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b/>
      <i/>
      <sz val="11"/>
      <color rgb="FFFF0000"/>
      <name val="Times New Roman"/>
      <family val="1"/>
      <charset val="204"/>
    </font>
    <font>
      <b/>
      <sz val="11"/>
      <color rgb="FF7030A0"/>
      <name val="Times New Roman"/>
      <family val="1"/>
      <charset val="204"/>
    </font>
    <font>
      <b/>
      <i/>
      <sz val="11"/>
      <color theme="1"/>
      <name val="Times New Roman"/>
      <family val="1"/>
      <charset val="204"/>
    </font>
    <font>
      <i/>
      <sz val="11"/>
      <color theme="1"/>
      <name val="Times New Roman"/>
      <family val="1"/>
      <charset val="204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2"/>
      <color rgb="FFFF0000"/>
      <name val="Times New Roman"/>
      <family val="1"/>
      <charset val="204"/>
    </font>
    <font>
      <sz val="10"/>
      <color theme="1"/>
      <name val="Calibri"/>
      <family val="2"/>
      <charset val="204"/>
      <scheme val="minor"/>
    </font>
    <font>
      <sz val="12"/>
      <color rgb="FF000000"/>
      <name val="Times New Roman"/>
      <family val="1"/>
      <charset val="204"/>
    </font>
    <font>
      <b/>
      <sz val="12"/>
      <color rgb="FF000000"/>
      <name val="Times New Roman"/>
      <family val="1"/>
      <charset val="204"/>
    </font>
    <font>
      <b/>
      <sz val="11"/>
      <color rgb="FF000000"/>
      <name val="Times New Roman"/>
      <family val="1"/>
      <charset val="204"/>
    </font>
    <font>
      <b/>
      <sz val="12"/>
      <color theme="0"/>
      <name val="Times New Roman"/>
      <family val="1"/>
      <charset val="204"/>
    </font>
    <font>
      <sz val="8"/>
      <color theme="1"/>
      <name val="Times New Roman"/>
      <family val="1"/>
      <charset val="204"/>
    </font>
    <font>
      <sz val="12"/>
      <color theme="0"/>
      <name val="Times New Roman"/>
      <family val="1"/>
      <charset val="204"/>
    </font>
    <font>
      <sz val="11"/>
      <color theme="0"/>
      <name val="Times New Roman"/>
      <family val="1"/>
      <charset val="204"/>
    </font>
    <font>
      <sz val="14"/>
      <color theme="0"/>
      <name val="Times New Roman"/>
      <family val="1"/>
      <charset val="204"/>
    </font>
    <font>
      <sz val="14"/>
      <color rgb="FFFF0000"/>
      <name val="Times New Roman"/>
      <family val="1"/>
      <charset val="204"/>
    </font>
    <font>
      <b/>
      <sz val="14"/>
      <color rgb="FFFF0000"/>
      <name val="Times New Roman"/>
      <family val="1"/>
      <charset val="204"/>
    </font>
    <font>
      <sz val="12"/>
      <color rgb="FF333333"/>
      <name val="Arial"/>
      <family val="2"/>
      <charset val="204"/>
    </font>
    <font>
      <b/>
      <i/>
      <sz val="14"/>
      <name val="Times New Roman"/>
      <family val="1"/>
      <charset val="204"/>
    </font>
    <font>
      <b/>
      <u/>
      <sz val="14"/>
      <name val="Times New Roman"/>
      <family val="1"/>
      <charset val="204"/>
    </font>
    <font>
      <b/>
      <sz val="11"/>
      <color theme="0"/>
      <name val="Times New Roman"/>
      <family val="1"/>
      <charset val="204"/>
    </font>
    <font>
      <b/>
      <sz val="11.5"/>
      <name val="Times New Roman"/>
      <family val="1"/>
      <charset val="204"/>
    </font>
    <font>
      <b/>
      <sz val="12"/>
      <color indexed="8"/>
      <name val="Times New Roman"/>
      <family val="1"/>
      <charset val="204"/>
    </font>
    <font>
      <sz val="9"/>
      <color rgb="FF000000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sz val="11"/>
      <color rgb="FF000000"/>
      <name val="Calibri"/>
      <family val="2"/>
      <charset val="204"/>
      <scheme val="minor"/>
    </font>
    <font>
      <b/>
      <sz val="10"/>
      <name val="Times New Roman"/>
      <family val="1"/>
      <charset val="204"/>
    </font>
    <font>
      <sz val="10"/>
      <name val="Arial"/>
      <family val="2"/>
      <charset val="204"/>
    </font>
    <font>
      <b/>
      <sz val="11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b/>
      <sz val="14"/>
      <color theme="1"/>
      <name val="Arial"/>
      <family val="2"/>
      <charset val="204"/>
    </font>
    <font>
      <b/>
      <sz val="11"/>
      <color theme="1"/>
      <name val="Arial"/>
      <family val="2"/>
      <charset val="204"/>
    </font>
    <font>
      <sz val="11"/>
      <color theme="1"/>
      <name val="Arial"/>
      <family val="2"/>
      <charset val="204"/>
    </font>
    <font>
      <sz val="9"/>
      <color theme="1"/>
      <name val="Times New Roman"/>
      <family val="1"/>
      <charset val="204"/>
    </font>
    <font>
      <b/>
      <sz val="11.5"/>
      <color theme="1"/>
      <name val="Times New Roman"/>
      <family val="1"/>
      <charset val="204"/>
    </font>
    <font>
      <sz val="11.5"/>
      <color theme="1"/>
      <name val="Times New Roman"/>
      <family val="1"/>
      <charset val="204"/>
    </font>
    <font>
      <sz val="11"/>
      <color rgb="FF00B050"/>
      <name val="Times New Roman"/>
      <family val="1"/>
      <charset val="204"/>
    </font>
    <font>
      <b/>
      <sz val="12"/>
      <color rgb="FFFF0000"/>
      <name val="Times New Roman"/>
      <family val="1"/>
      <charset val="204"/>
    </font>
    <font>
      <sz val="12"/>
      <color rgb="FF00B050"/>
      <name val="Times New Roman"/>
      <family val="1"/>
      <charset val="204"/>
    </font>
    <font>
      <sz val="8"/>
      <name val="Times New Roman"/>
      <family val="1"/>
      <charset val="204"/>
    </font>
    <font>
      <b/>
      <sz val="16"/>
      <color rgb="FFFF0000"/>
      <name val="Times New Roman"/>
      <family val="1"/>
      <charset val="204"/>
    </font>
    <font>
      <i/>
      <sz val="14"/>
      <color theme="1"/>
      <name val="Times New Roman"/>
      <family val="1"/>
      <charset val="204"/>
    </font>
  </fonts>
  <fills count="3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CCECFF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EBEB"/>
        <bgColor indexed="64"/>
      </patternFill>
    </fill>
    <fill>
      <patternFill patternType="solid">
        <fgColor rgb="FFE6FCFE"/>
        <bgColor indexed="64"/>
      </patternFill>
    </fill>
    <fill>
      <patternFill patternType="solid">
        <fgColor rgb="FFEDEDED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CC00CC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</fills>
  <borders count="7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rgb="FF000000"/>
      </top>
      <bottom/>
      <diagonal/>
    </border>
    <border>
      <left style="medium">
        <color indexed="64"/>
      </left>
      <right style="medium">
        <color indexed="64"/>
      </right>
      <top style="medium">
        <color rgb="FF000000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</borders>
  <cellStyleXfs count="109">
    <xf numFmtId="0" fontId="0" fillId="0" borderId="0"/>
    <xf numFmtId="0" fontId="3" fillId="0" borderId="0"/>
    <xf numFmtId="165" fontId="9" fillId="0" borderId="0" applyBorder="0" applyProtection="0"/>
    <xf numFmtId="166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1" fillId="0" borderId="0"/>
    <xf numFmtId="0" fontId="1" fillId="0" borderId="0"/>
    <xf numFmtId="0" fontId="12" fillId="0" borderId="0"/>
    <xf numFmtId="0" fontId="1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" fillId="0" borderId="0"/>
    <xf numFmtId="0" fontId="13" fillId="0" borderId="0"/>
    <xf numFmtId="0" fontId="14" fillId="0" borderId="0"/>
    <xf numFmtId="0" fontId="3" fillId="0" borderId="0"/>
    <xf numFmtId="0" fontId="3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4" fillId="0" borderId="0" applyFont="0" applyFill="0" applyBorder="0" applyAlignment="0" applyProtection="0"/>
    <xf numFmtId="168" fontId="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5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2" fillId="0" borderId="0" applyFont="0" applyFill="0" applyBorder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2" borderId="0" applyNumberFormat="0" applyBorder="0" applyAlignment="0" applyProtection="0"/>
    <xf numFmtId="0" fontId="46" fillId="13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6" borderId="0" applyNumberFormat="0" applyBorder="0" applyAlignment="0" applyProtection="0"/>
    <xf numFmtId="0" fontId="46" fillId="17" borderId="0" applyNumberFormat="0" applyBorder="0" applyAlignment="0" applyProtection="0"/>
    <xf numFmtId="0" fontId="46" fillId="18" borderId="0" applyNumberFormat="0" applyBorder="0" applyAlignment="0" applyProtection="0"/>
    <xf numFmtId="0" fontId="46" fillId="13" borderId="0" applyNumberFormat="0" applyBorder="0" applyAlignment="0" applyProtection="0"/>
    <xf numFmtId="0" fontId="46" fillId="16" borderId="0" applyNumberFormat="0" applyBorder="0" applyAlignment="0" applyProtection="0"/>
    <xf numFmtId="0" fontId="46" fillId="19" borderId="0" applyNumberFormat="0" applyBorder="0" applyAlignment="0" applyProtection="0"/>
    <xf numFmtId="0" fontId="47" fillId="20" borderId="0" applyNumberFormat="0" applyBorder="0" applyAlignment="0" applyProtection="0"/>
    <xf numFmtId="0" fontId="47" fillId="17" borderId="0" applyNumberFormat="0" applyBorder="0" applyAlignment="0" applyProtection="0"/>
    <xf numFmtId="0" fontId="47" fillId="18" borderId="0" applyNumberFormat="0" applyBorder="0" applyAlignment="0" applyProtection="0"/>
    <xf numFmtId="0" fontId="47" fillId="21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3" fillId="0" borderId="0"/>
    <xf numFmtId="0" fontId="15" fillId="0" borderId="0"/>
    <xf numFmtId="9" fontId="70" fillId="0" borderId="0" applyFill="0" applyBorder="0" applyAlignment="0" applyProtection="0"/>
    <xf numFmtId="0" fontId="72" fillId="0" borderId="0"/>
    <xf numFmtId="43" fontId="72" fillId="0" borderId="0" applyFont="0" applyFill="0" applyBorder="0" applyAlignment="0" applyProtection="0"/>
  </cellStyleXfs>
  <cellXfs count="1702">
    <xf numFmtId="0" fontId="0" fillId="0" borderId="0" xfId="0"/>
    <xf numFmtId="49" fontId="4" fillId="0" borderId="0" xfId="1" applyNumberFormat="1" applyFont="1" applyAlignment="1"/>
    <xf numFmtId="0" fontId="2" fillId="0" borderId="0" xfId="0" applyFont="1"/>
    <xf numFmtId="0" fontId="2" fillId="0" borderId="0" xfId="0" applyFont="1" applyAlignment="1">
      <alignment vertical="top" wrapText="1"/>
    </xf>
    <xf numFmtId="49" fontId="4" fillId="0" borderId="0" xfId="1" applyNumberFormat="1" applyFont="1"/>
    <xf numFmtId="0" fontId="2" fillId="0" borderId="0" xfId="0" applyFont="1" applyAlignment="1">
      <alignment horizontal="center" vertical="top" wrapText="1"/>
    </xf>
    <xf numFmtId="49" fontId="5" fillId="0" borderId="1" xfId="1" applyNumberFormat="1" applyFont="1" applyBorder="1" applyAlignment="1"/>
    <xf numFmtId="0" fontId="2" fillId="0" borderId="0" xfId="0" applyFont="1" applyAlignment="1">
      <alignment horizontal="justify" vertical="top" wrapText="1"/>
    </xf>
    <xf numFmtId="49" fontId="6" fillId="0" borderId="0" xfId="1" applyNumberFormat="1" applyFont="1" applyAlignment="1"/>
    <xf numFmtId="0" fontId="2" fillId="0" borderId="0" xfId="0" applyFont="1" applyAlignment="1">
      <alignment horizontal="justify"/>
    </xf>
    <xf numFmtId="0" fontId="2" fillId="0" borderId="1" xfId="0" applyFont="1" applyBorder="1"/>
    <xf numFmtId="49" fontId="4" fillId="0" borderId="1" xfId="1" applyNumberFormat="1" applyFont="1" applyBorder="1" applyAlignment="1">
      <alignment horizontal="right"/>
    </xf>
    <xf numFmtId="0" fontId="7" fillId="0" borderId="0" xfId="0" applyFont="1"/>
    <xf numFmtId="49" fontId="4" fillId="0" borderId="0" xfId="1" applyNumberFormat="1" applyFont="1" applyAlignment="1">
      <alignment horizontal="right"/>
    </xf>
    <xf numFmtId="0" fontId="2" fillId="0" borderId="3" xfId="0" applyFont="1" applyBorder="1" applyAlignment="1">
      <alignment horizontal="center" wrapText="1"/>
    </xf>
    <xf numFmtId="0" fontId="2" fillId="0" borderId="4" xfId="0" applyFont="1" applyBorder="1" applyAlignment="1">
      <alignment horizontal="right" wrapText="1"/>
    </xf>
    <xf numFmtId="0" fontId="2" fillId="0" borderId="5" xfId="0" applyFont="1" applyBorder="1" applyAlignment="1">
      <alignment horizontal="center" wrapText="1"/>
    </xf>
    <xf numFmtId="0" fontId="2" fillId="0" borderId="0" xfId="0" applyFont="1" applyAlignment="1">
      <alignment horizontal="center" wrapText="1"/>
    </xf>
    <xf numFmtId="0" fontId="2" fillId="0" borderId="0" xfId="0" applyFont="1" applyAlignment="1">
      <alignment wrapText="1"/>
    </xf>
    <xf numFmtId="0" fontId="2" fillId="0" borderId="4" xfId="0" applyFont="1" applyBorder="1" applyAlignment="1">
      <alignment horizontal="justify" vertical="top" wrapText="1"/>
    </xf>
    <xf numFmtId="0" fontId="2" fillId="0" borderId="4" xfId="0" applyFont="1" applyBorder="1" applyAlignment="1">
      <alignment horizontal="right" vertical="top" wrapText="1"/>
    </xf>
    <xf numFmtId="0" fontId="3" fillId="0" borderId="0" xfId="1"/>
    <xf numFmtId="0" fontId="25" fillId="0" borderId="0" xfId="1" applyFont="1" applyAlignment="1"/>
    <xf numFmtId="0" fontId="3" fillId="0" borderId="0" xfId="1" applyAlignment="1"/>
    <xf numFmtId="4" fontId="3" fillId="0" borderId="7" xfId="1" applyNumberFormat="1" applyBorder="1" applyAlignment="1">
      <alignment horizontal="center"/>
    </xf>
    <xf numFmtId="0" fontId="25" fillId="0" borderId="7" xfId="1" applyFont="1" applyBorder="1" applyAlignment="1">
      <alignment horizontal="center"/>
    </xf>
    <xf numFmtId="0" fontId="25" fillId="0" borderId="8" xfId="1" applyFont="1" applyBorder="1"/>
    <xf numFmtId="0" fontId="3" fillId="0" borderId="9" xfId="1" applyBorder="1"/>
    <xf numFmtId="4" fontId="25" fillId="0" borderId="7" xfId="1" applyNumberFormat="1" applyFont="1" applyBorder="1"/>
    <xf numFmtId="0" fontId="26" fillId="0" borderId="0" xfId="1" applyFont="1"/>
    <xf numFmtId="0" fontId="3" fillId="0" borderId="8" xfId="1" applyBorder="1"/>
    <xf numFmtId="0" fontId="3" fillId="0" borderId="10" xfId="1" applyBorder="1"/>
    <xf numFmtId="4" fontId="3" fillId="0" borderId="7" xfId="1" applyNumberFormat="1" applyBorder="1"/>
    <xf numFmtId="4" fontId="25" fillId="2" borderId="7" xfId="1" applyNumberFormat="1" applyFont="1" applyFill="1" applyBorder="1"/>
    <xf numFmtId="4" fontId="3" fillId="0" borderId="7" xfId="1" applyNumberFormat="1" applyFont="1" applyFill="1" applyBorder="1" applyAlignment="1">
      <alignment horizontal="right"/>
    </xf>
    <xf numFmtId="4" fontId="3" fillId="0" borderId="7" xfId="1" quotePrefix="1" applyNumberFormat="1" applyBorder="1" applyAlignment="1"/>
    <xf numFmtId="4" fontId="3" fillId="0" borderId="7" xfId="1" applyNumberFormat="1" applyFill="1" applyBorder="1"/>
    <xf numFmtId="4" fontId="3" fillId="0" borderId="7" xfId="1" quotePrefix="1" applyNumberFormat="1" applyBorder="1"/>
    <xf numFmtId="4" fontId="3" fillId="0" borderId="0" xfId="1" applyNumberFormat="1"/>
    <xf numFmtId="0" fontId="3" fillId="0" borderId="8" xfId="1" applyFill="1" applyBorder="1"/>
    <xf numFmtId="0" fontId="3" fillId="0" borderId="9" xfId="1" applyFill="1" applyBorder="1"/>
    <xf numFmtId="0" fontId="3" fillId="0" borderId="10" xfId="1" applyFill="1" applyBorder="1"/>
    <xf numFmtId="4" fontId="3" fillId="0" borderId="7" xfId="1" applyNumberFormat="1" applyFont="1" applyFill="1" applyBorder="1" applyAlignment="1">
      <alignment vertical="top" wrapText="1"/>
    </xf>
    <xf numFmtId="4" fontId="4" fillId="0" borderId="0" xfId="1" applyNumberFormat="1" applyFont="1" applyAlignment="1">
      <alignment vertical="top" wrapText="1"/>
    </xf>
    <xf numFmtId="0" fontId="3" fillId="0" borderId="0" xfId="1" applyBorder="1"/>
    <xf numFmtId="4" fontId="3" fillId="0" borderId="0" xfId="1" applyNumberFormat="1" applyBorder="1"/>
    <xf numFmtId="0" fontId="3" fillId="0" borderId="0" xfId="1" applyFill="1" applyBorder="1"/>
    <xf numFmtId="0" fontId="25" fillId="0" borderId="8" xfId="1" applyFont="1" applyFill="1" applyBorder="1"/>
    <xf numFmtId="4" fontId="25" fillId="0" borderId="7" xfId="1" applyNumberFormat="1" applyFont="1" applyFill="1" applyBorder="1"/>
    <xf numFmtId="0" fontId="3" fillId="0" borderId="7" xfId="1" applyFill="1" applyBorder="1"/>
    <xf numFmtId="0" fontId="25" fillId="0" borderId="7" xfId="1" applyFont="1" applyFill="1" applyBorder="1"/>
    <xf numFmtId="4" fontId="25" fillId="0" borderId="0" xfId="1" applyNumberFormat="1" applyFont="1" applyFill="1" applyBorder="1"/>
    <xf numFmtId="4" fontId="3" fillId="0" borderId="0" xfId="1" applyNumberFormat="1" applyFill="1" applyBorder="1"/>
    <xf numFmtId="0" fontId="3" fillId="0" borderId="7" xfId="1" applyBorder="1"/>
    <xf numFmtId="0" fontId="25" fillId="0" borderId="0" xfId="1" applyFont="1"/>
    <xf numFmtId="0" fontId="27" fillId="0" borderId="0" xfId="0" applyFont="1" applyAlignment="1">
      <alignment horizontal="left"/>
    </xf>
    <xf numFmtId="0" fontId="28" fillId="0" borderId="0" xfId="0" applyFont="1"/>
    <xf numFmtId="4" fontId="28" fillId="0" borderId="0" xfId="0" applyNumberFormat="1" applyFont="1"/>
    <xf numFmtId="0" fontId="7" fillId="0" borderId="0" xfId="0" applyFont="1" applyAlignment="1">
      <alignment horizontal="justify"/>
    </xf>
    <xf numFmtId="4" fontId="31" fillId="0" borderId="7" xfId="0" applyNumberFormat="1" applyFont="1" applyFill="1" applyBorder="1" applyAlignment="1">
      <alignment horizontal="center" vertical="center" wrapText="1"/>
    </xf>
    <xf numFmtId="0" fontId="7" fillId="0" borderId="7" xfId="0" applyFont="1" applyBorder="1" applyAlignment="1">
      <alignment vertical="top" wrapText="1"/>
    </xf>
    <xf numFmtId="0" fontId="7" fillId="0" borderId="7" xfId="0" applyFont="1" applyBorder="1" applyAlignment="1">
      <alignment horizontal="justify" vertical="top" wrapText="1"/>
    </xf>
    <xf numFmtId="4" fontId="26" fillId="0" borderId="7" xfId="0" applyNumberFormat="1" applyFont="1" applyFill="1" applyBorder="1" applyAlignment="1">
      <alignment horizontal="center" wrapText="1"/>
    </xf>
    <xf numFmtId="4" fontId="26" fillId="3" borderId="7" xfId="0" applyNumberFormat="1" applyFont="1" applyFill="1" applyBorder="1" applyAlignment="1">
      <alignment horizontal="center" vertical="center" wrapText="1"/>
    </xf>
    <xf numFmtId="4" fontId="26" fillId="0" borderId="7" xfId="0" applyNumberFormat="1" applyFont="1" applyFill="1" applyBorder="1" applyAlignment="1">
      <alignment horizontal="center" vertical="center" wrapText="1"/>
    </xf>
    <xf numFmtId="0" fontId="26" fillId="0" borderId="0" xfId="0" applyFont="1"/>
    <xf numFmtId="0" fontId="7" fillId="0" borderId="7" xfId="0" applyFont="1" applyBorder="1" applyAlignment="1">
      <alignment wrapText="1"/>
    </xf>
    <xf numFmtId="0" fontId="7" fillId="0" borderId="7" xfId="0" applyFont="1" applyBorder="1" applyAlignment="1">
      <alignment horizontal="center" wrapText="1"/>
    </xf>
    <xf numFmtId="4" fontId="7" fillId="0" borderId="7" xfId="0" applyNumberFormat="1" applyFont="1" applyBorder="1" applyAlignment="1">
      <alignment horizontal="center" wrapText="1"/>
    </xf>
    <xf numFmtId="4" fontId="7" fillId="0" borderId="0" xfId="0" applyNumberFormat="1" applyFont="1"/>
    <xf numFmtId="0" fontId="20" fillId="0" borderId="0" xfId="1" applyFont="1" applyAlignment="1">
      <alignment horizontal="center"/>
    </xf>
    <xf numFmtId="0" fontId="26" fillId="0" borderId="0" xfId="1" applyFont="1" applyAlignment="1"/>
    <xf numFmtId="0" fontId="7" fillId="0" borderId="7" xfId="0" applyFont="1" applyBorder="1" applyAlignment="1">
      <alignment horizontal="center" vertical="top" wrapText="1"/>
    </xf>
    <xf numFmtId="0" fontId="7" fillId="0" borderId="7" xfId="0" applyFont="1" applyBorder="1" applyAlignment="1">
      <alignment horizontal="justify" wrapText="1"/>
    </xf>
    <xf numFmtId="0" fontId="27" fillId="0" borderId="0" xfId="0" applyFont="1" applyAlignment="1">
      <alignment horizontal="center"/>
    </xf>
    <xf numFmtId="0" fontId="7" fillId="0" borderId="0" xfId="0" applyFont="1" applyAlignment="1"/>
    <xf numFmtId="0" fontId="4" fillId="0" borderId="0" xfId="1" applyFont="1"/>
    <xf numFmtId="0" fontId="4" fillId="0" borderId="0" xfId="1" applyFont="1" applyAlignment="1"/>
    <xf numFmtId="0" fontId="6" fillId="0" borderId="0" xfId="1" applyFont="1" applyAlignment="1">
      <alignment horizontal="center"/>
    </xf>
    <xf numFmtId="0" fontId="2" fillId="0" borderId="0" xfId="0" applyFont="1" applyAlignment="1"/>
    <xf numFmtId="0" fontId="7" fillId="0" borderId="0" xfId="0" applyFont="1" applyAlignment="1">
      <alignment vertical="top" wrapText="1"/>
    </xf>
    <xf numFmtId="0" fontId="36" fillId="0" borderId="0" xfId="0" applyFont="1" applyAlignment="1">
      <alignment vertical="top" wrapText="1"/>
    </xf>
    <xf numFmtId="0" fontId="36" fillId="0" borderId="0" xfId="0" applyFont="1"/>
    <xf numFmtId="0" fontId="7" fillId="0" borderId="0" xfId="0" applyFont="1" applyAlignment="1">
      <alignment horizontal="justify" vertical="top" wrapText="1"/>
    </xf>
    <xf numFmtId="49" fontId="3" fillId="0" borderId="0" xfId="1" applyNumberFormat="1" applyFill="1"/>
    <xf numFmtId="0" fontId="3" fillId="0" borderId="0" xfId="1" applyFill="1"/>
    <xf numFmtId="49" fontId="16" fillId="0" borderId="0" xfId="1" applyNumberFormat="1" applyFont="1" applyFill="1" applyAlignment="1">
      <alignment horizontal="center"/>
    </xf>
    <xf numFmtId="49" fontId="16" fillId="0" borderId="0" xfId="1" applyNumberFormat="1" applyFont="1" applyFill="1"/>
    <xf numFmtId="49" fontId="17" fillId="0" borderId="0" xfId="1" applyNumberFormat="1" applyFont="1" applyFill="1" applyAlignment="1"/>
    <xf numFmtId="49" fontId="16" fillId="0" borderId="0" xfId="1" applyNumberFormat="1" applyFont="1" applyFill="1" applyAlignment="1"/>
    <xf numFmtId="49" fontId="18" fillId="0" borderId="1" xfId="1" applyNumberFormat="1" applyFont="1" applyFill="1" applyBorder="1" applyAlignment="1"/>
    <xf numFmtId="49" fontId="19" fillId="0" borderId="0" xfId="1" applyNumberFormat="1" applyFont="1" applyFill="1" applyAlignment="1">
      <alignment horizontal="center"/>
    </xf>
    <xf numFmtId="49" fontId="19" fillId="0" borderId="0" xfId="1" applyNumberFormat="1" applyFont="1" applyFill="1" applyAlignment="1"/>
    <xf numFmtId="49" fontId="20" fillId="0" borderId="0" xfId="1" applyNumberFormat="1" applyFont="1" applyFill="1" applyAlignment="1"/>
    <xf numFmtId="49" fontId="16" fillId="0" borderId="1" xfId="1" applyNumberFormat="1" applyFont="1" applyFill="1" applyBorder="1"/>
    <xf numFmtId="49" fontId="16" fillId="0" borderId="1" xfId="1" applyNumberFormat="1" applyFont="1" applyFill="1" applyBorder="1" applyAlignment="1"/>
    <xf numFmtId="49" fontId="3" fillId="0" borderId="1" xfId="1" applyNumberFormat="1" applyFill="1" applyBorder="1" applyAlignment="1"/>
    <xf numFmtId="49" fontId="3" fillId="0" borderId="0" xfId="1" applyNumberFormat="1" applyFill="1" applyAlignment="1"/>
    <xf numFmtId="49" fontId="22" fillId="0" borderId="0" xfId="1" applyNumberFormat="1" applyFont="1" applyFill="1" applyAlignment="1">
      <alignment horizontal="center"/>
    </xf>
    <xf numFmtId="49" fontId="16" fillId="0" borderId="7" xfId="1" applyNumberFormat="1" applyFont="1" applyFill="1" applyBorder="1"/>
    <xf numFmtId="49" fontId="22" fillId="0" borderId="0" xfId="1" applyNumberFormat="1" applyFont="1" applyFill="1" applyAlignment="1"/>
    <xf numFmtId="49" fontId="23" fillId="0" borderId="0" xfId="1" applyNumberFormat="1" applyFont="1" applyFill="1"/>
    <xf numFmtId="49" fontId="16" fillId="0" borderId="7" xfId="1" applyNumberFormat="1" applyFont="1" applyFill="1" applyBorder="1" applyAlignment="1">
      <alignment horizontal="center"/>
    </xf>
    <xf numFmtId="49" fontId="16" fillId="0" borderId="0" xfId="1" applyNumberFormat="1" applyFont="1" applyFill="1" applyBorder="1"/>
    <xf numFmtId="49" fontId="21" fillId="0" borderId="0" xfId="1" applyNumberFormat="1" applyFont="1" applyFill="1" applyAlignment="1"/>
    <xf numFmtId="49" fontId="4" fillId="0" borderId="0" xfId="1" applyNumberFormat="1" applyFont="1" applyFill="1" applyAlignment="1"/>
    <xf numFmtId="49" fontId="22" fillId="0" borderId="0" xfId="1" applyNumberFormat="1" applyFont="1" applyFill="1"/>
    <xf numFmtId="49" fontId="16" fillId="0" borderId="0" xfId="1" applyNumberFormat="1" applyFont="1" applyFill="1" applyAlignment="1">
      <alignment wrapText="1"/>
    </xf>
    <xf numFmtId="0" fontId="3" fillId="0" borderId="0" xfId="1" applyFont="1" applyFill="1"/>
    <xf numFmtId="49" fontId="22" fillId="0" borderId="0" xfId="1" applyNumberFormat="1" applyFont="1" applyFill="1" applyAlignment="1">
      <alignment horizontal="center" vertical="top"/>
    </xf>
    <xf numFmtId="49" fontId="2" fillId="0" borderId="5" xfId="0" applyNumberFormat="1" applyFont="1" applyBorder="1" applyAlignment="1">
      <alignment horizontal="center" wrapText="1"/>
    </xf>
    <xf numFmtId="4" fontId="16" fillId="0" borderId="0" xfId="0" applyNumberFormat="1" applyFont="1" applyFill="1"/>
    <xf numFmtId="0" fontId="31" fillId="0" borderId="7" xfId="0" applyFont="1" applyFill="1" applyBorder="1" applyAlignment="1">
      <alignment vertical="center" wrapText="1"/>
    </xf>
    <xf numFmtId="0" fontId="31" fillId="0" borderId="11" xfId="0" applyFont="1" applyFill="1" applyBorder="1" applyAlignment="1">
      <alignment horizontal="center" vertical="top" wrapText="1"/>
    </xf>
    <xf numFmtId="0" fontId="31" fillId="0" borderId="7" xfId="0" applyFont="1" applyFill="1" applyBorder="1" applyAlignment="1">
      <alignment horizontal="center" vertical="center" wrapText="1"/>
    </xf>
    <xf numFmtId="0" fontId="22" fillId="0" borderId="0" xfId="0" applyFont="1" applyFill="1"/>
    <xf numFmtId="0" fontId="26" fillId="0" borderId="7" xfId="0" applyFont="1" applyFill="1" applyBorder="1" applyAlignment="1">
      <alignment vertical="center" wrapText="1"/>
    </xf>
    <xf numFmtId="0" fontId="16" fillId="0" borderId="0" xfId="0" applyFont="1" applyFill="1"/>
    <xf numFmtId="4" fontId="16" fillId="0" borderId="7" xfId="0" applyNumberFormat="1" applyFont="1" applyFill="1" applyBorder="1"/>
    <xf numFmtId="0" fontId="26" fillId="0" borderId="1" xfId="1" applyFont="1" applyBorder="1"/>
    <xf numFmtId="0" fontId="26" fillId="0" borderId="1" xfId="1" applyFont="1" applyBorder="1" applyAlignment="1"/>
    <xf numFmtId="0" fontId="16" fillId="0" borderId="0" xfId="0" applyFont="1" applyFill="1" applyAlignment="1">
      <alignment horizontal="center"/>
    </xf>
    <xf numFmtId="4" fontId="16" fillId="0" borderId="7" xfId="0" applyNumberFormat="1" applyFont="1" applyFill="1" applyBorder="1" applyAlignment="1">
      <alignment horizontal="center" vertical="center"/>
    </xf>
    <xf numFmtId="0" fontId="31" fillId="0" borderId="0" xfId="0" applyFont="1" applyFill="1" applyAlignment="1">
      <alignment horizontal="left"/>
    </xf>
    <xf numFmtId="0" fontId="16" fillId="0" borderId="0" xfId="0" applyFont="1" applyFill="1" applyAlignment="1">
      <alignment vertical="center"/>
    </xf>
    <xf numFmtId="0" fontId="16" fillId="0" borderId="0" xfId="0" applyFont="1" applyFill="1" applyAlignment="1"/>
    <xf numFmtId="0" fontId="26" fillId="0" borderId="0" xfId="0" applyFont="1" applyFill="1" applyAlignment="1">
      <alignment horizontal="left"/>
    </xf>
    <xf numFmtId="0" fontId="16" fillId="0" borderId="7" xfId="0" applyFont="1" applyFill="1" applyBorder="1" applyAlignment="1">
      <alignment horizontal="center"/>
    </xf>
    <xf numFmtId="10" fontId="16" fillId="0" borderId="0" xfId="0" applyNumberFormat="1" applyFont="1" applyFill="1"/>
    <xf numFmtId="0" fontId="26" fillId="0" borderId="0" xfId="0" applyFont="1" applyFill="1" applyAlignment="1">
      <alignment horizontal="justify"/>
    </xf>
    <xf numFmtId="0" fontId="31" fillId="0" borderId="7" xfId="0" applyFont="1" applyFill="1" applyBorder="1" applyAlignment="1">
      <alignment vertical="top" wrapText="1"/>
    </xf>
    <xf numFmtId="4" fontId="31" fillId="0" borderId="7" xfId="0" applyNumberFormat="1" applyFont="1" applyFill="1" applyBorder="1" applyAlignment="1">
      <alignment horizontal="center" wrapText="1"/>
    </xf>
    <xf numFmtId="0" fontId="26" fillId="0" borderId="7" xfId="0" applyFont="1" applyFill="1" applyBorder="1" applyAlignment="1">
      <alignment vertical="top" wrapText="1"/>
    </xf>
    <xf numFmtId="0" fontId="26" fillId="0" borderId="7" xfId="0" applyFont="1" applyFill="1" applyBorder="1" applyAlignment="1">
      <alignment horizontal="justify" vertical="top" wrapText="1"/>
    </xf>
    <xf numFmtId="0" fontId="26" fillId="0" borderId="7" xfId="0" applyFont="1" applyFill="1" applyBorder="1" applyAlignment="1">
      <alignment horizontal="justify" vertical="center" wrapText="1"/>
    </xf>
    <xf numFmtId="4" fontId="22" fillId="0" borderId="0" xfId="0" applyNumberFormat="1" applyFont="1" applyFill="1"/>
    <xf numFmtId="0" fontId="31" fillId="0" borderId="11" xfId="0" applyFont="1" applyFill="1" applyBorder="1" applyAlignment="1">
      <alignment vertical="top" wrapText="1"/>
    </xf>
    <xf numFmtId="4" fontId="16" fillId="0" borderId="0" xfId="0" applyNumberFormat="1" applyFont="1" applyFill="1" applyAlignment="1">
      <alignment horizontal="center"/>
    </xf>
    <xf numFmtId="0" fontId="31" fillId="0" borderId="7" xfId="0" applyFont="1" applyFill="1" applyBorder="1" applyAlignment="1">
      <alignment horizontal="justify" vertical="center" wrapText="1"/>
    </xf>
    <xf numFmtId="0" fontId="31" fillId="0" borderId="7" xfId="0" applyFont="1" applyFill="1" applyBorder="1" applyAlignment="1">
      <alignment horizontal="justify" vertical="top" wrapText="1"/>
    </xf>
    <xf numFmtId="0" fontId="26" fillId="0" borderId="13" xfId="0" applyFont="1" applyFill="1" applyBorder="1" applyAlignment="1">
      <alignment vertical="top" wrapText="1"/>
    </xf>
    <xf numFmtId="0" fontId="16" fillId="0" borderId="0" xfId="0" applyFont="1" applyFill="1" applyAlignment="1">
      <alignment horizontal="center" vertical="center"/>
    </xf>
    <xf numFmtId="49" fontId="39" fillId="0" borderId="11" xfId="0" applyNumberFormat="1" applyFont="1" applyFill="1" applyBorder="1" applyAlignment="1">
      <alignment horizontal="justify" vertical="center" wrapText="1"/>
    </xf>
    <xf numFmtId="0" fontId="39" fillId="0" borderId="13" xfId="0" applyFont="1" applyFill="1" applyBorder="1" applyAlignment="1">
      <alignment horizontal="center" vertical="top"/>
    </xf>
    <xf numFmtId="4" fontId="39" fillId="0" borderId="7" xfId="0" applyNumberFormat="1" applyFont="1" applyFill="1" applyBorder="1" applyAlignment="1">
      <alignment horizontal="center" vertical="center" wrapText="1"/>
    </xf>
    <xf numFmtId="0" fontId="40" fillId="0" borderId="0" xfId="0" applyFont="1" applyFill="1"/>
    <xf numFmtId="4" fontId="16" fillId="0" borderId="7" xfId="0" applyNumberFormat="1" applyFont="1" applyFill="1" applyBorder="1" applyAlignment="1">
      <alignment horizontal="center"/>
    </xf>
    <xf numFmtId="49" fontId="26" fillId="0" borderId="13" xfId="0" applyNumberFormat="1" applyFont="1" applyFill="1" applyBorder="1" applyAlignment="1">
      <alignment horizontal="center" vertical="center" wrapText="1"/>
    </xf>
    <xf numFmtId="0" fontId="39" fillId="0" borderId="11" xfId="0" applyFont="1" applyFill="1" applyBorder="1" applyAlignment="1">
      <alignment horizontal="center" vertical="top"/>
    </xf>
    <xf numFmtId="49" fontId="39" fillId="0" borderId="13" xfId="0" applyNumberFormat="1" applyFont="1" applyFill="1" applyBorder="1" applyAlignment="1">
      <alignment horizontal="justify" vertical="center" wrapText="1"/>
    </xf>
    <xf numFmtId="0" fontId="31" fillId="0" borderId="15" xfId="0" applyFont="1" applyFill="1" applyBorder="1" applyAlignment="1">
      <alignment vertical="top" wrapText="1"/>
    </xf>
    <xf numFmtId="0" fontId="16" fillId="0" borderId="0" xfId="0" applyFont="1" applyFill="1" applyAlignment="1">
      <alignment horizontal="left"/>
    </xf>
    <xf numFmtId="0" fontId="16" fillId="3" borderId="0" xfId="0" applyFont="1" applyFill="1"/>
    <xf numFmtId="4" fontId="31" fillId="3" borderId="7" xfId="0" applyNumberFormat="1" applyFont="1" applyFill="1" applyBorder="1" applyAlignment="1">
      <alignment horizontal="center" vertical="center" wrapText="1"/>
    </xf>
    <xf numFmtId="4" fontId="26" fillId="3" borderId="7" xfId="0" applyNumberFormat="1" applyFont="1" applyFill="1" applyBorder="1" applyAlignment="1">
      <alignment horizontal="center" vertical="top" wrapText="1"/>
    </xf>
    <xf numFmtId="0" fontId="16" fillId="7" borderId="0" xfId="0" applyFont="1" applyFill="1"/>
    <xf numFmtId="0" fontId="26" fillId="7" borderId="7" xfId="0" applyFont="1" applyFill="1" applyBorder="1" applyAlignment="1">
      <alignment horizontal="center" vertical="top" wrapText="1"/>
    </xf>
    <xf numFmtId="4" fontId="31" fillId="7" borderId="7" xfId="0" applyNumberFormat="1" applyFont="1" applyFill="1" applyBorder="1" applyAlignment="1">
      <alignment horizontal="center" vertical="center" wrapText="1"/>
    </xf>
    <xf numFmtId="4" fontId="26" fillId="7" borderId="7" xfId="0" applyNumberFormat="1" applyFont="1" applyFill="1" applyBorder="1" applyAlignment="1">
      <alignment horizontal="center" vertical="center" wrapText="1"/>
    </xf>
    <xf numFmtId="4" fontId="26" fillId="7" borderId="7" xfId="0" applyNumberFormat="1" applyFont="1" applyFill="1" applyBorder="1" applyAlignment="1">
      <alignment horizontal="center" vertical="top" wrapText="1"/>
    </xf>
    <xf numFmtId="0" fontId="26" fillId="8" borderId="15" xfId="0" applyFont="1" applyFill="1" applyBorder="1" applyAlignment="1">
      <alignment horizontal="center" vertical="top" wrapText="1"/>
    </xf>
    <xf numFmtId="4" fontId="31" fillId="8" borderId="7" xfId="0" applyNumberFormat="1" applyFont="1" applyFill="1" applyBorder="1" applyAlignment="1">
      <alignment horizontal="center" vertical="center" wrapText="1"/>
    </xf>
    <xf numFmtId="4" fontId="26" fillId="8" borderId="7" xfId="0" applyNumberFormat="1" applyFont="1" applyFill="1" applyBorder="1" applyAlignment="1">
      <alignment horizontal="center" vertical="center" wrapText="1"/>
    </xf>
    <xf numFmtId="4" fontId="39" fillId="3" borderId="7" xfId="0" applyNumberFormat="1" applyFont="1" applyFill="1" applyBorder="1" applyAlignment="1">
      <alignment horizontal="center" vertical="center" wrapText="1"/>
    </xf>
    <xf numFmtId="0" fontId="28" fillId="0" borderId="0" xfId="35" applyFont="1"/>
    <xf numFmtId="0" fontId="28" fillId="0" borderId="0" xfId="35" applyFont="1" applyAlignment="1">
      <alignment horizontal="center" vertical="center"/>
    </xf>
    <xf numFmtId="0" fontId="7" fillId="0" borderId="0" xfId="35" applyNumberFormat="1" applyFont="1" applyBorder="1" applyAlignment="1">
      <alignment vertical="top" wrapText="1"/>
    </xf>
    <xf numFmtId="169" fontId="28" fillId="0" borderId="0" xfId="35" applyNumberFormat="1" applyFont="1" applyFill="1" applyAlignment="1">
      <alignment vertical="top" wrapText="1"/>
    </xf>
    <xf numFmtId="4" fontId="28" fillId="0" borderId="0" xfId="35" applyNumberFormat="1" applyFont="1" applyFill="1" applyAlignment="1">
      <alignment vertical="top" wrapText="1"/>
    </xf>
    <xf numFmtId="0" fontId="28" fillId="0" borderId="0" xfId="35" applyFont="1" applyFill="1"/>
    <xf numFmtId="169" fontId="30" fillId="0" borderId="7" xfId="35" applyNumberFormat="1" applyFont="1" applyFill="1" applyBorder="1" applyAlignment="1">
      <alignment horizontal="center" vertical="top" wrapText="1"/>
    </xf>
    <xf numFmtId="0" fontId="28" fillId="0" borderId="0" xfId="35" applyFont="1" applyAlignment="1">
      <alignment horizontal="center"/>
    </xf>
    <xf numFmtId="0" fontId="32" fillId="0" borderId="7" xfId="35" applyFont="1" applyFill="1" applyBorder="1" applyAlignment="1">
      <alignment horizontal="center" vertical="center"/>
    </xf>
    <xf numFmtId="0" fontId="32" fillId="0" borderId="11" xfId="35" applyFont="1" applyBorder="1" applyAlignment="1">
      <alignment horizontal="center" vertical="center"/>
    </xf>
    <xf numFmtId="49" fontId="32" fillId="0" borderId="7" xfId="35" applyNumberFormat="1" applyFont="1" applyBorder="1" applyAlignment="1">
      <alignment horizontal="center" vertical="center"/>
    </xf>
    <xf numFmtId="49" fontId="28" fillId="0" borderId="8" xfId="35" applyNumberFormat="1" applyFont="1" applyBorder="1" applyAlignment="1">
      <alignment horizontal="center" vertical="center"/>
    </xf>
    <xf numFmtId="4" fontId="28" fillId="0" borderId="7" xfId="35" applyNumberFormat="1" applyFont="1" applyBorder="1" applyAlignment="1">
      <alignment vertical="center" wrapText="1"/>
    </xf>
    <xf numFmtId="169" fontId="29" fillId="0" borderId="7" xfId="35" applyNumberFormat="1" applyFont="1" applyFill="1" applyBorder="1" applyAlignment="1">
      <alignment vertical="center" wrapText="1"/>
    </xf>
    <xf numFmtId="4" fontId="16" fillId="0" borderId="7" xfId="35" applyNumberFormat="1" applyFont="1" applyFill="1" applyBorder="1" applyAlignment="1">
      <alignment vertical="center" wrapText="1"/>
    </xf>
    <xf numFmtId="169" fontId="16" fillId="0" borderId="7" xfId="35" applyNumberFormat="1" applyFont="1" applyFill="1" applyBorder="1" applyAlignment="1">
      <alignment vertical="center" wrapText="1"/>
    </xf>
    <xf numFmtId="4" fontId="16" fillId="0" borderId="7" xfId="35" applyNumberFormat="1" applyFont="1" applyFill="1" applyBorder="1" applyAlignment="1">
      <alignment vertical="top" wrapText="1"/>
    </xf>
    <xf numFmtId="4" fontId="16" fillId="0" borderId="0" xfId="35" applyNumberFormat="1" applyFont="1" applyFill="1" applyBorder="1" applyAlignment="1">
      <alignment vertical="top" wrapText="1"/>
    </xf>
    <xf numFmtId="49" fontId="32" fillId="5" borderId="8" xfId="35" applyNumberFormat="1" applyFont="1" applyFill="1" applyBorder="1" applyAlignment="1">
      <alignment horizontal="center" vertical="center"/>
    </xf>
    <xf numFmtId="4" fontId="32" fillId="5" borderId="7" xfId="35" applyNumberFormat="1" applyFont="1" applyFill="1" applyBorder="1" applyAlignment="1">
      <alignment vertical="center" wrapText="1"/>
    </xf>
    <xf numFmtId="169" fontId="38" fillId="5" borderId="7" xfId="35" applyNumberFormat="1" applyFont="1" applyFill="1" applyBorder="1" applyAlignment="1">
      <alignment vertical="center" wrapText="1"/>
    </xf>
    <xf numFmtId="169" fontId="22" fillId="5" borderId="7" xfId="35" applyNumberFormat="1" applyFont="1" applyFill="1" applyBorder="1" applyAlignment="1">
      <alignment vertical="center" wrapText="1"/>
    </xf>
    <xf numFmtId="0" fontId="32" fillId="0" borderId="0" xfId="35" applyFont="1"/>
    <xf numFmtId="4" fontId="22" fillId="0" borderId="0" xfId="35" applyNumberFormat="1" applyFont="1" applyFill="1" applyBorder="1" applyAlignment="1">
      <alignment vertical="top" wrapText="1"/>
    </xf>
    <xf numFmtId="4" fontId="22" fillId="0" borderId="7" xfId="35" applyNumberFormat="1" applyFont="1" applyFill="1" applyBorder="1" applyAlignment="1">
      <alignment vertical="top" wrapText="1"/>
    </xf>
    <xf numFmtId="0" fontId="28" fillId="0" borderId="8" xfId="35" applyFont="1" applyBorder="1" applyAlignment="1">
      <alignment horizontal="center" vertical="center"/>
    </xf>
    <xf numFmtId="4" fontId="32" fillId="0" borderId="7" xfId="35" applyNumberFormat="1" applyFont="1" applyBorder="1" applyAlignment="1">
      <alignment vertical="center" wrapText="1"/>
    </xf>
    <xf numFmtId="169" fontId="42" fillId="4" borderId="7" xfId="35" applyNumberFormat="1" applyFont="1" applyFill="1" applyBorder="1" applyAlignment="1">
      <alignment vertical="center" wrapText="1"/>
    </xf>
    <xf numFmtId="4" fontId="32" fillId="0" borderId="7" xfId="35" applyNumberFormat="1" applyFont="1" applyFill="1" applyBorder="1" applyAlignment="1">
      <alignment vertical="center" wrapText="1"/>
    </xf>
    <xf numFmtId="169" fontId="32" fillId="0" borderId="7" xfId="35" applyNumberFormat="1" applyFont="1" applyFill="1" applyBorder="1" applyAlignment="1">
      <alignment vertical="center" wrapText="1"/>
    </xf>
    <xf numFmtId="4" fontId="28" fillId="0" borderId="7" xfId="35" applyNumberFormat="1" applyFont="1" applyBorder="1" applyAlignment="1">
      <alignment vertical="top" wrapText="1"/>
    </xf>
    <xf numFmtId="169" fontId="28" fillId="0" borderId="7" xfId="35" applyNumberFormat="1" applyFont="1" applyFill="1" applyBorder="1" applyAlignment="1">
      <alignment vertical="top" wrapText="1"/>
    </xf>
    <xf numFmtId="169" fontId="16" fillId="0" borderId="7" xfId="35" applyNumberFormat="1" applyFont="1" applyFill="1" applyBorder="1" applyAlignment="1">
      <alignment vertical="top" wrapText="1"/>
    </xf>
    <xf numFmtId="0" fontId="28" fillId="0" borderId="7" xfId="35" applyFont="1" applyFill="1" applyBorder="1"/>
    <xf numFmtId="169" fontId="28" fillId="0" borderId="7" xfId="35" applyNumberFormat="1" applyFont="1" applyFill="1" applyBorder="1"/>
    <xf numFmtId="0" fontId="28" fillId="0" borderId="0" xfId="35" applyFont="1" applyAlignment="1">
      <alignment vertical="center"/>
    </xf>
    <xf numFmtId="4" fontId="32" fillId="0" borderId="7" xfId="35" applyNumberFormat="1" applyFont="1" applyBorder="1" applyAlignment="1">
      <alignment vertical="top" wrapText="1"/>
    </xf>
    <xf numFmtId="169" fontId="38" fillId="0" borderId="7" xfId="35" applyNumberFormat="1" applyFont="1" applyFill="1" applyBorder="1" applyAlignment="1">
      <alignment vertical="top" wrapText="1"/>
    </xf>
    <xf numFmtId="169" fontId="22" fillId="0" borderId="7" xfId="35" applyNumberFormat="1" applyFont="1" applyFill="1" applyBorder="1" applyAlignment="1">
      <alignment vertical="top" wrapText="1"/>
    </xf>
    <xf numFmtId="169" fontId="29" fillId="0" borderId="7" xfId="35" applyNumberFormat="1" applyFont="1" applyFill="1" applyBorder="1" applyAlignment="1">
      <alignment vertical="top" wrapText="1"/>
    </xf>
    <xf numFmtId="169" fontId="37" fillId="0" borderId="7" xfId="35" applyNumberFormat="1" applyFont="1" applyFill="1" applyBorder="1"/>
    <xf numFmtId="4" fontId="28" fillId="0" borderId="7" xfId="35" applyNumberFormat="1" applyFont="1" applyFill="1" applyBorder="1" applyAlignment="1">
      <alignment vertical="top" wrapText="1"/>
    </xf>
    <xf numFmtId="169" fontId="28" fillId="4" borderId="7" xfId="35" applyNumberFormat="1" applyFont="1" applyFill="1" applyBorder="1" applyAlignment="1">
      <alignment vertical="center"/>
    </xf>
    <xf numFmtId="169" fontId="43" fillId="0" borderId="7" xfId="35" applyNumberFormat="1" applyFont="1" applyFill="1" applyBorder="1" applyAlignment="1">
      <alignment vertical="top" wrapText="1"/>
    </xf>
    <xf numFmtId="4" fontId="44" fillId="2" borderId="7" xfId="35" applyNumberFormat="1" applyFont="1" applyFill="1" applyBorder="1" applyAlignment="1">
      <alignment vertical="top" wrapText="1"/>
    </xf>
    <xf numFmtId="169" fontId="38" fillId="4" borderId="7" xfId="35" applyNumberFormat="1" applyFont="1" applyFill="1" applyBorder="1" applyAlignment="1">
      <alignment vertical="top" wrapText="1"/>
    </xf>
    <xf numFmtId="4" fontId="44" fillId="0" borderId="7" xfId="35" applyNumberFormat="1" applyFont="1" applyFill="1" applyBorder="1" applyAlignment="1">
      <alignment vertical="top" wrapText="1"/>
    </xf>
    <xf numFmtId="169" fontId="44" fillId="0" borderId="7" xfId="35" applyNumberFormat="1" applyFont="1" applyFill="1" applyBorder="1" applyAlignment="1">
      <alignment vertical="top" wrapText="1"/>
    </xf>
    <xf numFmtId="169" fontId="42" fillId="4" borderId="7" xfId="35" applyNumberFormat="1" applyFont="1" applyFill="1" applyBorder="1" applyAlignment="1">
      <alignment vertical="top" wrapText="1"/>
    </xf>
    <xf numFmtId="0" fontId="45" fillId="0" borderId="0" xfId="35" applyFont="1"/>
    <xf numFmtId="49" fontId="28" fillId="6" borderId="8" xfId="35" applyNumberFormat="1" applyFont="1" applyFill="1" applyBorder="1" applyAlignment="1">
      <alignment horizontal="center" vertical="center"/>
    </xf>
    <xf numFmtId="4" fontId="32" fillId="6" borderId="7" xfId="35" applyNumberFormat="1" applyFont="1" applyFill="1" applyBorder="1" applyAlignment="1">
      <alignment vertical="top" wrapText="1"/>
    </xf>
    <xf numFmtId="169" fontId="38" fillId="6" borderId="7" xfId="35" applyNumberFormat="1" applyFont="1" applyFill="1" applyBorder="1" applyAlignment="1">
      <alignment vertical="top" wrapText="1"/>
    </xf>
    <xf numFmtId="169" fontId="32" fillId="6" borderId="7" xfId="35" applyNumberFormat="1" applyFont="1" applyFill="1" applyBorder="1" applyAlignment="1">
      <alignment vertical="top" wrapText="1"/>
    </xf>
    <xf numFmtId="49" fontId="32" fillId="0" borderId="8" xfId="35" applyNumberFormat="1" applyFont="1" applyBorder="1" applyAlignment="1">
      <alignment horizontal="center" vertical="center"/>
    </xf>
    <xf numFmtId="0" fontId="28" fillId="2" borderId="0" xfId="35" applyFont="1" applyFill="1"/>
    <xf numFmtId="170" fontId="29" fillId="0" borderId="7" xfId="35" applyNumberFormat="1" applyFont="1" applyFill="1" applyBorder="1" applyAlignment="1">
      <alignment vertical="center"/>
    </xf>
    <xf numFmtId="170" fontId="29" fillId="0" borderId="7" xfId="35" applyNumberFormat="1" applyFont="1" applyFill="1" applyBorder="1"/>
    <xf numFmtId="169" fontId="28" fillId="0" borderId="7" xfId="35" applyNumberFormat="1" applyFont="1" applyFill="1" applyBorder="1" applyAlignment="1">
      <alignment vertical="top"/>
    </xf>
    <xf numFmtId="170" fontId="29" fillId="0" borderId="7" xfId="35" applyNumberFormat="1" applyFont="1" applyFill="1" applyBorder="1" applyAlignment="1">
      <alignment vertical="top"/>
    </xf>
    <xf numFmtId="4" fontId="32" fillId="0" borderId="7" xfId="35" applyNumberFormat="1" applyFont="1" applyFill="1" applyBorder="1" applyAlignment="1">
      <alignment vertical="top" wrapText="1"/>
    </xf>
    <xf numFmtId="169" fontId="32" fillId="0" borderId="7" xfId="35" applyNumberFormat="1" applyFont="1" applyFill="1" applyBorder="1" applyAlignment="1">
      <alignment vertical="top" wrapText="1"/>
    </xf>
    <xf numFmtId="0" fontId="28" fillId="0" borderId="7" xfId="35" applyFont="1" applyBorder="1"/>
    <xf numFmtId="169" fontId="29" fillId="0" borderId="7" xfId="35" applyNumberFormat="1" applyFont="1" applyFill="1" applyBorder="1"/>
    <xf numFmtId="49" fontId="28" fillId="0" borderId="7" xfId="35" applyNumberFormat="1" applyFont="1" applyBorder="1" applyAlignment="1">
      <alignment horizontal="center" vertical="center"/>
    </xf>
    <xf numFmtId="169" fontId="38" fillId="4" borderId="7" xfId="35" applyNumberFormat="1" applyFont="1" applyFill="1" applyBorder="1" applyAlignment="1">
      <alignment vertical="center" wrapText="1"/>
    </xf>
    <xf numFmtId="4" fontId="22" fillId="0" borderId="7" xfId="35" applyNumberFormat="1" applyFont="1" applyFill="1" applyBorder="1" applyAlignment="1">
      <alignment vertical="center" wrapText="1"/>
    </xf>
    <xf numFmtId="169" fontId="22" fillId="0" borderId="7" xfId="35" applyNumberFormat="1" applyFont="1" applyFill="1" applyBorder="1" applyAlignment="1">
      <alignment vertical="center" wrapText="1"/>
    </xf>
    <xf numFmtId="170" fontId="28" fillId="0" borderId="7" xfId="35" applyNumberFormat="1" applyFont="1" applyFill="1" applyBorder="1"/>
    <xf numFmtId="4" fontId="28" fillId="6" borderId="7" xfId="35" applyNumberFormat="1" applyFont="1" applyFill="1" applyBorder="1" applyAlignment="1">
      <alignment vertical="top" wrapText="1"/>
    </xf>
    <xf numFmtId="169" fontId="29" fillId="6" borderId="7" xfId="35" applyNumberFormat="1" applyFont="1" applyFill="1" applyBorder="1" applyAlignment="1">
      <alignment vertical="top" wrapText="1"/>
    </xf>
    <xf numFmtId="4" fontId="16" fillId="6" borderId="7" xfId="35" applyNumberFormat="1" applyFont="1" applyFill="1" applyBorder="1" applyAlignment="1">
      <alignment vertical="top" wrapText="1"/>
    </xf>
    <xf numFmtId="169" fontId="16" fillId="6" borderId="7" xfId="35" applyNumberFormat="1" applyFont="1" applyFill="1" applyBorder="1" applyAlignment="1">
      <alignment vertical="top" wrapText="1"/>
    </xf>
    <xf numFmtId="169" fontId="42" fillId="6" borderId="7" xfId="35" applyNumberFormat="1" applyFont="1" applyFill="1" applyBorder="1" applyAlignment="1">
      <alignment vertical="top" wrapText="1"/>
    </xf>
    <xf numFmtId="169" fontId="28" fillId="6" borderId="7" xfId="35" applyNumberFormat="1" applyFont="1" applyFill="1" applyBorder="1"/>
    <xf numFmtId="49" fontId="28" fillId="9" borderId="8" xfId="35" applyNumberFormat="1" applyFont="1" applyFill="1" applyBorder="1" applyAlignment="1">
      <alignment horizontal="center" vertical="center"/>
    </xf>
    <xf numFmtId="0" fontId="32" fillId="9" borderId="7" xfId="35" applyNumberFormat="1" applyFont="1" applyFill="1" applyBorder="1" applyAlignment="1">
      <alignment vertical="top" wrapText="1"/>
    </xf>
    <xf numFmtId="169" fontId="32" fillId="9" borderId="7" xfId="35" applyNumberFormat="1" applyFont="1" applyFill="1" applyBorder="1" applyAlignment="1">
      <alignment vertical="top" wrapText="1"/>
    </xf>
    <xf numFmtId="4" fontId="32" fillId="9" borderId="7" xfId="35" applyNumberFormat="1" applyFont="1" applyFill="1" applyBorder="1" applyAlignment="1">
      <alignment vertical="top" wrapText="1"/>
    </xf>
    <xf numFmtId="171" fontId="32" fillId="9" borderId="7" xfId="35" applyNumberFormat="1" applyFont="1" applyFill="1" applyBorder="1" applyAlignment="1">
      <alignment vertical="top" wrapText="1"/>
    </xf>
    <xf numFmtId="4" fontId="28" fillId="0" borderId="0" xfId="35" applyNumberFormat="1" applyFont="1"/>
    <xf numFmtId="0" fontId="28" fillId="0" borderId="0" xfId="35" applyNumberFormat="1" applyFont="1" applyAlignment="1">
      <alignment vertical="top" wrapText="1"/>
    </xf>
    <xf numFmtId="4" fontId="28" fillId="0" borderId="0" xfId="35" applyNumberFormat="1" applyFont="1" applyFill="1"/>
    <xf numFmtId="0" fontId="28" fillId="0" borderId="0" xfId="35" applyFont="1" applyFill="1" applyAlignment="1">
      <alignment horizontal="center"/>
    </xf>
    <xf numFmtId="4" fontId="28" fillId="0" borderId="0" xfId="35" applyNumberFormat="1" applyFont="1" applyFill="1" applyAlignment="1">
      <alignment horizontal="center" vertical="top" wrapText="1"/>
    </xf>
    <xf numFmtId="169" fontId="28" fillId="0" borderId="0" xfId="35" applyNumberFormat="1" applyFont="1" applyFill="1"/>
    <xf numFmtId="169" fontId="28" fillId="0" borderId="0" xfId="35" applyNumberFormat="1" applyFont="1" applyFill="1" applyAlignment="1">
      <alignment horizontal="center" vertical="top" wrapText="1"/>
    </xf>
    <xf numFmtId="171" fontId="28" fillId="0" borderId="0" xfId="35" applyNumberFormat="1" applyFont="1" applyFill="1" applyAlignment="1">
      <alignment vertical="top" wrapText="1"/>
    </xf>
    <xf numFmtId="4" fontId="29" fillId="0" borderId="0" xfId="35" applyNumberFormat="1" applyFont="1" applyFill="1" applyAlignment="1">
      <alignment vertical="top" wrapText="1"/>
    </xf>
    <xf numFmtId="3" fontId="28" fillId="0" borderId="7" xfId="35" applyNumberFormat="1" applyFont="1" applyFill="1" applyBorder="1" applyAlignment="1">
      <alignment horizontal="center" vertical="top" wrapText="1"/>
    </xf>
    <xf numFmtId="4" fontId="28" fillId="0" borderId="7" xfId="35" applyNumberFormat="1" applyFont="1" applyFill="1" applyBorder="1"/>
    <xf numFmtId="172" fontId="28" fillId="0" borderId="0" xfId="35" applyNumberFormat="1" applyFont="1"/>
    <xf numFmtId="4" fontId="32" fillId="4" borderId="7" xfId="35" applyNumberFormat="1" applyFont="1" applyFill="1" applyBorder="1" applyAlignment="1">
      <alignment vertical="top" wrapText="1"/>
    </xf>
    <xf numFmtId="4" fontId="32" fillId="4" borderId="7" xfId="35" applyNumberFormat="1" applyFont="1" applyFill="1" applyBorder="1"/>
    <xf numFmtId="169" fontId="32" fillId="0" borderId="0" xfId="35" applyNumberFormat="1" applyFont="1" applyFill="1" applyAlignment="1">
      <alignment vertical="top" wrapText="1"/>
    </xf>
    <xf numFmtId="4" fontId="16" fillId="8" borderId="7" xfId="0" applyNumberFormat="1" applyFont="1" applyFill="1" applyBorder="1" applyAlignment="1">
      <alignment horizontal="center" vertical="center"/>
    </xf>
    <xf numFmtId="4" fontId="26" fillId="8" borderId="7" xfId="0" applyNumberFormat="1" applyFont="1" applyFill="1" applyBorder="1" applyAlignment="1">
      <alignment horizontal="justify" vertical="center" wrapText="1"/>
    </xf>
    <xf numFmtId="4" fontId="16" fillId="3" borderId="7" xfId="0" applyNumberFormat="1" applyFont="1" applyFill="1" applyBorder="1"/>
    <xf numFmtId="4" fontId="40" fillId="8" borderId="7" xfId="0" applyNumberFormat="1" applyFont="1" applyFill="1" applyBorder="1" applyAlignment="1">
      <alignment horizontal="center" vertical="center"/>
    </xf>
    <xf numFmtId="0" fontId="16" fillId="6" borderId="0" xfId="0" applyFont="1" applyFill="1"/>
    <xf numFmtId="4" fontId="16" fillId="6" borderId="0" xfId="0" applyNumberFormat="1" applyFont="1" applyFill="1" applyAlignment="1">
      <alignment horizontal="center"/>
    </xf>
    <xf numFmtId="0" fontId="26" fillId="0" borderId="15" xfId="0" applyFont="1" applyFill="1" applyBorder="1" applyAlignment="1">
      <alignment horizontal="center" wrapText="1"/>
    </xf>
    <xf numFmtId="4" fontId="26" fillId="0" borderId="7" xfId="0" applyNumberFormat="1" applyFont="1" applyFill="1" applyBorder="1" applyAlignment="1">
      <alignment horizontal="center" vertical="top" wrapText="1"/>
    </xf>
    <xf numFmtId="4" fontId="26" fillId="0" borderId="7" xfId="0" applyNumberFormat="1" applyFont="1" applyFill="1" applyBorder="1" applyAlignment="1">
      <alignment horizontal="justify" vertical="center" wrapText="1"/>
    </xf>
    <xf numFmtId="4" fontId="26" fillId="0" borderId="7" xfId="0" applyNumberFormat="1" applyFont="1" applyFill="1" applyBorder="1" applyAlignment="1">
      <alignment horizontal="justify" vertical="top" wrapText="1"/>
    </xf>
    <xf numFmtId="4" fontId="26" fillId="0" borderId="8" xfId="0" applyNumberFormat="1" applyFont="1" applyFill="1" applyBorder="1" applyAlignment="1">
      <alignment horizontal="center" vertical="center" wrapText="1"/>
    </xf>
    <xf numFmtId="4" fontId="40" fillId="0" borderId="7" xfId="0" applyNumberFormat="1" applyFont="1" applyFill="1" applyBorder="1" applyAlignment="1">
      <alignment horizontal="center" vertical="center"/>
    </xf>
    <xf numFmtId="0" fontId="7" fillId="0" borderId="7" xfId="0" applyFont="1" applyBorder="1" applyAlignment="1">
      <alignment horizontal="center" vertical="top" wrapText="1"/>
    </xf>
    <xf numFmtId="0" fontId="7" fillId="0" borderId="7" xfId="0" applyFont="1" applyBorder="1" applyAlignment="1">
      <alignment horizontal="center" vertical="center" wrapText="1"/>
    </xf>
    <xf numFmtId="4" fontId="7" fillId="0" borderId="7" xfId="0" applyNumberFormat="1" applyFont="1" applyBorder="1" applyAlignment="1">
      <alignment horizontal="center" vertical="center" wrapText="1"/>
    </xf>
    <xf numFmtId="0" fontId="26" fillId="0" borderId="10" xfId="0" applyFont="1" applyFill="1" applyBorder="1" applyAlignment="1">
      <alignment horizontal="center" vertical="center" wrapText="1"/>
    </xf>
    <xf numFmtId="0" fontId="26" fillId="3" borderId="24" xfId="0" applyFont="1" applyFill="1" applyBorder="1" applyAlignment="1">
      <alignment horizontal="center" vertical="top" wrapText="1"/>
    </xf>
    <xf numFmtId="4" fontId="31" fillId="3" borderId="22" xfId="0" applyNumberFormat="1" applyFont="1" applyFill="1" applyBorder="1" applyAlignment="1">
      <alignment horizontal="center" vertical="center" wrapText="1"/>
    </xf>
    <xf numFmtId="4" fontId="26" fillId="3" borderId="22" xfId="0" applyNumberFormat="1" applyFont="1" applyFill="1" applyBorder="1" applyAlignment="1">
      <alignment horizontal="center" vertical="top" wrapText="1"/>
    </xf>
    <xf numFmtId="4" fontId="16" fillId="3" borderId="22" xfId="0" applyNumberFormat="1" applyFont="1" applyFill="1" applyBorder="1"/>
    <xf numFmtId="4" fontId="26" fillId="3" borderId="22" xfId="0" applyNumberFormat="1" applyFont="1" applyFill="1" applyBorder="1" applyAlignment="1">
      <alignment horizontal="center" vertical="center" wrapText="1"/>
    </xf>
    <xf numFmtId="4" fontId="39" fillId="3" borderId="22" xfId="0" applyNumberFormat="1" applyFont="1" applyFill="1" applyBorder="1" applyAlignment="1">
      <alignment horizontal="center" vertical="center" wrapText="1"/>
    </xf>
    <xf numFmtId="4" fontId="31" fillId="3" borderId="26" xfId="0" applyNumberFormat="1" applyFont="1" applyFill="1" applyBorder="1" applyAlignment="1">
      <alignment horizontal="center" vertical="center" wrapText="1"/>
    </xf>
    <xf numFmtId="0" fontId="26" fillId="7" borderId="10" xfId="0" applyFont="1" applyFill="1" applyBorder="1" applyAlignment="1">
      <alignment horizontal="center" vertical="top" wrapText="1"/>
    </xf>
    <xf numFmtId="4" fontId="31" fillId="7" borderId="10" xfId="0" applyNumberFormat="1" applyFont="1" applyFill="1" applyBorder="1" applyAlignment="1">
      <alignment horizontal="center" vertical="center" wrapText="1"/>
    </xf>
    <xf numFmtId="4" fontId="26" fillId="7" borderId="10" xfId="0" applyNumberFormat="1" applyFont="1" applyFill="1" applyBorder="1" applyAlignment="1">
      <alignment horizontal="center" vertical="top" wrapText="1"/>
    </xf>
    <xf numFmtId="4" fontId="26" fillId="7" borderId="10" xfId="0" applyNumberFormat="1" applyFont="1" applyFill="1" applyBorder="1" applyAlignment="1">
      <alignment horizontal="center" vertical="center" wrapText="1"/>
    </xf>
    <xf numFmtId="4" fontId="16" fillId="7" borderId="10" xfId="0" applyNumberFormat="1" applyFont="1" applyFill="1" applyBorder="1" applyAlignment="1">
      <alignment horizontal="center" vertical="center"/>
    </xf>
    <xf numFmtId="4" fontId="40" fillId="7" borderId="10" xfId="0" applyNumberFormat="1" applyFont="1" applyFill="1" applyBorder="1" applyAlignment="1">
      <alignment horizontal="center" vertical="center"/>
    </xf>
    <xf numFmtId="0" fontId="26" fillId="7" borderId="29" xfId="0" applyFont="1" applyFill="1" applyBorder="1" applyAlignment="1">
      <alignment horizontal="center" vertical="center" wrapText="1"/>
    </xf>
    <xf numFmtId="0" fontId="26" fillId="7" borderId="30" xfId="0" applyFont="1" applyFill="1" applyBorder="1" applyAlignment="1">
      <alignment horizontal="center" vertical="center" wrapText="1"/>
    </xf>
    <xf numFmtId="0" fontId="26" fillId="7" borderId="31" xfId="0" applyFont="1" applyFill="1" applyBorder="1" applyAlignment="1">
      <alignment horizontal="center" vertical="center" wrapText="1"/>
    </xf>
    <xf numFmtId="0" fontId="26" fillId="7" borderId="22" xfId="0" applyFont="1" applyFill="1" applyBorder="1" applyAlignment="1">
      <alignment horizontal="center" vertical="top" wrapText="1"/>
    </xf>
    <xf numFmtId="0" fontId="26" fillId="7" borderId="23" xfId="0" applyFont="1" applyFill="1" applyBorder="1" applyAlignment="1">
      <alignment horizontal="center" vertical="top" wrapText="1"/>
    </xf>
    <xf numFmtId="4" fontId="31" fillId="7" borderId="22" xfId="0" applyNumberFormat="1" applyFont="1" applyFill="1" applyBorder="1" applyAlignment="1">
      <alignment horizontal="center" vertical="center" wrapText="1"/>
    </xf>
    <xf numFmtId="4" fontId="31" fillId="7" borderId="23" xfId="0" applyNumberFormat="1" applyFont="1" applyFill="1" applyBorder="1" applyAlignment="1">
      <alignment horizontal="center" vertical="center" wrapText="1"/>
    </xf>
    <xf numFmtId="4" fontId="26" fillId="7" borderId="22" xfId="0" applyNumberFormat="1" applyFont="1" applyFill="1" applyBorder="1" applyAlignment="1">
      <alignment horizontal="center" vertical="top" wrapText="1"/>
    </xf>
    <xf numFmtId="4" fontId="26" fillId="7" borderId="23" xfId="0" applyNumberFormat="1" applyFont="1" applyFill="1" applyBorder="1" applyAlignment="1">
      <alignment horizontal="center" vertical="top" wrapText="1"/>
    </xf>
    <xf numFmtId="4" fontId="26" fillId="7" borderId="22" xfId="0" applyNumberFormat="1" applyFont="1" applyFill="1" applyBorder="1" applyAlignment="1">
      <alignment horizontal="center" vertical="center" wrapText="1"/>
    </xf>
    <xf numFmtId="4" fontId="26" fillId="7" borderId="23" xfId="0" applyNumberFormat="1" applyFont="1" applyFill="1" applyBorder="1" applyAlignment="1">
      <alignment horizontal="center" vertical="center" wrapText="1"/>
    </xf>
    <xf numFmtId="4" fontId="16" fillId="7" borderId="22" xfId="0" applyNumberFormat="1" applyFont="1" applyFill="1" applyBorder="1" applyAlignment="1">
      <alignment horizontal="center" vertical="center"/>
    </xf>
    <xf numFmtId="4" fontId="16" fillId="7" borderId="23" xfId="0" applyNumberFormat="1" applyFont="1" applyFill="1" applyBorder="1" applyAlignment="1">
      <alignment horizontal="center" vertical="center"/>
    </xf>
    <xf numFmtId="4" fontId="40" fillId="7" borderId="22" xfId="0" applyNumberFormat="1" applyFont="1" applyFill="1" applyBorder="1" applyAlignment="1">
      <alignment horizontal="center" vertical="center"/>
    </xf>
    <xf numFmtId="4" fontId="40" fillId="7" borderId="23" xfId="0" applyNumberFormat="1" applyFont="1" applyFill="1" applyBorder="1" applyAlignment="1">
      <alignment horizontal="center" vertical="center"/>
    </xf>
    <xf numFmtId="4" fontId="31" fillId="7" borderId="26" xfId="0" applyNumberFormat="1" applyFont="1" applyFill="1" applyBorder="1" applyAlignment="1">
      <alignment horizontal="center" vertical="center" wrapText="1"/>
    </xf>
    <xf numFmtId="4" fontId="31" fillId="7" borderId="27" xfId="0" applyNumberFormat="1" applyFont="1" applyFill="1" applyBorder="1" applyAlignment="1">
      <alignment horizontal="center" vertical="center" wrapText="1"/>
    </xf>
    <xf numFmtId="4" fontId="31" fillId="7" borderId="28" xfId="0" applyNumberFormat="1" applyFont="1" applyFill="1" applyBorder="1" applyAlignment="1">
      <alignment horizontal="center" vertical="center" wrapText="1"/>
    </xf>
    <xf numFmtId="0" fontId="26" fillId="3" borderId="18" xfId="0" applyFont="1" applyFill="1" applyBorder="1" applyAlignment="1">
      <alignment horizontal="center" vertical="top" wrapText="1"/>
    </xf>
    <xf numFmtId="4" fontId="31" fillId="3" borderId="10" xfId="0" applyNumberFormat="1" applyFont="1" applyFill="1" applyBorder="1" applyAlignment="1">
      <alignment horizontal="center" vertical="center" wrapText="1"/>
    </xf>
    <xf numFmtId="4" fontId="26" fillId="3" borderId="10" xfId="0" applyNumberFormat="1" applyFont="1" applyFill="1" applyBorder="1" applyAlignment="1">
      <alignment horizontal="center" vertical="top" wrapText="1"/>
    </xf>
    <xf numFmtId="4" fontId="16" fillId="3" borderId="10" xfId="0" applyNumberFormat="1" applyFont="1" applyFill="1" applyBorder="1"/>
    <xf numFmtId="4" fontId="26" fillId="3" borderId="10" xfId="0" applyNumberFormat="1" applyFont="1" applyFill="1" applyBorder="1" applyAlignment="1">
      <alignment horizontal="center" vertical="center" wrapText="1"/>
    </xf>
    <xf numFmtId="0" fontId="26" fillId="7" borderId="32" xfId="0" applyFont="1" applyFill="1" applyBorder="1" applyAlignment="1">
      <alignment horizontal="center" vertical="center" wrapText="1"/>
    </xf>
    <xf numFmtId="0" fontId="26" fillId="7" borderId="33" xfId="0" applyFont="1" applyFill="1" applyBorder="1" applyAlignment="1">
      <alignment horizontal="center" vertical="center" wrapText="1"/>
    </xf>
    <xf numFmtId="0" fontId="26" fillId="7" borderId="34" xfId="0" applyFont="1" applyFill="1" applyBorder="1" applyAlignment="1">
      <alignment horizontal="center" vertical="top" wrapText="1"/>
    </xf>
    <xf numFmtId="4" fontId="31" fillId="7" borderId="34" xfId="0" applyNumberFormat="1" applyFont="1" applyFill="1" applyBorder="1" applyAlignment="1">
      <alignment horizontal="center" vertical="center" wrapText="1"/>
    </xf>
    <xf numFmtId="4" fontId="26" fillId="7" borderId="34" xfId="0" applyNumberFormat="1" applyFont="1" applyFill="1" applyBorder="1" applyAlignment="1">
      <alignment horizontal="center" vertical="top" wrapText="1"/>
    </xf>
    <xf numFmtId="4" fontId="26" fillId="7" borderId="34" xfId="0" applyNumberFormat="1" applyFont="1" applyFill="1" applyBorder="1" applyAlignment="1">
      <alignment horizontal="center" vertical="center" wrapText="1"/>
    </xf>
    <xf numFmtId="4" fontId="16" fillId="7" borderId="34" xfId="0" applyNumberFormat="1" applyFont="1" applyFill="1" applyBorder="1" applyAlignment="1">
      <alignment horizontal="center" vertical="center"/>
    </xf>
    <xf numFmtId="4" fontId="40" fillId="7" borderId="34" xfId="0" applyNumberFormat="1" applyFont="1" applyFill="1" applyBorder="1" applyAlignment="1">
      <alignment horizontal="center" vertical="center"/>
    </xf>
    <xf numFmtId="4" fontId="31" fillId="7" borderId="35" xfId="0" applyNumberFormat="1" applyFont="1" applyFill="1" applyBorder="1" applyAlignment="1">
      <alignment horizontal="center" vertical="center" wrapText="1"/>
    </xf>
    <xf numFmtId="4" fontId="31" fillId="3" borderId="36" xfId="0" applyNumberFormat="1" applyFont="1" applyFill="1" applyBorder="1" applyAlignment="1">
      <alignment horizontal="center" vertical="center" wrapText="1"/>
    </xf>
    <xf numFmtId="0" fontId="26" fillId="8" borderId="10" xfId="0" applyFont="1" applyFill="1" applyBorder="1" applyAlignment="1">
      <alignment horizontal="center" vertical="center" wrapText="1"/>
    </xf>
    <xf numFmtId="0" fontId="26" fillId="8" borderId="18" xfId="0" applyFont="1" applyFill="1" applyBorder="1" applyAlignment="1">
      <alignment horizontal="center" vertical="top" wrapText="1"/>
    </xf>
    <xf numFmtId="4" fontId="31" fillId="8" borderId="10" xfId="0" applyNumberFormat="1" applyFont="1" applyFill="1" applyBorder="1" applyAlignment="1">
      <alignment horizontal="center" vertical="center" wrapText="1"/>
    </xf>
    <xf numFmtId="4" fontId="26" fillId="8" borderId="10" xfId="0" applyNumberFormat="1" applyFont="1" applyFill="1" applyBorder="1" applyAlignment="1">
      <alignment horizontal="center" vertical="center" wrapText="1"/>
    </xf>
    <xf numFmtId="4" fontId="26" fillId="8" borderId="10" xfId="0" applyNumberFormat="1" applyFont="1" applyFill="1" applyBorder="1" applyAlignment="1">
      <alignment horizontal="justify" vertical="center" wrapText="1"/>
    </xf>
    <xf numFmtId="4" fontId="26" fillId="8" borderId="10" xfId="0" applyNumberFormat="1" applyFont="1" applyFill="1" applyBorder="1" applyAlignment="1">
      <alignment horizontal="justify" vertical="top" wrapText="1"/>
    </xf>
    <xf numFmtId="4" fontId="26" fillId="8" borderId="10" xfId="0" applyNumberFormat="1" applyFont="1" applyFill="1" applyBorder="1" applyAlignment="1">
      <alignment horizontal="center" vertical="top" wrapText="1"/>
    </xf>
    <xf numFmtId="4" fontId="39" fillId="8" borderId="10" xfId="0" applyNumberFormat="1" applyFont="1" applyFill="1" applyBorder="1" applyAlignment="1">
      <alignment horizontal="center" vertical="center" wrapText="1"/>
    </xf>
    <xf numFmtId="0" fontId="26" fillId="8" borderId="19" xfId="0" applyFont="1" applyFill="1" applyBorder="1" applyAlignment="1">
      <alignment horizontal="center" vertical="center" wrapText="1"/>
    </xf>
    <xf numFmtId="0" fontId="26" fillId="8" borderId="20" xfId="0" applyFont="1" applyFill="1" applyBorder="1" applyAlignment="1">
      <alignment horizontal="center" vertical="center" wrapText="1"/>
    </xf>
    <xf numFmtId="0" fontId="26" fillId="8" borderId="21" xfId="0" applyFont="1" applyFill="1" applyBorder="1" applyAlignment="1">
      <alignment horizontal="center" vertical="center" wrapText="1"/>
    </xf>
    <xf numFmtId="0" fontId="26" fillId="8" borderId="24" xfId="0" applyFont="1" applyFill="1" applyBorder="1" applyAlignment="1">
      <alignment horizontal="center" vertical="top" wrapText="1"/>
    </xf>
    <xf numFmtId="0" fontId="26" fillId="8" borderId="25" xfId="0" applyFont="1" applyFill="1" applyBorder="1" applyAlignment="1">
      <alignment horizontal="center" vertical="top" wrapText="1"/>
    </xf>
    <xf numFmtId="4" fontId="31" fillId="8" borderId="22" xfId="0" applyNumberFormat="1" applyFont="1" applyFill="1" applyBorder="1" applyAlignment="1">
      <alignment horizontal="center" vertical="center" wrapText="1"/>
    </xf>
    <xf numFmtId="4" fontId="31" fillId="8" borderId="23" xfId="0" applyNumberFormat="1" applyFont="1" applyFill="1" applyBorder="1" applyAlignment="1">
      <alignment horizontal="center" vertical="center" wrapText="1"/>
    </xf>
    <xf numFmtId="4" fontId="26" fillId="8" borderId="22" xfId="0" applyNumberFormat="1" applyFont="1" applyFill="1" applyBorder="1" applyAlignment="1">
      <alignment horizontal="justify" vertical="center" wrapText="1"/>
    </xf>
    <xf numFmtId="4" fontId="26" fillId="8" borderId="23" xfId="0" applyNumberFormat="1" applyFont="1" applyFill="1" applyBorder="1" applyAlignment="1">
      <alignment horizontal="justify" vertical="center" wrapText="1"/>
    </xf>
    <xf numFmtId="4" fontId="26" fillId="8" borderId="22" xfId="0" applyNumberFormat="1" applyFont="1" applyFill="1" applyBorder="1" applyAlignment="1">
      <alignment horizontal="center" vertical="center" wrapText="1"/>
    </xf>
    <xf numFmtId="4" fontId="26" fillId="8" borderId="23" xfId="0" applyNumberFormat="1" applyFont="1" applyFill="1" applyBorder="1" applyAlignment="1">
      <alignment horizontal="center" vertical="center" wrapText="1"/>
    </xf>
    <xf numFmtId="4" fontId="16" fillId="8" borderId="22" xfId="0" applyNumberFormat="1" applyFont="1" applyFill="1" applyBorder="1" applyAlignment="1">
      <alignment horizontal="center" vertical="center"/>
    </xf>
    <xf numFmtId="4" fontId="16" fillId="8" borderId="23" xfId="0" applyNumberFormat="1" applyFont="1" applyFill="1" applyBorder="1" applyAlignment="1">
      <alignment horizontal="center" vertical="center"/>
    </xf>
    <xf numFmtId="4" fontId="40" fillId="8" borderId="22" xfId="0" applyNumberFormat="1" applyFont="1" applyFill="1" applyBorder="1" applyAlignment="1">
      <alignment horizontal="center" vertical="center"/>
    </xf>
    <xf numFmtId="4" fontId="40" fillId="8" borderId="23" xfId="0" applyNumberFormat="1" applyFont="1" applyFill="1" applyBorder="1" applyAlignment="1">
      <alignment horizontal="center" vertical="center"/>
    </xf>
    <xf numFmtId="4" fontId="31" fillId="8" borderId="26" xfId="0" applyNumberFormat="1" applyFont="1" applyFill="1" applyBorder="1" applyAlignment="1">
      <alignment horizontal="center" vertical="center" wrapText="1"/>
    </xf>
    <xf numFmtId="4" fontId="31" fillId="8" borderId="27" xfId="0" applyNumberFormat="1" applyFont="1" applyFill="1" applyBorder="1" applyAlignment="1">
      <alignment horizontal="center" vertical="center" wrapText="1"/>
    </xf>
    <xf numFmtId="4" fontId="31" fillId="8" borderId="28" xfId="0" applyNumberFormat="1" applyFont="1" applyFill="1" applyBorder="1" applyAlignment="1">
      <alignment horizontal="center" vertical="center" wrapText="1"/>
    </xf>
    <xf numFmtId="4" fontId="31" fillId="8" borderId="9" xfId="0" applyNumberFormat="1" applyFont="1" applyFill="1" applyBorder="1" applyAlignment="1">
      <alignment horizontal="center" vertical="center" wrapText="1"/>
    </xf>
    <xf numFmtId="4" fontId="26" fillId="8" borderId="9" xfId="0" applyNumberFormat="1" applyFont="1" applyFill="1" applyBorder="1" applyAlignment="1">
      <alignment horizontal="justify" vertical="center" wrapText="1"/>
    </xf>
    <xf numFmtId="4" fontId="26" fillId="8" borderId="9" xfId="0" applyNumberFormat="1" applyFont="1" applyFill="1" applyBorder="1" applyAlignment="1">
      <alignment horizontal="center" vertical="center" wrapText="1"/>
    </xf>
    <xf numFmtId="0" fontId="16" fillId="8" borderId="7" xfId="0" applyFont="1" applyFill="1" applyBorder="1"/>
    <xf numFmtId="0" fontId="26" fillId="8" borderId="37" xfId="0" applyFont="1" applyFill="1" applyBorder="1" applyAlignment="1">
      <alignment horizontal="center" vertical="center" wrapText="1"/>
    </xf>
    <xf numFmtId="0" fontId="16" fillId="8" borderId="1" xfId="0" applyFont="1" applyFill="1" applyBorder="1"/>
    <xf numFmtId="4" fontId="31" fillId="8" borderId="38" xfId="0" applyNumberFormat="1" applyFont="1" applyFill="1" applyBorder="1" applyAlignment="1">
      <alignment horizontal="center" vertical="center" wrapText="1"/>
    </xf>
    <xf numFmtId="0" fontId="26" fillId="0" borderId="11" xfId="0" applyFont="1" applyFill="1" applyBorder="1" applyAlignment="1">
      <alignment horizontal="center" vertical="top" wrapText="1"/>
    </xf>
    <xf numFmtId="0" fontId="26" fillId="0" borderId="7" xfId="0" applyFont="1" applyFill="1" applyBorder="1" applyAlignment="1">
      <alignment horizontal="center" vertical="top" wrapText="1"/>
    </xf>
    <xf numFmtId="0" fontId="31" fillId="0" borderId="7" xfId="0" applyFont="1" applyFill="1" applyBorder="1" applyAlignment="1">
      <alignment horizontal="center" vertical="top" wrapText="1"/>
    </xf>
    <xf numFmtId="4" fontId="31" fillId="3" borderId="23" xfId="0" applyNumberFormat="1" applyFont="1" applyFill="1" applyBorder="1" applyAlignment="1">
      <alignment horizontal="center" vertical="center" wrapText="1"/>
    </xf>
    <xf numFmtId="4" fontId="26" fillId="3" borderId="23" xfId="0" applyNumberFormat="1" applyFont="1" applyFill="1" applyBorder="1" applyAlignment="1">
      <alignment horizontal="center" vertical="top" wrapText="1"/>
    </xf>
    <xf numFmtId="4" fontId="16" fillId="3" borderId="23" xfId="0" applyNumberFormat="1" applyFont="1" applyFill="1" applyBorder="1"/>
    <xf numFmtId="4" fontId="26" fillId="3" borderId="23" xfId="0" applyNumberFormat="1" applyFont="1" applyFill="1" applyBorder="1" applyAlignment="1">
      <alignment horizontal="center" vertical="center" wrapText="1"/>
    </xf>
    <xf numFmtId="4" fontId="39" fillId="3" borderId="23" xfId="0" applyNumberFormat="1" applyFont="1" applyFill="1" applyBorder="1" applyAlignment="1">
      <alignment horizontal="center" vertical="center" wrapText="1"/>
    </xf>
    <xf numFmtId="4" fontId="31" fillId="3" borderId="28" xfId="0" applyNumberFormat="1" applyFont="1" applyFill="1" applyBorder="1" applyAlignment="1">
      <alignment horizontal="center" vertical="center" wrapText="1"/>
    </xf>
    <xf numFmtId="0" fontId="26" fillId="7" borderId="39" xfId="0" applyFont="1" applyFill="1" applyBorder="1" applyAlignment="1">
      <alignment horizontal="center" vertical="center" wrapText="1"/>
    </xf>
    <xf numFmtId="0" fontId="26" fillId="7" borderId="9" xfId="0" applyFont="1" applyFill="1" applyBorder="1" applyAlignment="1">
      <alignment horizontal="center" vertical="top" wrapText="1"/>
    </xf>
    <xf numFmtId="4" fontId="31" fillId="7" borderId="9" xfId="0" applyNumberFormat="1" applyFont="1" applyFill="1" applyBorder="1" applyAlignment="1">
      <alignment horizontal="center" vertical="center" wrapText="1"/>
    </xf>
    <xf numFmtId="4" fontId="26" fillId="7" borderId="9" xfId="0" applyNumberFormat="1" applyFont="1" applyFill="1" applyBorder="1" applyAlignment="1">
      <alignment horizontal="center" vertical="top" wrapText="1"/>
    </xf>
    <xf numFmtId="4" fontId="26" fillId="7" borderId="9" xfId="0" applyNumberFormat="1" applyFont="1" applyFill="1" applyBorder="1" applyAlignment="1">
      <alignment horizontal="center" vertical="center" wrapText="1"/>
    </xf>
    <xf numFmtId="4" fontId="16" fillId="7" borderId="9" xfId="0" applyNumberFormat="1" applyFont="1" applyFill="1" applyBorder="1" applyAlignment="1">
      <alignment horizontal="center" vertical="center"/>
    </xf>
    <xf numFmtId="4" fontId="40" fillId="7" borderId="9" xfId="0" applyNumberFormat="1" applyFont="1" applyFill="1" applyBorder="1" applyAlignment="1">
      <alignment horizontal="center" vertical="center"/>
    </xf>
    <xf numFmtId="4" fontId="31" fillId="7" borderId="38" xfId="0" applyNumberFormat="1" applyFont="1" applyFill="1" applyBorder="1" applyAlignment="1">
      <alignment horizontal="center" vertical="center" wrapText="1"/>
    </xf>
    <xf numFmtId="0" fontId="26" fillId="3" borderId="40" xfId="0" applyFont="1" applyFill="1" applyBorder="1" applyAlignment="1">
      <alignment horizontal="center" vertical="top" wrapText="1"/>
    </xf>
    <xf numFmtId="4" fontId="31" fillId="3" borderId="34" xfId="0" applyNumberFormat="1" applyFont="1" applyFill="1" applyBorder="1" applyAlignment="1">
      <alignment horizontal="center" vertical="center" wrapText="1"/>
    </xf>
    <xf numFmtId="4" fontId="26" fillId="3" borderId="34" xfId="0" applyNumberFormat="1" applyFont="1" applyFill="1" applyBorder="1" applyAlignment="1">
      <alignment horizontal="center" vertical="top" wrapText="1"/>
    </xf>
    <xf numFmtId="4" fontId="16" fillId="3" borderId="34" xfId="0" applyNumberFormat="1" applyFont="1" applyFill="1" applyBorder="1"/>
    <xf numFmtId="4" fontId="26" fillId="3" borderId="34" xfId="0" applyNumberFormat="1" applyFont="1" applyFill="1" applyBorder="1" applyAlignment="1">
      <alignment horizontal="center" vertical="center" wrapText="1"/>
    </xf>
    <xf numFmtId="4" fontId="31" fillId="3" borderId="41" xfId="0" applyNumberFormat="1" applyFont="1" applyFill="1" applyBorder="1" applyAlignment="1">
      <alignment horizontal="center" vertical="center" wrapText="1"/>
    </xf>
    <xf numFmtId="4" fontId="26" fillId="7" borderId="28" xfId="0" applyNumberFormat="1" applyFont="1" applyFill="1" applyBorder="1" applyAlignment="1">
      <alignment horizontal="center" vertical="center" wrapText="1"/>
    </xf>
    <xf numFmtId="0" fontId="26" fillId="3" borderId="44" xfId="0" applyFont="1" applyFill="1" applyBorder="1" applyAlignment="1">
      <alignment horizontal="center" vertical="top" wrapText="1"/>
    </xf>
    <xf numFmtId="4" fontId="31" fillId="3" borderId="43" xfId="0" applyNumberFormat="1" applyFont="1" applyFill="1" applyBorder="1" applyAlignment="1">
      <alignment horizontal="center" vertical="center" wrapText="1"/>
    </xf>
    <xf numFmtId="4" fontId="26" fillId="3" borderId="43" xfId="0" applyNumberFormat="1" applyFont="1" applyFill="1" applyBorder="1" applyAlignment="1">
      <alignment horizontal="center" vertical="top" wrapText="1"/>
    </xf>
    <xf numFmtId="4" fontId="16" fillId="3" borderId="43" xfId="0" applyNumberFormat="1" applyFont="1" applyFill="1" applyBorder="1"/>
    <xf numFmtId="4" fontId="26" fillId="3" borderId="43" xfId="0" applyNumberFormat="1" applyFont="1" applyFill="1" applyBorder="1" applyAlignment="1">
      <alignment horizontal="center" vertical="center" wrapText="1"/>
    </xf>
    <xf numFmtId="4" fontId="48" fillId="3" borderId="43" xfId="0" applyNumberFormat="1" applyFont="1" applyFill="1" applyBorder="1" applyAlignment="1">
      <alignment horizontal="center" vertical="center" wrapText="1"/>
    </xf>
    <xf numFmtId="4" fontId="39" fillId="3" borderId="43" xfId="0" applyNumberFormat="1" applyFont="1" applyFill="1" applyBorder="1" applyAlignment="1">
      <alignment horizontal="center" vertical="center" wrapText="1"/>
    </xf>
    <xf numFmtId="0" fontId="26" fillId="3" borderId="7" xfId="0" applyFont="1" applyFill="1" applyBorder="1" applyAlignment="1">
      <alignment horizontal="center" vertical="top" wrapText="1"/>
    </xf>
    <xf numFmtId="0" fontId="26" fillId="3" borderId="22" xfId="0" applyFont="1" applyFill="1" applyBorder="1" applyAlignment="1">
      <alignment horizontal="center" vertical="top" wrapText="1"/>
    </xf>
    <xf numFmtId="0" fontId="26" fillId="3" borderId="23" xfId="0" applyFont="1" applyFill="1" applyBorder="1" applyAlignment="1">
      <alignment horizontal="center" vertical="top" wrapText="1"/>
    </xf>
    <xf numFmtId="4" fontId="31" fillId="3" borderId="27" xfId="0" applyNumberFormat="1" applyFont="1" applyFill="1" applyBorder="1" applyAlignment="1">
      <alignment horizontal="center" vertical="center" wrapText="1"/>
    </xf>
    <xf numFmtId="0" fontId="26" fillId="8" borderId="45" xfId="0" applyFont="1" applyFill="1" applyBorder="1" applyAlignment="1">
      <alignment horizontal="center" vertical="center" wrapText="1"/>
    </xf>
    <xf numFmtId="4" fontId="31" fillId="8" borderId="41" xfId="0" applyNumberFormat="1" applyFont="1" applyFill="1" applyBorder="1" applyAlignment="1">
      <alignment horizontal="center" vertical="center" wrapText="1"/>
    </xf>
    <xf numFmtId="0" fontId="26" fillId="6" borderId="16" xfId="0" applyFont="1" applyFill="1" applyBorder="1" applyAlignment="1">
      <alignment horizontal="center" wrapText="1"/>
    </xf>
    <xf numFmtId="4" fontId="31" fillId="6" borderId="8" xfId="0" applyNumberFormat="1" applyFont="1" applyFill="1" applyBorder="1" applyAlignment="1">
      <alignment horizontal="center" wrapText="1"/>
    </xf>
    <xf numFmtId="4" fontId="26" fillId="6" borderId="8" xfId="0" applyNumberFormat="1" applyFont="1" applyFill="1" applyBorder="1" applyAlignment="1">
      <alignment horizontal="center" wrapText="1"/>
    </xf>
    <xf numFmtId="4" fontId="26" fillId="6" borderId="8" xfId="0" applyNumberFormat="1" applyFont="1" applyFill="1" applyBorder="1" applyAlignment="1">
      <alignment horizontal="center" vertical="top" wrapText="1"/>
    </xf>
    <xf numFmtId="4" fontId="26" fillId="6" borderId="8" xfId="0" applyNumberFormat="1" applyFont="1" applyFill="1" applyBorder="1" applyAlignment="1">
      <alignment horizontal="center" vertical="center" wrapText="1"/>
    </xf>
    <xf numFmtId="4" fontId="31" fillId="6" borderId="8" xfId="0" applyNumberFormat="1" applyFont="1" applyFill="1" applyBorder="1" applyAlignment="1">
      <alignment horizontal="center" vertical="center" wrapText="1"/>
    </xf>
    <xf numFmtId="4" fontId="16" fillId="6" borderId="8" xfId="0" applyNumberFormat="1" applyFont="1" applyFill="1" applyBorder="1" applyAlignment="1">
      <alignment horizontal="center" vertical="center"/>
    </xf>
    <xf numFmtId="4" fontId="40" fillId="6" borderId="8" xfId="0" applyNumberFormat="1" applyFont="1" applyFill="1" applyBorder="1" applyAlignment="1">
      <alignment horizontal="center" vertical="center"/>
    </xf>
    <xf numFmtId="4" fontId="31" fillId="6" borderId="46" xfId="0" applyNumberFormat="1" applyFont="1" applyFill="1" applyBorder="1" applyAlignment="1">
      <alignment horizontal="center" vertical="center" wrapText="1"/>
    </xf>
    <xf numFmtId="0" fontId="16" fillId="8" borderId="10" xfId="0" applyFont="1" applyFill="1" applyBorder="1"/>
    <xf numFmtId="4" fontId="16" fillId="8" borderId="10" xfId="0" applyNumberFormat="1" applyFont="1" applyFill="1" applyBorder="1" applyAlignment="1">
      <alignment horizontal="center" vertical="center"/>
    </xf>
    <xf numFmtId="4" fontId="40" fillId="8" borderId="10" xfId="0" applyNumberFormat="1" applyFont="1" applyFill="1" applyBorder="1" applyAlignment="1">
      <alignment horizontal="center" vertical="center"/>
    </xf>
    <xf numFmtId="0" fontId="26" fillId="8" borderId="22" xfId="0" applyFont="1" applyFill="1" applyBorder="1" applyAlignment="1">
      <alignment horizontal="center" vertical="top" wrapText="1"/>
    </xf>
    <xf numFmtId="0" fontId="26" fillId="8" borderId="23" xfId="0" applyFont="1" applyFill="1" applyBorder="1" applyAlignment="1">
      <alignment horizontal="center" vertical="top" wrapText="1"/>
    </xf>
    <xf numFmtId="0" fontId="26" fillId="8" borderId="9" xfId="0" applyFont="1" applyFill="1" applyBorder="1" applyAlignment="1">
      <alignment horizontal="center" vertical="top" wrapText="1"/>
    </xf>
    <xf numFmtId="4" fontId="31" fillId="8" borderId="34" xfId="0" applyNumberFormat="1" applyFont="1" applyFill="1" applyBorder="1" applyAlignment="1">
      <alignment horizontal="center" vertical="center" wrapText="1"/>
    </xf>
    <xf numFmtId="4" fontId="31" fillId="7" borderId="41" xfId="0" applyNumberFormat="1" applyFont="1" applyFill="1" applyBorder="1" applyAlignment="1">
      <alignment horizontal="center" vertical="center" wrapText="1"/>
    </xf>
    <xf numFmtId="0" fontId="26" fillId="0" borderId="22" xfId="0" applyFont="1" applyFill="1" applyBorder="1" applyAlignment="1">
      <alignment horizontal="center" vertical="top" wrapText="1"/>
    </xf>
    <xf numFmtId="0" fontId="26" fillId="0" borderId="34" xfId="0" applyFont="1" applyFill="1" applyBorder="1" applyAlignment="1">
      <alignment horizontal="center" vertical="top" wrapText="1"/>
    </xf>
    <xf numFmtId="4" fontId="31" fillId="0" borderId="34" xfId="0" applyNumberFormat="1" applyFont="1" applyFill="1" applyBorder="1" applyAlignment="1">
      <alignment horizontal="center" vertical="center" wrapText="1"/>
    </xf>
    <xf numFmtId="4" fontId="26" fillId="0" borderId="34" xfId="0" applyNumberFormat="1" applyFont="1" applyFill="1" applyBorder="1" applyAlignment="1">
      <alignment horizontal="center" vertical="center" wrapText="1"/>
    </xf>
    <xf numFmtId="4" fontId="31" fillId="0" borderId="27" xfId="0" applyNumberFormat="1" applyFont="1" applyFill="1" applyBorder="1" applyAlignment="1">
      <alignment horizontal="center" vertical="center" wrapText="1"/>
    </xf>
    <xf numFmtId="4" fontId="31" fillId="0" borderId="35" xfId="0" applyNumberFormat="1" applyFont="1" applyFill="1" applyBorder="1" applyAlignment="1">
      <alignment horizontal="center" vertical="center" wrapText="1"/>
    </xf>
    <xf numFmtId="0" fontId="26" fillId="3" borderId="1" xfId="0" applyFont="1" applyFill="1" applyBorder="1" applyAlignment="1">
      <alignment horizontal="center" vertical="top" wrapText="1"/>
    </xf>
    <xf numFmtId="4" fontId="31" fillId="3" borderId="9" xfId="0" applyNumberFormat="1" applyFont="1" applyFill="1" applyBorder="1" applyAlignment="1">
      <alignment horizontal="center" vertical="center" wrapText="1"/>
    </xf>
    <xf numFmtId="4" fontId="26" fillId="3" borderId="9" xfId="0" applyNumberFormat="1" applyFont="1" applyFill="1" applyBorder="1" applyAlignment="1">
      <alignment horizontal="center" vertical="top" wrapText="1"/>
    </xf>
    <xf numFmtId="4" fontId="16" fillId="3" borderId="9" xfId="0" applyNumberFormat="1" applyFont="1" applyFill="1" applyBorder="1"/>
    <xf numFmtId="4" fontId="26" fillId="3" borderId="9" xfId="0" applyNumberFormat="1" applyFont="1" applyFill="1" applyBorder="1" applyAlignment="1">
      <alignment horizontal="center" vertical="center" wrapText="1"/>
    </xf>
    <xf numFmtId="4" fontId="39" fillId="3" borderId="9" xfId="0" applyNumberFormat="1" applyFont="1" applyFill="1" applyBorder="1" applyAlignment="1">
      <alignment horizontal="center" vertical="center" wrapText="1"/>
    </xf>
    <xf numFmtId="4" fontId="31" fillId="3" borderId="38" xfId="0" applyNumberFormat="1" applyFont="1" applyFill="1" applyBorder="1" applyAlignment="1">
      <alignment horizontal="center" vertical="center" wrapText="1"/>
    </xf>
    <xf numFmtId="0" fontId="26" fillId="6" borderId="18" xfId="0" applyFont="1" applyFill="1" applyBorder="1" applyAlignment="1">
      <alignment horizontal="center" vertical="top" wrapText="1"/>
    </xf>
    <xf numFmtId="4" fontId="31" fillId="6" borderId="10" xfId="0" applyNumberFormat="1" applyFont="1" applyFill="1" applyBorder="1" applyAlignment="1">
      <alignment horizontal="center" vertical="center" wrapText="1"/>
    </xf>
    <xf numFmtId="4" fontId="26" fillId="6" borderId="10" xfId="0" applyNumberFormat="1" applyFont="1" applyFill="1" applyBorder="1" applyAlignment="1">
      <alignment horizontal="center" vertical="top" wrapText="1"/>
    </xf>
    <xf numFmtId="4" fontId="26" fillId="6" borderId="10" xfId="0" applyNumberFormat="1" applyFont="1" applyFill="1" applyBorder="1" applyAlignment="1">
      <alignment horizontal="justify" vertical="top" wrapText="1"/>
    </xf>
    <xf numFmtId="4" fontId="26" fillId="6" borderId="10" xfId="0" applyNumberFormat="1" applyFont="1" applyFill="1" applyBorder="1" applyAlignment="1">
      <alignment horizontal="center" vertical="center" wrapText="1"/>
    </xf>
    <xf numFmtId="4" fontId="26" fillId="6" borderId="10" xfId="0" applyNumberFormat="1" applyFont="1" applyFill="1" applyBorder="1" applyAlignment="1">
      <alignment horizontal="justify" vertical="center" wrapText="1"/>
    </xf>
    <xf numFmtId="4" fontId="39" fillId="6" borderId="10" xfId="0" applyNumberFormat="1" applyFont="1" applyFill="1" applyBorder="1" applyAlignment="1">
      <alignment horizontal="center" vertical="center" wrapText="1"/>
    </xf>
    <xf numFmtId="4" fontId="31" fillId="6" borderId="41" xfId="0" applyNumberFormat="1" applyFont="1" applyFill="1" applyBorder="1" applyAlignment="1">
      <alignment horizontal="center" vertical="center" wrapText="1"/>
    </xf>
    <xf numFmtId="0" fontId="26" fillId="0" borderId="10" xfId="0" applyFont="1" applyFill="1" applyBorder="1" applyAlignment="1">
      <alignment horizontal="center" vertical="top" wrapText="1"/>
    </xf>
    <xf numFmtId="4" fontId="31" fillId="0" borderId="10" xfId="0" applyNumberFormat="1" applyFont="1" applyFill="1" applyBorder="1" applyAlignment="1">
      <alignment horizontal="center" vertical="center" wrapText="1"/>
    </xf>
    <xf numFmtId="4" fontId="26" fillId="0" borderId="10" xfId="0" applyNumberFormat="1" applyFont="1" applyFill="1" applyBorder="1" applyAlignment="1">
      <alignment horizontal="center" vertical="center" wrapText="1"/>
    </xf>
    <xf numFmtId="4" fontId="39" fillId="0" borderId="10" xfId="0" applyNumberFormat="1" applyFont="1" applyFill="1" applyBorder="1" applyAlignment="1">
      <alignment horizontal="center" vertical="center" wrapText="1"/>
    </xf>
    <xf numFmtId="4" fontId="31" fillId="0" borderId="41" xfId="0" applyNumberFormat="1" applyFont="1" applyFill="1" applyBorder="1" applyAlignment="1">
      <alignment horizontal="center" vertical="center" wrapText="1"/>
    </xf>
    <xf numFmtId="0" fontId="26" fillId="0" borderId="23" xfId="0" applyFont="1" applyFill="1" applyBorder="1" applyAlignment="1">
      <alignment horizontal="center" vertical="center" wrapText="1"/>
    </xf>
    <xf numFmtId="0" fontId="31" fillId="0" borderId="22" xfId="0" applyFont="1" applyFill="1" applyBorder="1" applyAlignment="1">
      <alignment vertical="top" wrapText="1"/>
    </xf>
    <xf numFmtId="0" fontId="31" fillId="0" borderId="23" xfId="0" applyFont="1" applyFill="1" applyBorder="1" applyAlignment="1">
      <alignment horizontal="center" vertical="center" wrapText="1"/>
    </xf>
    <xf numFmtId="0" fontId="26" fillId="0" borderId="22" xfId="0" applyFont="1" applyFill="1" applyBorder="1" applyAlignment="1">
      <alignment vertical="top" wrapText="1"/>
    </xf>
    <xf numFmtId="0" fontId="26" fillId="0" borderId="23" xfId="0" applyFont="1" applyFill="1" applyBorder="1" applyAlignment="1">
      <alignment horizontal="justify" vertical="center" wrapText="1"/>
    </xf>
    <xf numFmtId="0" fontId="31" fillId="0" borderId="22" xfId="0" applyFont="1" applyFill="1" applyBorder="1" applyAlignment="1">
      <alignment vertical="center" wrapText="1"/>
    </xf>
    <xf numFmtId="0" fontId="26" fillId="0" borderId="22" xfId="0" applyFont="1" applyFill="1" applyBorder="1" applyAlignment="1">
      <alignment vertical="center" wrapText="1"/>
    </xf>
    <xf numFmtId="0" fontId="31" fillId="0" borderId="47" xfId="0" applyFont="1" applyFill="1" applyBorder="1" applyAlignment="1">
      <alignment vertical="top" wrapText="1"/>
    </xf>
    <xf numFmtId="0" fontId="31" fillId="0" borderId="23" xfId="0" applyFont="1" applyFill="1" applyBorder="1" applyAlignment="1">
      <alignment horizontal="justify" vertical="center" wrapText="1"/>
    </xf>
    <xf numFmtId="0" fontId="31" fillId="0" borderId="22" xfId="0" applyFont="1" applyFill="1" applyBorder="1" applyAlignment="1">
      <alignment horizontal="justify" vertical="top" wrapText="1"/>
    </xf>
    <xf numFmtId="0" fontId="26" fillId="0" borderId="34" xfId="0" applyFont="1" applyFill="1" applyBorder="1" applyAlignment="1">
      <alignment horizontal="center" vertical="center" wrapText="1"/>
    </xf>
    <xf numFmtId="0" fontId="31" fillId="0" borderId="34" xfId="0" applyFont="1" applyFill="1" applyBorder="1" applyAlignment="1">
      <alignment horizontal="center" vertical="center" wrapText="1"/>
    </xf>
    <xf numFmtId="0" fontId="31" fillId="0" borderId="26" xfId="0" applyFont="1" applyFill="1" applyBorder="1" applyAlignment="1">
      <alignment vertical="top" wrapText="1"/>
    </xf>
    <xf numFmtId="0" fontId="31" fillId="0" borderId="27" xfId="0" applyFont="1" applyFill="1" applyBorder="1" applyAlignment="1">
      <alignment horizontal="center" vertical="top" wrapText="1"/>
    </xf>
    <xf numFmtId="0" fontId="31" fillId="0" borderId="28" xfId="0" applyFont="1" applyFill="1" applyBorder="1" applyAlignment="1">
      <alignment horizontal="center" vertical="center" wrapText="1"/>
    </xf>
    <xf numFmtId="4" fontId="30" fillId="7" borderId="7" xfId="0" applyNumberFormat="1" applyFont="1" applyFill="1" applyBorder="1" applyAlignment="1">
      <alignment horizontal="center" vertical="center" wrapText="1"/>
    </xf>
    <xf numFmtId="4" fontId="7" fillId="7" borderId="7" xfId="0" applyNumberFormat="1" applyFont="1" applyFill="1" applyBorder="1" applyAlignment="1">
      <alignment horizontal="center" vertical="center" wrapText="1"/>
    </xf>
    <xf numFmtId="4" fontId="28" fillId="7" borderId="7" xfId="0" applyNumberFormat="1" applyFont="1" applyFill="1" applyBorder="1" applyAlignment="1">
      <alignment horizontal="center" vertical="center"/>
    </xf>
    <xf numFmtId="4" fontId="45" fillId="7" borderId="7" xfId="0" applyNumberFormat="1" applyFont="1" applyFill="1" applyBorder="1" applyAlignment="1">
      <alignment horizontal="center" vertical="center"/>
    </xf>
    <xf numFmtId="4" fontId="30" fillId="3" borderId="7" xfId="0" applyNumberFormat="1" applyFont="1" applyFill="1" applyBorder="1" applyAlignment="1">
      <alignment horizontal="center" vertical="center" wrapText="1"/>
    </xf>
    <xf numFmtId="4" fontId="7" fillId="8" borderId="10" xfId="0" applyNumberFormat="1" applyFont="1" applyFill="1" applyBorder="1" applyAlignment="1">
      <alignment horizontal="center" vertical="center" wrapText="1"/>
    </xf>
    <xf numFmtId="4" fontId="7" fillId="8" borderId="7" xfId="0" applyNumberFormat="1" applyFont="1" applyFill="1" applyBorder="1" applyAlignment="1">
      <alignment horizontal="center" vertical="center" wrapText="1"/>
    </xf>
    <xf numFmtId="4" fontId="7" fillId="8" borderId="9" xfId="0" applyNumberFormat="1" applyFont="1" applyFill="1" applyBorder="1" applyAlignment="1">
      <alignment horizontal="center" vertical="center" wrapText="1"/>
    </xf>
    <xf numFmtId="4" fontId="7" fillId="8" borderId="22" xfId="0" applyNumberFormat="1" applyFont="1" applyFill="1" applyBorder="1" applyAlignment="1">
      <alignment horizontal="center" vertical="center" wrapText="1"/>
    </xf>
    <xf numFmtId="4" fontId="7" fillId="8" borderId="23" xfId="0" applyNumberFormat="1" applyFont="1" applyFill="1" applyBorder="1" applyAlignment="1">
      <alignment horizontal="center" vertical="center" wrapText="1"/>
    </xf>
    <xf numFmtId="4" fontId="30" fillId="8" borderId="7" xfId="0" applyNumberFormat="1" applyFont="1" applyFill="1" applyBorder="1" applyAlignment="1">
      <alignment horizontal="center" vertical="center" wrapText="1"/>
    </xf>
    <xf numFmtId="4" fontId="7" fillId="0" borderId="7" xfId="0" applyNumberFormat="1" applyFont="1" applyFill="1" applyBorder="1" applyAlignment="1">
      <alignment horizontal="center" vertical="center" wrapText="1"/>
    </xf>
    <xf numFmtId="0" fontId="16" fillId="0" borderId="14" xfId="0" applyFont="1" applyFill="1" applyBorder="1"/>
    <xf numFmtId="4" fontId="22" fillId="0" borderId="0" xfId="0" applyNumberFormat="1" applyFont="1" applyFill="1" applyAlignment="1">
      <alignment horizontal="center"/>
    </xf>
    <xf numFmtId="0" fontId="31" fillId="0" borderId="0" xfId="0" applyFont="1" applyFill="1" applyBorder="1" applyAlignment="1">
      <alignment vertical="top" wrapText="1"/>
    </xf>
    <xf numFmtId="0" fontId="31" fillId="0" borderId="0" xfId="0" applyFont="1" applyFill="1" applyBorder="1" applyAlignment="1">
      <alignment horizontal="center" vertical="top" wrapText="1"/>
    </xf>
    <xf numFmtId="0" fontId="31" fillId="0" borderId="0" xfId="0" applyFont="1" applyFill="1" applyBorder="1" applyAlignment="1">
      <alignment horizontal="center" vertical="center" wrapText="1"/>
    </xf>
    <xf numFmtId="4" fontId="31" fillId="0" borderId="0" xfId="0" applyNumberFormat="1" applyFont="1" applyFill="1" applyBorder="1" applyAlignment="1">
      <alignment horizontal="center" vertical="center" wrapText="1"/>
    </xf>
    <xf numFmtId="4" fontId="31" fillId="7" borderId="0" xfId="0" applyNumberFormat="1" applyFont="1" applyFill="1" applyBorder="1" applyAlignment="1">
      <alignment horizontal="center" vertical="center" wrapText="1"/>
    </xf>
    <xf numFmtId="4" fontId="31" fillId="3" borderId="0" xfId="0" applyNumberFormat="1" applyFont="1" applyFill="1" applyBorder="1" applyAlignment="1">
      <alignment horizontal="center" vertical="center" wrapText="1"/>
    </xf>
    <xf numFmtId="4" fontId="31" fillId="6" borderId="0" xfId="0" applyNumberFormat="1" applyFont="1" applyFill="1" applyBorder="1" applyAlignment="1">
      <alignment horizontal="center" vertical="center" wrapText="1"/>
    </xf>
    <xf numFmtId="4" fontId="31" fillId="8" borderId="0" xfId="0" applyNumberFormat="1" applyFont="1" applyFill="1" applyBorder="1" applyAlignment="1">
      <alignment horizontal="center" vertical="center" wrapText="1"/>
    </xf>
    <xf numFmtId="4" fontId="26" fillId="0" borderId="0" xfId="0" applyNumberFormat="1" applyFont="1" applyFill="1" applyBorder="1" applyAlignment="1">
      <alignment horizontal="center" vertical="center" wrapText="1"/>
    </xf>
    <xf numFmtId="0" fontId="14" fillId="0" borderId="0" xfId="41"/>
    <xf numFmtId="0" fontId="49" fillId="0" borderId="0" xfId="41" applyFont="1"/>
    <xf numFmtId="0" fontId="50" fillId="0" borderId="3" xfId="41" applyFont="1" applyBorder="1" applyAlignment="1">
      <alignment horizontal="right" vertical="center"/>
    </xf>
    <xf numFmtId="0" fontId="49" fillId="0" borderId="0" xfId="41" applyFont="1" applyAlignment="1">
      <alignment vertical="center" wrapText="1"/>
    </xf>
    <xf numFmtId="0" fontId="7" fillId="0" borderId="5" xfId="41" applyFont="1" applyBorder="1" applyAlignment="1">
      <alignment horizontal="center" vertical="center" wrapText="1"/>
    </xf>
    <xf numFmtId="0" fontId="51" fillId="0" borderId="53" xfId="41" applyFont="1" applyBorder="1" applyAlignment="1">
      <alignment vertical="center" wrapText="1"/>
    </xf>
    <xf numFmtId="0" fontId="51" fillId="0" borderId="5" xfId="41" applyFont="1" applyBorder="1" applyAlignment="1">
      <alignment horizontal="center" vertical="center" wrapText="1"/>
    </xf>
    <xf numFmtId="0" fontId="50" fillId="0" borderId="53" xfId="41" applyFont="1" applyBorder="1" applyAlignment="1">
      <alignment vertical="center" wrapText="1"/>
    </xf>
    <xf numFmtId="0" fontId="50" fillId="0" borderId="5" xfId="41" applyFont="1" applyBorder="1" applyAlignment="1">
      <alignment horizontal="justify" vertical="center" wrapText="1"/>
    </xf>
    <xf numFmtId="0" fontId="50" fillId="0" borderId="5" xfId="41" applyFont="1" applyBorder="1" applyAlignment="1">
      <alignment horizontal="center" vertical="center" wrapText="1"/>
    </xf>
    <xf numFmtId="4" fontId="50" fillId="0" borderId="5" xfId="41" applyNumberFormat="1" applyFont="1" applyBorder="1" applyAlignment="1">
      <alignment horizontal="center" vertical="center" wrapText="1"/>
    </xf>
    <xf numFmtId="4" fontId="51" fillId="0" borderId="5" xfId="41" applyNumberFormat="1" applyFont="1" applyBorder="1" applyAlignment="1">
      <alignment horizontal="center" vertical="center" wrapText="1"/>
    </xf>
    <xf numFmtId="4" fontId="7" fillId="0" borderId="5" xfId="41" applyNumberFormat="1" applyFont="1" applyBorder="1" applyAlignment="1">
      <alignment horizontal="center" vertical="center" wrapText="1"/>
    </xf>
    <xf numFmtId="4" fontId="30" fillId="0" borderId="5" xfId="41" applyNumberFormat="1" applyFont="1" applyBorder="1" applyAlignment="1">
      <alignment horizontal="center" vertical="center" wrapText="1"/>
    </xf>
    <xf numFmtId="4" fontId="14" fillId="0" borderId="0" xfId="41" applyNumberFormat="1"/>
    <xf numFmtId="4" fontId="14" fillId="0" borderId="0" xfId="41" applyNumberFormat="1" applyAlignment="1">
      <alignment horizontal="center"/>
    </xf>
    <xf numFmtId="0" fontId="7" fillId="0" borderId="0" xfId="0" applyFont="1" applyAlignment="1">
      <alignment horizontal="right" vertical="center"/>
    </xf>
    <xf numFmtId="0" fontId="41" fillId="0" borderId="0" xfId="0" applyFont="1" applyAlignment="1">
      <alignment horizontal="center" vertical="center"/>
    </xf>
    <xf numFmtId="0" fontId="51" fillId="0" borderId="33" xfId="0" applyFont="1" applyBorder="1" applyAlignment="1">
      <alignment horizontal="center" vertical="center" wrapText="1"/>
    </xf>
    <xf numFmtId="0" fontId="51" fillId="0" borderId="4" xfId="0" applyFont="1" applyBorder="1" applyAlignment="1">
      <alignment horizontal="center" vertical="center" wrapText="1"/>
    </xf>
    <xf numFmtId="0" fontId="51" fillId="0" borderId="5" xfId="0" applyFont="1" applyBorder="1" applyAlignment="1">
      <alignment horizontal="center" vertical="center" wrapText="1"/>
    </xf>
    <xf numFmtId="0" fontId="51" fillId="0" borderId="53" xfId="0" applyFont="1" applyBorder="1" applyAlignment="1">
      <alignment vertical="center" wrapText="1"/>
    </xf>
    <xf numFmtId="0" fontId="49" fillId="0" borderId="0" xfId="0" applyFont="1"/>
    <xf numFmtId="0" fontId="7" fillId="0" borderId="5" xfId="0" applyFont="1" applyBorder="1" applyAlignment="1">
      <alignment horizontal="center" vertical="center" wrapText="1"/>
    </xf>
    <xf numFmtId="0" fontId="50" fillId="0" borderId="53" xfId="0" applyFont="1" applyBorder="1" applyAlignment="1">
      <alignment vertical="center" wrapText="1"/>
    </xf>
    <xf numFmtId="0" fontId="50" fillId="0" borderId="5" xfId="0" applyFont="1" applyBorder="1" applyAlignment="1">
      <alignment horizontal="center" vertical="center" wrapText="1"/>
    </xf>
    <xf numFmtId="4" fontId="7" fillId="0" borderId="5" xfId="0" applyNumberFormat="1" applyFont="1" applyBorder="1" applyAlignment="1">
      <alignment horizontal="center" vertical="center" wrapText="1"/>
    </xf>
    <xf numFmtId="0" fontId="52" fillId="0" borderId="53" xfId="0" applyFont="1" applyBorder="1" applyAlignment="1">
      <alignment vertical="center" wrapText="1"/>
    </xf>
    <xf numFmtId="0" fontId="52" fillId="0" borderId="5" xfId="0" applyFont="1" applyBorder="1" applyAlignment="1">
      <alignment horizontal="center" vertical="center" wrapText="1"/>
    </xf>
    <xf numFmtId="4" fontId="50" fillId="0" borderId="5" xfId="0" applyNumberFormat="1" applyFont="1" applyBorder="1" applyAlignment="1">
      <alignment horizontal="center" vertical="center" wrapText="1"/>
    </xf>
    <xf numFmtId="4" fontId="51" fillId="0" borderId="5" xfId="0" applyNumberFormat="1" applyFont="1" applyBorder="1" applyAlignment="1">
      <alignment horizontal="center" vertical="center" wrapText="1"/>
    </xf>
    <xf numFmtId="4" fontId="52" fillId="0" borderId="5" xfId="0" applyNumberFormat="1" applyFont="1" applyBorder="1" applyAlignment="1">
      <alignment horizontal="center" vertical="center" wrapText="1"/>
    </xf>
    <xf numFmtId="0" fontId="49" fillId="0" borderId="3" xfId="0" applyFont="1" applyBorder="1"/>
    <xf numFmtId="0" fontId="50" fillId="0" borderId="3" xfId="0" applyFont="1" applyBorder="1" applyAlignment="1">
      <alignment horizontal="right" vertical="center"/>
    </xf>
    <xf numFmtId="4" fontId="30" fillId="0" borderId="5" xfId="0" applyNumberFormat="1" applyFont="1" applyBorder="1" applyAlignment="1">
      <alignment horizontal="center" vertical="center" wrapText="1"/>
    </xf>
    <xf numFmtId="0" fontId="51" fillId="0" borderId="5" xfId="0" applyFont="1" applyBorder="1" applyAlignment="1">
      <alignment vertical="center" wrapText="1"/>
    </xf>
    <xf numFmtId="3" fontId="30" fillId="0" borderId="5" xfId="41" applyNumberFormat="1" applyFont="1" applyBorder="1" applyAlignment="1">
      <alignment horizontal="center" vertical="center" wrapText="1"/>
    </xf>
    <xf numFmtId="3" fontId="53" fillId="0" borderId="5" xfId="41" applyNumberFormat="1" applyFont="1" applyBorder="1" applyAlignment="1">
      <alignment horizontal="center" vertical="center" wrapText="1"/>
    </xf>
    <xf numFmtId="0" fontId="51" fillId="0" borderId="0" xfId="41" applyFont="1" applyBorder="1" applyAlignment="1">
      <alignment vertical="center" wrapText="1"/>
    </xf>
    <xf numFmtId="0" fontId="51" fillId="0" borderId="0" xfId="41" applyFont="1" applyBorder="1" applyAlignment="1">
      <alignment horizontal="center" vertical="center" wrapText="1"/>
    </xf>
    <xf numFmtId="3" fontId="53" fillId="0" borderId="0" xfId="41" applyNumberFormat="1" applyFont="1" applyBorder="1" applyAlignment="1">
      <alignment horizontal="center" vertical="center" wrapText="1"/>
    </xf>
    <xf numFmtId="3" fontId="30" fillId="0" borderId="0" xfId="41" applyNumberFormat="1" applyFont="1" applyBorder="1" applyAlignment="1">
      <alignment horizontal="center" vertical="center" wrapText="1"/>
    </xf>
    <xf numFmtId="0" fontId="7" fillId="0" borderId="0" xfId="0" applyFont="1" applyBorder="1" applyAlignment="1">
      <alignment wrapText="1"/>
    </xf>
    <xf numFmtId="0" fontId="7" fillId="0" borderId="0" xfId="0" applyFont="1" applyBorder="1" applyAlignment="1">
      <alignment horizontal="center" wrapText="1"/>
    </xf>
    <xf numFmtId="0" fontId="7" fillId="0" borderId="0" xfId="0" applyFont="1" applyBorder="1" applyAlignment="1">
      <alignment horizontal="justify" wrapText="1"/>
    </xf>
    <xf numFmtId="4" fontId="7" fillId="0" borderId="0" xfId="0" applyNumberFormat="1" applyFont="1" applyBorder="1" applyAlignment="1">
      <alignment horizontal="center" wrapText="1"/>
    </xf>
    <xf numFmtId="0" fontId="54" fillId="0" borderId="0" xfId="0" applyFont="1" applyAlignment="1">
      <alignment horizontal="justify" vertical="center"/>
    </xf>
    <xf numFmtId="0" fontId="54" fillId="0" borderId="0" xfId="0" applyFont="1" applyAlignment="1">
      <alignment vertical="center"/>
    </xf>
    <xf numFmtId="0" fontId="2" fillId="0" borderId="0" xfId="0" applyFont="1" applyAlignment="1">
      <alignment horizontal="left" vertical="center"/>
    </xf>
    <xf numFmtId="4" fontId="31" fillId="7" borderId="43" xfId="0" applyNumberFormat="1" applyFont="1" applyFill="1" applyBorder="1" applyAlignment="1">
      <alignment horizontal="center" vertical="center" wrapText="1"/>
    </xf>
    <xf numFmtId="0" fontId="26" fillId="3" borderId="10" xfId="0" applyFont="1" applyFill="1" applyBorder="1" applyAlignment="1">
      <alignment horizontal="center" vertical="top" wrapText="1"/>
    </xf>
    <xf numFmtId="4" fontId="39" fillId="3" borderId="10" xfId="0" applyNumberFormat="1" applyFont="1" applyFill="1" applyBorder="1" applyAlignment="1">
      <alignment horizontal="center" vertical="center" wrapText="1"/>
    </xf>
    <xf numFmtId="0" fontId="26" fillId="3" borderId="56" xfId="0" applyFont="1" applyFill="1" applyBorder="1" applyAlignment="1">
      <alignment horizontal="center" vertical="top" wrapText="1"/>
    </xf>
    <xf numFmtId="4" fontId="31" fillId="3" borderId="55" xfId="0" applyNumberFormat="1" applyFont="1" applyFill="1" applyBorder="1" applyAlignment="1">
      <alignment horizontal="center" vertical="center" wrapText="1"/>
    </xf>
    <xf numFmtId="4" fontId="26" fillId="3" borderId="55" xfId="0" applyNumberFormat="1" applyFont="1" applyFill="1" applyBorder="1" applyAlignment="1">
      <alignment horizontal="center" vertical="top" wrapText="1"/>
    </xf>
    <xf numFmtId="4" fontId="16" fillId="3" borderId="55" xfId="0" applyNumberFormat="1" applyFont="1" applyFill="1" applyBorder="1"/>
    <xf numFmtId="4" fontId="26" fillId="3" borderId="55" xfId="0" applyNumberFormat="1" applyFont="1" applyFill="1" applyBorder="1" applyAlignment="1">
      <alignment horizontal="center" vertical="center" wrapText="1"/>
    </xf>
    <xf numFmtId="4" fontId="39" fillId="3" borderId="55" xfId="0" applyNumberFormat="1" applyFont="1" applyFill="1" applyBorder="1" applyAlignment="1">
      <alignment horizontal="center" vertical="center" wrapText="1"/>
    </xf>
    <xf numFmtId="4" fontId="31" fillId="3" borderId="57" xfId="0" applyNumberFormat="1" applyFont="1" applyFill="1" applyBorder="1" applyAlignment="1">
      <alignment horizontal="center" vertical="center" wrapText="1"/>
    </xf>
    <xf numFmtId="0" fontId="4" fillId="0" borderId="0" xfId="0" applyFont="1" applyFill="1"/>
    <xf numFmtId="0" fontId="4" fillId="0" borderId="0" xfId="0" applyFont="1" applyFill="1" applyAlignment="1">
      <alignment vertical="center"/>
    </xf>
    <xf numFmtId="4" fontId="4" fillId="0" borderId="0" xfId="0" applyNumberFormat="1" applyFont="1" applyFill="1"/>
    <xf numFmtId="0" fontId="4" fillId="0" borderId="0" xfId="0" applyFont="1" applyFill="1" applyAlignment="1"/>
    <xf numFmtId="4" fontId="21" fillId="0" borderId="0" xfId="0" applyNumberFormat="1" applyFont="1" applyFill="1"/>
    <xf numFmtId="0" fontId="50" fillId="0" borderId="53" xfId="41" applyFont="1" applyBorder="1" applyAlignment="1">
      <alignment vertical="center" wrapText="1"/>
    </xf>
    <xf numFmtId="0" fontId="26" fillId="8" borderId="61" xfId="0" applyFont="1" applyFill="1" applyBorder="1" applyAlignment="1">
      <alignment horizontal="center" vertical="center" wrapText="1"/>
    </xf>
    <xf numFmtId="0" fontId="26" fillId="8" borderId="56" xfId="0" applyFont="1" applyFill="1" applyBorder="1" applyAlignment="1">
      <alignment horizontal="center" vertical="top" wrapText="1"/>
    </xf>
    <xf numFmtId="4" fontId="31" fillId="8" borderId="55" xfId="0" applyNumberFormat="1" applyFont="1" applyFill="1" applyBorder="1" applyAlignment="1">
      <alignment horizontal="center" vertical="center" wrapText="1"/>
    </xf>
    <xf numFmtId="4" fontId="26" fillId="8" borderId="55" xfId="0" applyNumberFormat="1" applyFont="1" applyFill="1" applyBorder="1" applyAlignment="1">
      <alignment horizontal="center" vertical="center" wrapText="1"/>
    </xf>
    <xf numFmtId="4" fontId="26" fillId="8" borderId="55" xfId="0" applyNumberFormat="1" applyFont="1" applyFill="1" applyBorder="1" applyAlignment="1">
      <alignment horizontal="justify" vertical="center" wrapText="1"/>
    </xf>
    <xf numFmtId="4" fontId="26" fillId="8" borderId="55" xfId="0" applyNumberFormat="1" applyFont="1" applyFill="1" applyBorder="1" applyAlignment="1">
      <alignment horizontal="justify" vertical="top" wrapText="1"/>
    </xf>
    <xf numFmtId="4" fontId="26" fillId="8" borderId="55" xfId="0" applyNumberFormat="1" applyFont="1" applyFill="1" applyBorder="1" applyAlignment="1">
      <alignment horizontal="center" vertical="top" wrapText="1"/>
    </xf>
    <xf numFmtId="4" fontId="39" fillId="8" borderId="55" xfId="0" applyNumberFormat="1" applyFont="1" applyFill="1" applyBorder="1" applyAlignment="1">
      <alignment horizontal="center" vertical="center" wrapText="1"/>
    </xf>
    <xf numFmtId="4" fontId="31" fillId="8" borderId="57" xfId="0" applyNumberFormat="1" applyFont="1" applyFill="1" applyBorder="1" applyAlignment="1">
      <alignment horizontal="center" vertical="center" wrapText="1"/>
    </xf>
    <xf numFmtId="0" fontId="50" fillId="0" borderId="53" xfId="0" applyFont="1" applyBorder="1" applyAlignment="1">
      <alignment vertical="center" wrapText="1"/>
    </xf>
    <xf numFmtId="0" fontId="26" fillId="0" borderId="11" xfId="0" applyFont="1" applyFill="1" applyBorder="1" applyAlignment="1">
      <alignment vertical="top" wrapText="1"/>
    </xf>
    <xf numFmtId="0" fontId="26" fillId="0" borderId="15" xfId="0" applyFont="1" applyFill="1" applyBorder="1" applyAlignment="1">
      <alignment vertical="top" wrapText="1"/>
    </xf>
    <xf numFmtId="0" fontId="49" fillId="0" borderId="0" xfId="0" applyFont="1" applyAlignment="1">
      <alignment wrapText="1"/>
    </xf>
    <xf numFmtId="0" fontId="7" fillId="0" borderId="0" xfId="0" applyFont="1" applyAlignment="1">
      <alignment vertical="center" wrapText="1"/>
    </xf>
    <xf numFmtId="0" fontId="50" fillId="0" borderId="0" xfId="0" applyFont="1" applyAlignment="1">
      <alignment vertical="center"/>
    </xf>
    <xf numFmtId="0" fontId="50" fillId="0" borderId="0" xfId="0" applyFont="1" applyAlignment="1">
      <alignment horizontal="right" vertical="center"/>
    </xf>
    <xf numFmtId="0" fontId="14" fillId="2" borderId="0" xfId="41" applyFill="1"/>
    <xf numFmtId="0" fontId="26" fillId="0" borderId="15" xfId="0" applyFont="1" applyFill="1" applyBorder="1" applyAlignment="1">
      <alignment horizontal="center" vertical="top" wrapText="1"/>
    </xf>
    <xf numFmtId="0" fontId="26" fillId="0" borderId="7" xfId="0" applyFont="1" applyFill="1" applyBorder="1" applyAlignment="1">
      <alignment horizontal="center" vertical="center" wrapText="1"/>
    </xf>
    <xf numFmtId="0" fontId="26" fillId="0" borderId="7" xfId="0" applyFont="1" applyFill="1" applyBorder="1" applyAlignment="1">
      <alignment horizontal="center" vertical="top" wrapText="1"/>
    </xf>
    <xf numFmtId="0" fontId="31" fillId="0" borderId="7" xfId="0" applyFont="1" applyFill="1" applyBorder="1" applyAlignment="1">
      <alignment horizontal="center" vertical="top" wrapText="1"/>
    </xf>
    <xf numFmtId="0" fontId="7" fillId="0" borderId="7" xfId="0" applyFont="1" applyBorder="1" applyAlignment="1">
      <alignment horizontal="center" vertical="top" wrapText="1"/>
    </xf>
    <xf numFmtId="0" fontId="2" fillId="0" borderId="0" xfId="0" applyFont="1" applyAlignment="1">
      <alignment horizontal="justify" vertical="center" wrapText="1"/>
    </xf>
    <xf numFmtId="171" fontId="28" fillId="0" borderId="0" xfId="0" applyNumberFormat="1" applyFont="1"/>
    <xf numFmtId="0" fontId="26" fillId="0" borderId="7" xfId="0" applyFont="1" applyFill="1" applyBorder="1" applyAlignment="1">
      <alignment horizontal="center" wrapText="1"/>
    </xf>
    <xf numFmtId="0" fontId="16" fillId="0" borderId="7" xfId="0" applyFont="1" applyFill="1" applyBorder="1"/>
    <xf numFmtId="49" fontId="39" fillId="0" borderId="7" xfId="0" applyNumberFormat="1" applyFont="1" applyFill="1" applyBorder="1" applyAlignment="1">
      <alignment horizontal="justify" vertical="center" wrapText="1"/>
    </xf>
    <xf numFmtId="0" fontId="39" fillId="0" borderId="7" xfId="0" applyFont="1" applyFill="1" applyBorder="1" applyAlignment="1">
      <alignment horizontal="center" vertical="top"/>
    </xf>
    <xf numFmtId="49" fontId="26" fillId="0" borderId="7" xfId="0" applyNumberFormat="1" applyFont="1" applyFill="1" applyBorder="1" applyAlignment="1">
      <alignment horizontal="center" vertical="center" wrapText="1"/>
    </xf>
    <xf numFmtId="0" fontId="22" fillId="0" borderId="14" xfId="0" applyFont="1" applyFill="1" applyBorder="1"/>
    <xf numFmtId="0" fontId="40" fillId="0" borderId="14" xfId="0" applyFont="1" applyFill="1" applyBorder="1"/>
    <xf numFmtId="0" fontId="16" fillId="0" borderId="7" xfId="0" applyFont="1" applyFill="1" applyBorder="1" applyAlignment="1">
      <alignment horizontal="center" vertical="center"/>
    </xf>
    <xf numFmtId="0" fontId="40" fillId="0" borderId="7" xfId="0" applyFont="1" applyFill="1" applyBorder="1" applyAlignment="1">
      <alignment horizontal="center" vertical="center"/>
    </xf>
    <xf numFmtId="0" fontId="39" fillId="0" borderId="7" xfId="0" applyFont="1" applyFill="1" applyBorder="1" applyAlignment="1">
      <alignment horizontal="center" vertical="center" wrapText="1"/>
    </xf>
    <xf numFmtId="0" fontId="31" fillId="0" borderId="10" xfId="0" applyFont="1" applyFill="1" applyBorder="1" applyAlignment="1">
      <alignment horizontal="center" vertical="center" wrapText="1"/>
    </xf>
    <xf numFmtId="173" fontId="31" fillId="0" borderId="7" xfId="0" applyNumberFormat="1" applyFont="1" applyFill="1" applyBorder="1" applyAlignment="1">
      <alignment horizontal="center" vertical="center" wrapText="1"/>
    </xf>
    <xf numFmtId="4" fontId="7" fillId="0" borderId="7" xfId="0" applyNumberFormat="1" applyFont="1" applyFill="1" applyBorder="1" applyAlignment="1">
      <alignment horizontal="center" wrapText="1"/>
    </xf>
    <xf numFmtId="4" fontId="7" fillId="0" borderId="0" xfId="0" applyNumberFormat="1" applyFont="1" applyFill="1" applyBorder="1" applyAlignment="1">
      <alignment horizontal="center" wrapText="1"/>
    </xf>
    <xf numFmtId="49" fontId="7" fillId="0" borderId="7" xfId="0" applyNumberFormat="1" applyFont="1" applyBorder="1" applyAlignment="1">
      <alignment horizontal="center" wrapText="1"/>
    </xf>
    <xf numFmtId="0" fontId="31" fillId="0" borderId="66" xfId="0" applyFont="1" applyFill="1" applyBorder="1" applyAlignment="1">
      <alignment vertical="top" wrapText="1"/>
    </xf>
    <xf numFmtId="4" fontId="30" fillId="0" borderId="7" xfId="0" applyNumberFormat="1" applyFont="1" applyFill="1" applyBorder="1" applyAlignment="1">
      <alignment horizontal="center" vertical="center" wrapText="1"/>
    </xf>
    <xf numFmtId="0" fontId="28" fillId="0" borderId="0" xfId="0" applyFont="1" applyFill="1"/>
    <xf numFmtId="0" fontId="28" fillId="0" borderId="0" xfId="0" applyFont="1" applyFill="1" applyAlignment="1"/>
    <xf numFmtId="0" fontId="55" fillId="0" borderId="0" xfId="0" applyFont="1" applyFill="1" applyAlignment="1">
      <alignment horizontal="left"/>
    </xf>
    <xf numFmtId="0" fontId="56" fillId="0" borderId="0" xfId="0" applyFont="1" applyFill="1"/>
    <xf numFmtId="0" fontId="56" fillId="0" borderId="0" xfId="0" applyFont="1" applyFill="1" applyAlignment="1">
      <alignment vertical="center"/>
    </xf>
    <xf numFmtId="4" fontId="56" fillId="0" borderId="0" xfId="0" applyNumberFormat="1" applyFont="1" applyFill="1"/>
    <xf numFmtId="10" fontId="56" fillId="0" borderId="0" xfId="0" applyNumberFormat="1" applyFont="1" applyFill="1"/>
    <xf numFmtId="0" fontId="56" fillId="0" borderId="0" xfId="0" applyFont="1" applyFill="1" applyAlignment="1"/>
    <xf numFmtId="0" fontId="55" fillId="0" borderId="0" xfId="0" applyFont="1" applyFill="1" applyAlignment="1">
      <alignment horizontal="justify"/>
    </xf>
    <xf numFmtId="0" fontId="2" fillId="0" borderId="0" xfId="0" applyFont="1" applyAlignment="1">
      <alignment horizontal="justify" vertical="center" wrapText="1"/>
    </xf>
    <xf numFmtId="0" fontId="41" fillId="0" borderId="0" xfId="0" applyFont="1" applyAlignment="1">
      <alignment horizontal="center" vertical="center"/>
    </xf>
    <xf numFmtId="0" fontId="50" fillId="0" borderId="53" xfId="41" applyFont="1" applyBorder="1" applyAlignment="1">
      <alignment vertical="center" wrapText="1"/>
    </xf>
    <xf numFmtId="0" fontId="50" fillId="0" borderId="53" xfId="0" applyFont="1" applyBorder="1" applyAlignment="1">
      <alignment vertical="center" wrapText="1"/>
    </xf>
    <xf numFmtId="49" fontId="51" fillId="0" borderId="5" xfId="0" applyNumberFormat="1" applyFont="1" applyBorder="1" applyAlignment="1">
      <alignment horizontal="center" vertical="center" wrapText="1"/>
    </xf>
    <xf numFmtId="49" fontId="50" fillId="0" borderId="5" xfId="0" applyNumberFormat="1" applyFont="1" applyBorder="1" applyAlignment="1">
      <alignment horizontal="center" vertical="center" wrapText="1"/>
    </xf>
    <xf numFmtId="49" fontId="7" fillId="0" borderId="5" xfId="0" applyNumberFormat="1" applyFont="1" applyBorder="1" applyAlignment="1">
      <alignment horizontal="center" vertical="center" wrapText="1"/>
    </xf>
    <xf numFmtId="49" fontId="30" fillId="0" borderId="5" xfId="0" applyNumberFormat="1" applyFont="1" applyBorder="1" applyAlignment="1">
      <alignment horizontal="center" vertical="center" wrapText="1"/>
    </xf>
    <xf numFmtId="0" fontId="26" fillId="0" borderId="7" xfId="0" applyFont="1" applyFill="1" applyBorder="1" applyAlignment="1">
      <alignment horizontal="center" vertical="top" wrapText="1"/>
    </xf>
    <xf numFmtId="0" fontId="26" fillId="0" borderId="7" xfId="0" applyFont="1" applyFill="1" applyBorder="1" applyAlignment="1">
      <alignment horizontal="center" vertical="center" wrapText="1"/>
    </xf>
    <xf numFmtId="0" fontId="26" fillId="0" borderId="7" xfId="0" applyFont="1" applyFill="1" applyBorder="1" applyAlignment="1">
      <alignment vertical="center" wrapText="1"/>
    </xf>
    <xf numFmtId="0" fontId="31" fillId="0" borderId="7" xfId="0" applyFont="1" applyFill="1" applyBorder="1" applyAlignment="1">
      <alignment horizontal="center" vertical="top" wrapText="1"/>
    </xf>
    <xf numFmtId="0" fontId="16" fillId="7" borderId="7" xfId="0" applyFont="1" applyFill="1" applyBorder="1"/>
    <xf numFmtId="0" fontId="16" fillId="3" borderId="7" xfId="0" applyFont="1" applyFill="1" applyBorder="1"/>
    <xf numFmtId="0" fontId="16" fillId="0" borderId="7" xfId="0" applyFont="1" applyFill="1" applyBorder="1" applyAlignment="1"/>
    <xf numFmtId="0" fontId="4" fillId="0" borderId="0" xfId="0" applyFont="1" applyFill="1" applyAlignment="1">
      <alignment horizontal="center"/>
    </xf>
    <xf numFmtId="0" fontId="57" fillId="0" borderId="0" xfId="0" applyFont="1" applyFill="1"/>
    <xf numFmtId="0" fontId="21" fillId="0" borderId="0" xfId="0" applyFont="1" applyFill="1"/>
    <xf numFmtId="4" fontId="4" fillId="0" borderId="0" xfId="0" applyNumberFormat="1" applyFont="1" applyFill="1" applyAlignment="1">
      <alignment horizontal="center"/>
    </xf>
    <xf numFmtId="0" fontId="57" fillId="0" borderId="0" xfId="0" applyFont="1" applyFill="1" applyAlignment="1">
      <alignment horizontal="center"/>
    </xf>
    <xf numFmtId="0" fontId="21" fillId="0" borderId="0" xfId="0" applyFont="1" applyFill="1" applyAlignment="1">
      <alignment horizontal="center"/>
    </xf>
    <xf numFmtId="0" fontId="4" fillId="0" borderId="0" xfId="0" applyFont="1" applyFill="1" applyAlignment="1">
      <alignment horizontal="center" vertical="center"/>
    </xf>
    <xf numFmtId="4" fontId="31" fillId="0" borderId="8" xfId="0" applyNumberFormat="1" applyFont="1" applyFill="1" applyBorder="1" applyAlignment="1">
      <alignment horizontal="center" wrapText="1"/>
    </xf>
    <xf numFmtId="4" fontId="16" fillId="0" borderId="8" xfId="0" applyNumberFormat="1" applyFont="1" applyFill="1" applyBorder="1" applyAlignment="1">
      <alignment horizontal="center" vertical="center"/>
    </xf>
    <xf numFmtId="4" fontId="16" fillId="0" borderId="8" xfId="0" applyNumberFormat="1" applyFont="1" applyFill="1" applyBorder="1"/>
    <xf numFmtId="0" fontId="4" fillId="0" borderId="50" xfId="0" applyFont="1" applyFill="1" applyBorder="1" applyAlignment="1">
      <alignment horizontal="center"/>
    </xf>
    <xf numFmtId="0" fontId="4" fillId="0" borderId="4" xfId="0" applyFont="1" applyFill="1" applyBorder="1" applyAlignment="1">
      <alignment horizontal="center" vertical="center"/>
    </xf>
    <xf numFmtId="0" fontId="16" fillId="0" borderId="4" xfId="0" applyFont="1" applyFill="1" applyBorder="1"/>
    <xf numFmtId="4" fontId="21" fillId="0" borderId="50" xfId="0" applyNumberFormat="1" applyFont="1" applyFill="1" applyBorder="1" applyAlignment="1">
      <alignment horizontal="center"/>
    </xf>
    <xf numFmtId="4" fontId="21" fillId="0" borderId="4" xfId="0" applyNumberFormat="1" applyFont="1" applyFill="1" applyBorder="1" applyAlignment="1">
      <alignment horizontal="center"/>
    </xf>
    <xf numFmtId="4" fontId="4" fillId="0" borderId="50" xfId="0" applyNumberFormat="1" applyFont="1" applyFill="1" applyBorder="1" applyAlignment="1">
      <alignment horizontal="center"/>
    </xf>
    <xf numFmtId="4" fontId="16" fillId="0" borderId="50" xfId="0" applyNumberFormat="1" applyFont="1" applyFill="1" applyBorder="1"/>
    <xf numFmtId="4" fontId="22" fillId="0" borderId="50" xfId="0" applyNumberFormat="1" applyFont="1" applyFill="1" applyBorder="1"/>
    <xf numFmtId="0" fontId="22" fillId="0" borderId="4" xfId="0" applyFont="1" applyFill="1" applyBorder="1"/>
    <xf numFmtId="4" fontId="4" fillId="0" borderId="4" xfId="0" applyNumberFormat="1" applyFont="1" applyFill="1" applyBorder="1" applyAlignment="1">
      <alignment horizontal="center"/>
    </xf>
    <xf numFmtId="4" fontId="58" fillId="0" borderId="50" xfId="0" applyNumberFormat="1" applyFont="1" applyFill="1" applyBorder="1" applyAlignment="1">
      <alignment horizontal="center"/>
    </xf>
    <xf numFmtId="4" fontId="4" fillId="0" borderId="68" xfId="0" applyNumberFormat="1" applyFont="1" applyFill="1" applyBorder="1" applyAlignment="1">
      <alignment horizontal="center"/>
    </xf>
    <xf numFmtId="4" fontId="4" fillId="0" borderId="5" xfId="0" applyNumberFormat="1" applyFont="1" applyFill="1" applyBorder="1" applyAlignment="1">
      <alignment horizontal="center"/>
    </xf>
    <xf numFmtId="0" fontId="16" fillId="0" borderId="50" xfId="0" applyFont="1" applyFill="1" applyBorder="1"/>
    <xf numFmtId="4" fontId="22" fillId="0" borderId="4" xfId="0" applyNumberFormat="1" applyFont="1" applyFill="1" applyBorder="1"/>
    <xf numFmtId="0" fontId="4" fillId="0" borderId="0" xfId="0" applyFont="1" applyFill="1" applyAlignment="1">
      <alignment horizontal="center" vertical="center" wrapText="1"/>
    </xf>
    <xf numFmtId="4" fontId="21" fillId="0" borderId="0" xfId="0" applyNumberFormat="1" applyFont="1" applyFill="1" applyBorder="1" applyAlignment="1">
      <alignment horizontal="center" wrapText="1"/>
    </xf>
    <xf numFmtId="4" fontId="4" fillId="0" borderId="0" xfId="0" applyNumberFormat="1" applyFont="1" applyFill="1" applyBorder="1" applyAlignment="1">
      <alignment horizontal="center" wrapText="1"/>
    </xf>
    <xf numFmtId="4" fontId="59" fillId="0" borderId="0" xfId="0" applyNumberFormat="1" applyFont="1" applyFill="1"/>
    <xf numFmtId="4" fontId="58" fillId="0" borderId="0" xfId="0" applyNumberFormat="1" applyFont="1" applyFill="1"/>
    <xf numFmtId="4" fontId="21" fillId="8" borderId="22" xfId="0" applyNumberFormat="1" applyFont="1" applyFill="1" applyBorder="1" applyAlignment="1">
      <alignment horizontal="center" vertical="center" wrapText="1"/>
    </xf>
    <xf numFmtId="0" fontId="2" fillId="0" borderId="0" xfId="0" applyFont="1" applyAlignment="1">
      <alignment horizontal="justify" vertical="center" wrapText="1"/>
    </xf>
    <xf numFmtId="4" fontId="31" fillId="0" borderId="0" xfId="0" applyNumberFormat="1" applyFont="1" applyFill="1" applyBorder="1" applyAlignment="1">
      <alignment horizontal="center" wrapText="1"/>
    </xf>
    <xf numFmtId="4" fontId="16" fillId="0" borderId="0" xfId="0" applyNumberFormat="1" applyFont="1" applyFill="1" applyBorder="1" applyAlignment="1">
      <alignment horizontal="center" vertical="center"/>
    </xf>
    <xf numFmtId="4" fontId="16" fillId="0" borderId="0" xfId="0" applyNumberFormat="1" applyFont="1" applyFill="1" applyBorder="1"/>
    <xf numFmtId="0" fontId="2" fillId="0" borderId="0" xfId="0" applyFont="1" applyAlignment="1">
      <alignment horizontal="justify" vertical="center" wrapText="1"/>
    </xf>
    <xf numFmtId="0" fontId="41" fillId="0" borderId="0" xfId="0" applyFont="1" applyAlignment="1">
      <alignment horizontal="center" vertical="center" wrapText="1"/>
    </xf>
    <xf numFmtId="0" fontId="60" fillId="0" borderId="0" xfId="0" applyFont="1"/>
    <xf numFmtId="4" fontId="51" fillId="0" borderId="61" xfId="41" applyNumberFormat="1" applyFont="1" applyBorder="1" applyAlignment="1">
      <alignment horizontal="center" vertical="center" wrapText="1"/>
    </xf>
    <xf numFmtId="0" fontId="50" fillId="0" borderId="55" xfId="41" applyFont="1" applyBorder="1" applyAlignment="1">
      <alignment horizontal="center" vertical="center" wrapText="1"/>
    </xf>
    <xf numFmtId="4" fontId="50" fillId="0" borderId="55" xfId="41" applyNumberFormat="1" applyFont="1" applyBorder="1" applyAlignment="1">
      <alignment horizontal="center" vertical="center" wrapText="1"/>
    </xf>
    <xf numFmtId="4" fontId="51" fillId="0" borderId="55" xfId="41" applyNumberFormat="1" applyFont="1" applyBorder="1" applyAlignment="1">
      <alignment horizontal="center" vertical="center" wrapText="1"/>
    </xf>
    <xf numFmtId="0" fontId="30" fillId="0" borderId="5" xfId="41" applyFont="1" applyBorder="1" applyAlignment="1">
      <alignment horizontal="center" vertical="center" wrapText="1"/>
    </xf>
    <xf numFmtId="0" fontId="31" fillId="0" borderId="42" xfId="0" applyFont="1" applyFill="1" applyBorder="1" applyAlignment="1">
      <alignment vertical="top" wrapText="1"/>
    </xf>
    <xf numFmtId="0" fontId="26" fillId="0" borderId="43" xfId="0" applyFont="1" applyFill="1" applyBorder="1" applyAlignment="1">
      <alignment vertical="top" wrapText="1"/>
    </xf>
    <xf numFmtId="0" fontId="26" fillId="0" borderId="36" xfId="0" applyFont="1" applyFill="1" applyBorder="1" applyAlignment="1">
      <alignment vertical="top" wrapText="1"/>
    </xf>
    <xf numFmtId="0" fontId="31" fillId="0" borderId="61" xfId="0" applyFont="1" applyFill="1" applyBorder="1" applyAlignment="1">
      <alignment horizontal="center" vertical="top" wrapText="1"/>
    </xf>
    <xf numFmtId="0" fontId="26" fillId="0" borderId="55" xfId="0" applyFont="1" applyFill="1" applyBorder="1" applyAlignment="1">
      <alignment horizontal="justify" vertical="top" wrapText="1"/>
    </xf>
    <xf numFmtId="0" fontId="26" fillId="0" borderId="55" xfId="0" applyFont="1" applyFill="1" applyBorder="1" applyAlignment="1">
      <alignment horizontal="center" vertical="top" wrapText="1"/>
    </xf>
    <xf numFmtId="0" fontId="26" fillId="0" borderId="57" xfId="0" applyFont="1" applyFill="1" applyBorder="1" applyAlignment="1">
      <alignment horizontal="center" vertical="top" wrapText="1"/>
    </xf>
    <xf numFmtId="4" fontId="50" fillId="0" borderId="57" xfId="41" applyNumberFormat="1" applyFont="1" applyBorder="1" applyAlignment="1">
      <alignment horizontal="center" vertical="center" wrapText="1"/>
    </xf>
    <xf numFmtId="4" fontId="51" fillId="0" borderId="42" xfId="41" applyNumberFormat="1" applyFont="1" applyBorder="1" applyAlignment="1">
      <alignment horizontal="center" vertical="center" wrapText="1"/>
    </xf>
    <xf numFmtId="0" fontId="50" fillId="0" borderId="43" xfId="41" applyFont="1" applyBorder="1" applyAlignment="1">
      <alignment horizontal="center" vertical="center" wrapText="1"/>
    </xf>
    <xf numFmtId="4" fontId="50" fillId="0" borderId="43" xfId="41" applyNumberFormat="1" applyFont="1" applyBorder="1" applyAlignment="1">
      <alignment horizontal="center" vertical="center" wrapText="1"/>
    </xf>
    <xf numFmtId="4" fontId="51" fillId="0" borderId="43" xfId="41" applyNumberFormat="1" applyFont="1" applyBorder="1" applyAlignment="1">
      <alignment horizontal="center" vertical="center" wrapText="1"/>
    </xf>
    <xf numFmtId="4" fontId="50" fillId="0" borderId="36" xfId="41" applyNumberFormat="1" applyFont="1" applyBorder="1" applyAlignment="1">
      <alignment horizontal="center" vertical="center" wrapText="1"/>
    </xf>
    <xf numFmtId="4" fontId="50" fillId="0" borderId="55" xfId="0" applyNumberFormat="1" applyFont="1" applyBorder="1" applyAlignment="1">
      <alignment horizontal="center" vertical="center" wrapText="1"/>
    </xf>
    <xf numFmtId="4" fontId="50" fillId="0" borderId="57" xfId="0" applyNumberFormat="1" applyFont="1" applyBorder="1" applyAlignment="1">
      <alignment horizontal="center" vertical="center" wrapText="1"/>
    </xf>
    <xf numFmtId="4" fontId="50" fillId="0" borderId="56" xfId="0" applyNumberFormat="1" applyFont="1" applyBorder="1" applyAlignment="1">
      <alignment horizontal="center" vertical="center" wrapText="1"/>
    </xf>
    <xf numFmtId="0" fontId="26" fillId="0" borderId="7" xfId="0" applyFont="1" applyFill="1" applyBorder="1" applyAlignment="1">
      <alignment horizontal="center" vertical="top" wrapText="1"/>
    </xf>
    <xf numFmtId="0" fontId="31" fillId="0" borderId="7" xfId="0" applyFont="1" applyFill="1" applyBorder="1" applyAlignment="1">
      <alignment horizontal="center" vertical="top" wrapText="1"/>
    </xf>
    <xf numFmtId="0" fontId="26" fillId="0" borderId="11" xfId="0" applyFont="1" applyFill="1" applyBorder="1" applyAlignment="1">
      <alignment horizontal="center" vertical="top" wrapText="1"/>
    </xf>
    <xf numFmtId="0" fontId="26" fillId="0" borderId="23" xfId="0" applyFont="1" applyFill="1" applyBorder="1" applyAlignment="1">
      <alignment horizontal="center" vertical="center" wrapText="1"/>
    </xf>
    <xf numFmtId="0" fontId="26" fillId="7" borderId="69" xfId="0" applyFont="1" applyFill="1" applyBorder="1" applyAlignment="1">
      <alignment horizontal="center" vertical="center" wrapText="1"/>
    </xf>
    <xf numFmtId="0" fontId="26" fillId="7" borderId="8" xfId="0" applyFont="1" applyFill="1" applyBorder="1" applyAlignment="1">
      <alignment horizontal="center" vertical="top" wrapText="1"/>
    </xf>
    <xf numFmtId="4" fontId="31" fillId="7" borderId="8" xfId="0" applyNumberFormat="1" applyFont="1" applyFill="1" applyBorder="1" applyAlignment="1">
      <alignment horizontal="center" vertical="center" wrapText="1"/>
    </xf>
    <xf numFmtId="4" fontId="26" fillId="7" borderId="8" xfId="0" applyNumberFormat="1" applyFont="1" applyFill="1" applyBorder="1" applyAlignment="1">
      <alignment horizontal="center" vertical="top" wrapText="1"/>
    </xf>
    <xf numFmtId="4" fontId="26" fillId="7" borderId="8" xfId="0" applyNumberFormat="1" applyFont="1" applyFill="1" applyBorder="1" applyAlignment="1">
      <alignment horizontal="center" vertical="center" wrapText="1"/>
    </xf>
    <xf numFmtId="4" fontId="31" fillId="7" borderId="46" xfId="0" applyNumberFormat="1" applyFont="1" applyFill="1" applyBorder="1" applyAlignment="1">
      <alignment horizontal="center" vertical="center" wrapText="1"/>
    </xf>
    <xf numFmtId="4" fontId="48" fillId="7" borderId="8" xfId="0" applyNumberFormat="1" applyFont="1" applyFill="1" applyBorder="1" applyAlignment="1">
      <alignment horizontal="center" vertical="center" wrapText="1"/>
    </xf>
    <xf numFmtId="0" fontId="26" fillId="0" borderId="7" xfId="0" applyFont="1" applyFill="1" applyBorder="1" applyAlignment="1">
      <alignment horizontal="center" vertical="center" wrapText="1"/>
    </xf>
    <xf numFmtId="0" fontId="26" fillId="0" borderId="7" xfId="0" applyFont="1" applyFill="1" applyBorder="1" applyAlignment="1">
      <alignment horizontal="center" vertical="top" wrapText="1"/>
    </xf>
    <xf numFmtId="0" fontId="26" fillId="0" borderId="7" xfId="0" applyFont="1" applyFill="1" applyBorder="1" applyAlignment="1">
      <alignment vertical="center" wrapText="1"/>
    </xf>
    <xf numFmtId="0" fontId="31" fillId="0" borderId="7" xfId="0" applyFont="1" applyFill="1" applyBorder="1" applyAlignment="1">
      <alignment horizontal="center" vertical="top" wrapText="1"/>
    </xf>
    <xf numFmtId="0" fontId="26" fillId="0" borderId="7" xfId="0" applyFont="1" applyFill="1" applyBorder="1" applyAlignment="1">
      <alignment horizontal="center" vertical="top" wrapText="1"/>
    </xf>
    <xf numFmtId="0" fontId="26" fillId="0" borderId="7" xfId="0" applyFont="1" applyFill="1" applyBorder="1" applyAlignment="1">
      <alignment horizontal="center" vertical="center" wrapText="1"/>
    </xf>
    <xf numFmtId="0" fontId="26" fillId="24" borderId="45" xfId="0" applyFont="1" applyFill="1" applyBorder="1" applyAlignment="1">
      <alignment horizontal="center" vertical="center" wrapText="1"/>
    </xf>
    <xf numFmtId="0" fontId="16" fillId="24" borderId="10" xfId="0" applyFont="1" applyFill="1" applyBorder="1"/>
    <xf numFmtId="4" fontId="31" fillId="24" borderId="10" xfId="0" applyNumberFormat="1" applyFont="1" applyFill="1" applyBorder="1" applyAlignment="1">
      <alignment horizontal="center" vertical="center" wrapText="1"/>
    </xf>
    <xf numFmtId="4" fontId="26" fillId="24" borderId="10" xfId="0" applyNumberFormat="1" applyFont="1" applyFill="1" applyBorder="1" applyAlignment="1">
      <alignment horizontal="justify" vertical="center" wrapText="1"/>
    </xf>
    <xf numFmtId="4" fontId="26" fillId="24" borderId="10" xfId="0" applyNumberFormat="1" applyFont="1" applyFill="1" applyBorder="1" applyAlignment="1">
      <alignment horizontal="center" vertical="center" wrapText="1"/>
    </xf>
    <xf numFmtId="4" fontId="31" fillId="24" borderId="7" xfId="0" applyNumberFormat="1" applyFont="1" applyFill="1" applyBorder="1" applyAlignment="1">
      <alignment horizontal="center" vertical="center" wrapText="1"/>
    </xf>
    <xf numFmtId="4" fontId="16" fillId="24" borderId="10" xfId="0" applyNumberFormat="1" applyFont="1" applyFill="1" applyBorder="1" applyAlignment="1">
      <alignment horizontal="center" vertical="center"/>
    </xf>
    <xf numFmtId="4" fontId="40" fillId="24" borderId="10" xfId="0" applyNumberFormat="1" applyFont="1" applyFill="1" applyBorder="1" applyAlignment="1">
      <alignment horizontal="center" vertical="center"/>
    </xf>
    <xf numFmtId="4" fontId="31" fillId="24" borderId="41" xfId="0" applyNumberFormat="1" applyFont="1" applyFill="1" applyBorder="1" applyAlignment="1">
      <alignment horizontal="center" vertical="center" wrapText="1"/>
    </xf>
    <xf numFmtId="0" fontId="4" fillId="0" borderId="0" xfId="105" applyFont="1"/>
    <xf numFmtId="0" fontId="21" fillId="0" borderId="0" xfId="105" applyFont="1" applyBorder="1" applyAlignment="1">
      <alignment vertical="center"/>
    </xf>
    <xf numFmtId="0" fontId="4" fillId="0" borderId="7" xfId="105" applyFont="1" applyBorder="1" applyAlignment="1">
      <alignment horizontal="center"/>
    </xf>
    <xf numFmtId="0" fontId="21" fillId="0" borderId="7" xfId="105" applyFont="1" applyBorder="1" applyAlignment="1">
      <alignment horizontal="center" vertical="center" wrapText="1"/>
    </xf>
    <xf numFmtId="0" fontId="21" fillId="0" borderId="7" xfId="105" applyFont="1" applyFill="1" applyBorder="1" applyAlignment="1">
      <alignment horizontal="center" vertical="center" wrapText="1"/>
    </xf>
    <xf numFmtId="0" fontId="21" fillId="0" borderId="15" xfId="105" applyFont="1" applyFill="1" applyBorder="1" applyAlignment="1">
      <alignment horizontal="center" vertical="center" wrapText="1"/>
    </xf>
    <xf numFmtId="0" fontId="21" fillId="25" borderId="7" xfId="105" applyFont="1" applyFill="1" applyBorder="1" applyAlignment="1">
      <alignment horizontal="center" vertical="center"/>
    </xf>
    <xf numFmtId="0" fontId="21" fillId="25" borderId="7" xfId="105" applyFont="1" applyFill="1" applyBorder="1" applyAlignment="1">
      <alignment vertical="center"/>
    </xf>
    <xf numFmtId="4" fontId="21" fillId="25" borderId="7" xfId="105" applyNumberFormat="1" applyFont="1" applyFill="1" applyBorder="1" applyAlignment="1">
      <alignment horizontal="center" vertical="center"/>
    </xf>
    <xf numFmtId="4" fontId="21" fillId="25" borderId="7" xfId="75" applyNumberFormat="1" applyFont="1" applyFill="1" applyBorder="1" applyAlignment="1">
      <alignment horizontal="center" vertical="center"/>
    </xf>
    <xf numFmtId="49" fontId="4" fillId="0" borderId="7" xfId="105" applyNumberFormat="1" applyFont="1" applyFill="1" applyBorder="1" applyAlignment="1">
      <alignment horizontal="center" vertical="center"/>
    </xf>
    <xf numFmtId="0" fontId="4" fillId="0" borderId="7" xfId="105" applyFont="1" applyFill="1" applyBorder="1" applyAlignment="1">
      <alignment horizontal="left" vertical="center" wrapText="1"/>
    </xf>
    <xf numFmtId="4" fontId="4" fillId="0" borderId="7" xfId="105" applyNumberFormat="1" applyFont="1" applyFill="1" applyBorder="1" applyAlignment="1">
      <alignment horizontal="center" vertical="center" wrapText="1"/>
    </xf>
    <xf numFmtId="4" fontId="4" fillId="0" borderId="7" xfId="75" applyNumberFormat="1" applyFont="1" applyFill="1" applyBorder="1" applyAlignment="1">
      <alignment horizontal="center" vertical="center" wrapText="1"/>
    </xf>
    <xf numFmtId="0" fontId="21" fillId="26" borderId="7" xfId="105" applyFont="1" applyFill="1" applyBorder="1" applyAlignment="1">
      <alignment horizontal="center" vertical="center"/>
    </xf>
    <xf numFmtId="0" fontId="21" fillId="26" borderId="7" xfId="75" applyFont="1" applyFill="1" applyBorder="1" applyAlignment="1">
      <alignment vertical="center"/>
    </xf>
    <xf numFmtId="174" fontId="21" fillId="26" borderId="7" xfId="75" applyNumberFormat="1" applyFont="1" applyFill="1" applyBorder="1" applyAlignment="1">
      <alignment horizontal="center" vertical="center" wrapText="1"/>
    </xf>
    <xf numFmtId="0" fontId="4" fillId="0" borderId="7" xfId="105" applyFont="1" applyFill="1" applyBorder="1" applyAlignment="1">
      <alignment horizontal="center" vertical="center"/>
    </xf>
    <xf numFmtId="174" fontId="4" fillId="0" borderId="7" xfId="75" applyNumberFormat="1" applyFont="1" applyFill="1" applyBorder="1" applyAlignment="1">
      <alignment horizontal="center" vertical="center" wrapText="1"/>
    </xf>
    <xf numFmtId="174" fontId="21" fillId="0" borderId="7" xfId="75" applyNumberFormat="1" applyFont="1" applyFill="1" applyBorder="1" applyAlignment="1">
      <alignment horizontal="center" vertical="center" wrapText="1"/>
    </xf>
    <xf numFmtId="0" fontId="4" fillId="0" borderId="7" xfId="105" applyFont="1" applyBorder="1"/>
    <xf numFmtId="0" fontId="21" fillId="0" borderId="7" xfId="105" applyFont="1" applyFill="1" applyBorder="1" applyAlignment="1">
      <alignment horizontal="center" vertical="center"/>
    </xf>
    <xf numFmtId="0" fontId="61" fillId="0" borderId="7" xfId="105" applyFont="1" applyFill="1" applyBorder="1" applyAlignment="1">
      <alignment horizontal="left" vertical="center" wrapText="1"/>
    </xf>
    <xf numFmtId="0" fontId="4" fillId="8" borderId="7" xfId="105" applyFont="1" applyFill="1" applyBorder="1" applyAlignment="1">
      <alignment horizontal="center"/>
    </xf>
    <xf numFmtId="0" fontId="21" fillId="8" borderId="7" xfId="105" applyFont="1" applyFill="1" applyBorder="1" applyAlignment="1">
      <alignment horizontal="left" vertical="center" wrapText="1"/>
    </xf>
    <xf numFmtId="4" fontId="21" fillId="8" borderId="7" xfId="105" applyNumberFormat="1" applyFont="1" applyFill="1" applyBorder="1" applyAlignment="1">
      <alignment horizontal="center" vertical="center"/>
    </xf>
    <xf numFmtId="4" fontId="21" fillId="8" borderId="7" xfId="105" applyNumberFormat="1" applyFont="1" applyFill="1" applyBorder="1" applyAlignment="1">
      <alignment horizontal="center" vertical="center" wrapText="1"/>
    </xf>
    <xf numFmtId="174" fontId="4" fillId="0" borderId="0" xfId="105" applyNumberFormat="1" applyFont="1"/>
    <xf numFmtId="4" fontId="4" fillId="0" borderId="0" xfId="105" applyNumberFormat="1" applyFont="1"/>
    <xf numFmtId="0" fontId="21" fillId="0" borderId="0" xfId="18" applyFont="1" applyBorder="1" applyAlignment="1">
      <alignment wrapText="1"/>
    </xf>
    <xf numFmtId="0" fontId="21" fillId="0" borderId="0" xfId="18" applyFont="1" applyBorder="1" applyAlignment="1">
      <alignment horizontal="center" wrapText="1"/>
    </xf>
    <xf numFmtId="169" fontId="16" fillId="0" borderId="0" xfId="18" applyNumberFormat="1" applyFont="1" applyAlignment="1">
      <alignment vertical="top" wrapText="1"/>
    </xf>
    <xf numFmtId="0" fontId="16" fillId="0" borderId="0" xfId="18" applyFont="1" applyAlignment="1">
      <alignment vertical="top" wrapText="1"/>
    </xf>
    <xf numFmtId="0" fontId="63" fillId="0" borderId="0" xfId="18" applyFont="1" applyBorder="1" applyAlignment="1">
      <alignment horizontal="center" vertical="center" wrapText="1"/>
    </xf>
    <xf numFmtId="0" fontId="63" fillId="0" borderId="0" xfId="18" applyFont="1" applyFill="1" applyBorder="1" applyAlignment="1">
      <alignment horizontal="center" vertical="center" wrapText="1"/>
    </xf>
    <xf numFmtId="169" fontId="56" fillId="0" borderId="0" xfId="18" applyNumberFormat="1" applyFont="1" applyAlignment="1">
      <alignment vertical="top" wrapText="1"/>
    </xf>
    <xf numFmtId="0" fontId="56" fillId="0" borderId="0" xfId="18" applyFont="1" applyAlignment="1">
      <alignment vertical="top" wrapText="1"/>
    </xf>
    <xf numFmtId="0" fontId="22" fillId="0" borderId="8" xfId="18" applyFont="1" applyFill="1" applyBorder="1" applyAlignment="1">
      <alignment vertical="center" wrapText="1"/>
    </xf>
    <xf numFmtId="0" fontId="22" fillId="0" borderId="7" xfId="18" applyFont="1" applyFill="1" applyBorder="1" applyAlignment="1">
      <alignment horizontal="center" vertical="center" wrapText="1"/>
    </xf>
    <xf numFmtId="0" fontId="64" fillId="0" borderId="8" xfId="18" applyFont="1" applyFill="1" applyBorder="1" applyAlignment="1">
      <alignment horizontal="center" vertical="center" wrapText="1"/>
    </xf>
    <xf numFmtId="0" fontId="22" fillId="0" borderId="7" xfId="18" applyFont="1" applyBorder="1" applyAlignment="1">
      <alignment horizontal="center" vertical="center" wrapText="1"/>
    </xf>
    <xf numFmtId="0" fontId="64" fillId="0" borderId="7" xfId="18" applyFont="1" applyFill="1" applyBorder="1" applyAlignment="1">
      <alignment horizontal="center" vertical="center" wrapText="1"/>
    </xf>
    <xf numFmtId="0" fontId="16" fillId="0" borderId="0" xfId="18" applyFont="1" applyAlignment="1">
      <alignment horizontal="center" vertical="top" wrapText="1"/>
    </xf>
    <xf numFmtId="0" fontId="30" fillId="0" borderId="7" xfId="1" applyFont="1" applyBorder="1" applyAlignment="1">
      <alignment vertical="top" wrapText="1"/>
    </xf>
    <xf numFmtId="0" fontId="30" fillId="0" borderId="7" xfId="1" applyFont="1" applyBorder="1" applyAlignment="1">
      <alignment horizontal="center" vertical="top" wrapText="1"/>
    </xf>
    <xf numFmtId="4" fontId="31" fillId="0" borderId="8" xfId="72" applyNumberFormat="1" applyFont="1" applyFill="1" applyBorder="1" applyAlignment="1">
      <alignment horizontal="center" vertical="center" wrapText="1"/>
    </xf>
    <xf numFmtId="169" fontId="31" fillId="0" borderId="7" xfId="72" applyNumberFormat="1" applyFont="1" applyFill="1" applyBorder="1" applyAlignment="1">
      <alignment horizontal="center" vertical="center" wrapText="1"/>
    </xf>
    <xf numFmtId="4" fontId="31" fillId="0" borderId="7" xfId="72" applyNumberFormat="1" applyFont="1" applyFill="1" applyBorder="1" applyAlignment="1">
      <alignment horizontal="center" vertical="center" wrapText="1"/>
    </xf>
    <xf numFmtId="4" fontId="31" fillId="0" borderId="0" xfId="72" applyNumberFormat="1" applyFont="1" applyFill="1" applyBorder="1" applyAlignment="1">
      <alignment horizontal="right" vertical="top" wrapText="1"/>
    </xf>
    <xf numFmtId="0" fontId="16" fillId="0" borderId="0" xfId="18" applyFont="1" applyAlignment="1">
      <alignment horizontal="center" vertical="center" wrapText="1"/>
    </xf>
    <xf numFmtId="0" fontId="26" fillId="0" borderId="7" xfId="18" applyFont="1" applyBorder="1" applyAlignment="1">
      <alignment vertical="top" wrapText="1"/>
    </xf>
    <xf numFmtId="0" fontId="31" fillId="0" borderId="7" xfId="18" applyFont="1" applyBorder="1" applyAlignment="1">
      <alignment horizontal="center" vertical="top" wrapText="1"/>
    </xf>
    <xf numFmtId="4" fontId="26" fillId="0" borderId="8" xfId="72" applyNumberFormat="1" applyFont="1" applyFill="1" applyBorder="1" applyAlignment="1">
      <alignment horizontal="center" vertical="top" wrapText="1"/>
    </xf>
    <xf numFmtId="169" fontId="26" fillId="0" borderId="7" xfId="72" applyNumberFormat="1" applyFont="1" applyFill="1" applyBorder="1" applyAlignment="1">
      <alignment horizontal="center" vertical="center" wrapText="1"/>
    </xf>
    <xf numFmtId="4" fontId="26" fillId="0" borderId="7" xfId="72" applyNumberFormat="1" applyFont="1" applyFill="1" applyBorder="1" applyAlignment="1">
      <alignment horizontal="center" vertical="center" wrapText="1"/>
    </xf>
    <xf numFmtId="4" fontId="16" fillId="0" borderId="0" xfId="18" applyNumberFormat="1" applyFont="1" applyBorder="1" applyAlignment="1">
      <alignment horizontal="right" vertical="top" wrapText="1"/>
    </xf>
    <xf numFmtId="0" fontId="7" fillId="0" borderId="7" xfId="1" applyFont="1" applyBorder="1" applyAlignment="1">
      <alignment vertical="top" wrapText="1"/>
    </xf>
    <xf numFmtId="0" fontId="31" fillId="0" borderId="7" xfId="18" applyFont="1" applyBorder="1" applyAlignment="1">
      <alignment horizontal="center" vertical="center"/>
    </xf>
    <xf numFmtId="4" fontId="31" fillId="0" borderId="0" xfId="72" applyNumberFormat="1" applyFont="1" applyFill="1" applyBorder="1" applyAlignment="1">
      <alignment horizontal="right" vertical="center" wrapText="1"/>
    </xf>
    <xf numFmtId="2" fontId="22" fillId="0" borderId="0" xfId="18" applyNumberFormat="1" applyFont="1" applyAlignment="1">
      <alignment horizontal="center" vertical="center" wrapText="1"/>
    </xf>
    <xf numFmtId="0" fontId="26" fillId="0" borderId="7" xfId="18" applyFont="1" applyBorder="1" applyAlignment="1">
      <alignment horizontal="left" vertical="top" wrapText="1"/>
    </xf>
    <xf numFmtId="0" fontId="31" fillId="0" borderId="7" xfId="18" applyFont="1" applyBorder="1" applyAlignment="1">
      <alignment vertical="top" wrapText="1"/>
    </xf>
    <xf numFmtId="4" fontId="16" fillId="0" borderId="8" xfId="72" applyNumberFormat="1" applyFont="1" applyFill="1" applyBorder="1" applyAlignment="1">
      <alignment horizontal="center" vertical="top" wrapText="1"/>
    </xf>
    <xf numFmtId="169" fontId="16" fillId="0" borderId="7" xfId="72" applyNumberFormat="1" applyFont="1" applyFill="1" applyBorder="1" applyAlignment="1">
      <alignment horizontal="center" vertical="center" wrapText="1"/>
    </xf>
    <xf numFmtId="4" fontId="16" fillId="0" borderId="7" xfId="72" applyNumberFormat="1" applyFont="1" applyFill="1" applyBorder="1" applyAlignment="1">
      <alignment horizontal="center" vertical="center" wrapText="1"/>
    </xf>
    <xf numFmtId="4" fontId="26" fillId="0" borderId="7" xfId="18" applyNumberFormat="1" applyFont="1" applyFill="1" applyBorder="1" applyAlignment="1">
      <alignment horizontal="center" vertical="center"/>
    </xf>
    <xf numFmtId="2" fontId="16" fillId="0" borderId="0" xfId="18" applyNumberFormat="1" applyFont="1" applyAlignment="1">
      <alignment horizontal="center" vertical="center" wrapText="1"/>
    </xf>
    <xf numFmtId="0" fontId="26" fillId="0" borderId="7" xfId="18" applyFont="1" applyBorder="1" applyAlignment="1">
      <alignment horizontal="center" vertical="center"/>
    </xf>
    <xf numFmtId="4" fontId="26" fillId="0" borderId="8" xfId="18" applyNumberFormat="1" applyFont="1" applyFill="1" applyBorder="1" applyAlignment="1">
      <alignment horizontal="center" vertical="center"/>
    </xf>
    <xf numFmtId="169" fontId="26" fillId="0" borderId="7" xfId="18" applyNumberFormat="1" applyFont="1" applyFill="1" applyBorder="1" applyAlignment="1">
      <alignment horizontal="center" vertical="center"/>
    </xf>
    <xf numFmtId="169" fontId="26" fillId="4" borderId="0" xfId="18" applyNumberFormat="1" applyFont="1" applyFill="1" applyBorder="1" applyAlignment="1">
      <alignment horizontal="right" vertical="center"/>
    </xf>
    <xf numFmtId="169" fontId="26" fillId="0" borderId="0" xfId="18" applyNumberFormat="1" applyFont="1" applyFill="1" applyBorder="1" applyAlignment="1">
      <alignment horizontal="right" vertical="center"/>
    </xf>
    <xf numFmtId="4" fontId="16" fillId="0" borderId="0" xfId="18" applyNumberFormat="1" applyFont="1" applyAlignment="1">
      <alignment vertical="top" wrapText="1"/>
    </xf>
    <xf numFmtId="4" fontId="22" fillId="0" borderId="8" xfId="72" applyNumberFormat="1" applyFont="1" applyFill="1" applyBorder="1" applyAlignment="1">
      <alignment horizontal="center" vertical="center" wrapText="1"/>
    </xf>
    <xf numFmtId="169" fontId="22" fillId="0" borderId="7" xfId="72" applyNumberFormat="1" applyFont="1" applyFill="1" applyBorder="1" applyAlignment="1">
      <alignment horizontal="center" vertical="center" wrapText="1"/>
    </xf>
    <xf numFmtId="4" fontId="22" fillId="0" borderId="7" xfId="72" applyNumberFormat="1" applyFont="1" applyFill="1" applyBorder="1" applyAlignment="1">
      <alignment horizontal="center" vertical="center" wrapText="1"/>
    </xf>
    <xf numFmtId="4" fontId="26" fillId="0" borderId="0" xfId="18" applyNumberFormat="1" applyFont="1" applyFill="1" applyBorder="1" applyAlignment="1">
      <alignment horizontal="right" vertical="center"/>
    </xf>
    <xf numFmtId="0" fontId="7" fillId="2" borderId="7" xfId="1" applyFont="1" applyFill="1" applyBorder="1" applyAlignment="1">
      <alignment vertical="top" wrapText="1"/>
    </xf>
    <xf numFmtId="4" fontId="31" fillId="0" borderId="8" xfId="18" applyNumberFormat="1" applyFont="1" applyFill="1" applyBorder="1" applyAlignment="1">
      <alignment horizontal="center" vertical="center"/>
    </xf>
    <xf numFmtId="169" fontId="31" fillId="0" borderId="7" xfId="18" applyNumberFormat="1" applyFont="1" applyFill="1" applyBorder="1" applyAlignment="1">
      <alignment horizontal="center" vertical="center"/>
    </xf>
    <xf numFmtId="4" fontId="31" fillId="0" borderId="7" xfId="18" applyNumberFormat="1" applyFont="1" applyFill="1" applyBorder="1" applyAlignment="1">
      <alignment horizontal="center" vertical="center"/>
    </xf>
    <xf numFmtId="4" fontId="31" fillId="0" borderId="0" xfId="18" applyNumberFormat="1" applyFont="1" applyFill="1" applyBorder="1" applyAlignment="1">
      <alignment horizontal="right" vertical="center"/>
    </xf>
    <xf numFmtId="173" fontId="22" fillId="0" borderId="0" xfId="18" applyNumberFormat="1" applyFont="1" applyAlignment="1">
      <alignment horizontal="center" vertical="center" wrapText="1"/>
    </xf>
    <xf numFmtId="173" fontId="16" fillId="0" borderId="0" xfId="18" applyNumberFormat="1" applyFont="1" applyAlignment="1">
      <alignment horizontal="center" vertical="center" wrapText="1"/>
    </xf>
    <xf numFmtId="0" fontId="7" fillId="0" borderId="7" xfId="1" applyFont="1" applyBorder="1" applyAlignment="1">
      <alignment horizontal="left" vertical="center" wrapText="1"/>
    </xf>
    <xf numFmtId="0" fontId="26" fillId="0" borderId="7" xfId="18" applyFont="1" applyBorder="1" applyAlignment="1">
      <alignment horizontal="left" vertical="center" wrapText="1"/>
    </xf>
    <xf numFmtId="0" fontId="3" fillId="0" borderId="0" xfId="1" applyAlignment="1">
      <alignment wrapText="1"/>
    </xf>
    <xf numFmtId="0" fontId="3" fillId="0" borderId="0" xfId="1" applyFill="1" applyAlignment="1">
      <alignment horizontal="center" wrapText="1"/>
    </xf>
    <xf numFmtId="169" fontId="3" fillId="0" borderId="0" xfId="1" applyNumberFormat="1" applyFill="1" applyAlignment="1">
      <alignment horizontal="center" wrapText="1"/>
    </xf>
    <xf numFmtId="169" fontId="3" fillId="0" borderId="0" xfId="1" applyNumberFormat="1" applyAlignment="1">
      <alignment wrapText="1"/>
    </xf>
    <xf numFmtId="0" fontId="16" fillId="0" borderId="0" xfId="18" applyFont="1" applyFill="1" applyAlignment="1">
      <alignment horizontal="center" vertical="top" wrapText="1"/>
    </xf>
    <xf numFmtId="4" fontId="16" fillId="0" borderId="0" xfId="18" applyNumberFormat="1" applyFont="1" applyFill="1" applyAlignment="1">
      <alignment horizontal="center" vertical="top" wrapText="1"/>
    </xf>
    <xf numFmtId="175" fontId="16" fillId="0" borderId="0" xfId="18" applyNumberFormat="1" applyFont="1" applyAlignment="1">
      <alignment vertical="top" wrapText="1"/>
    </xf>
    <xf numFmtId="0" fontId="3" fillId="0" borderId="0" xfId="8"/>
    <xf numFmtId="0" fontId="50" fillId="0" borderId="52" xfId="8" applyFont="1" applyBorder="1" applyAlignment="1">
      <alignment horizontal="center" vertical="center"/>
    </xf>
    <xf numFmtId="0" fontId="50" fillId="0" borderId="66" xfId="8" applyFont="1" applyBorder="1" applyAlignment="1">
      <alignment horizontal="center" vertical="center"/>
    </xf>
    <xf numFmtId="0" fontId="50" fillId="0" borderId="65" xfId="8" applyFont="1" applyBorder="1" applyAlignment="1">
      <alignment horizontal="center" vertical="center"/>
    </xf>
    <xf numFmtId="0" fontId="50" fillId="0" borderId="39" xfId="8" applyFont="1" applyBorder="1" applyAlignment="1">
      <alignment horizontal="center" vertical="center"/>
    </xf>
    <xf numFmtId="0" fontId="50" fillId="0" borderId="66" xfId="8" applyFont="1" applyBorder="1" applyAlignment="1">
      <alignment horizontal="center" vertical="center" wrapText="1"/>
    </xf>
    <xf numFmtId="0" fontId="50" fillId="0" borderId="5" xfId="8" applyFont="1" applyBorder="1" applyAlignment="1">
      <alignment horizontal="center" vertical="center"/>
    </xf>
    <xf numFmtId="4" fontId="50" fillId="0" borderId="65" xfId="8" applyNumberFormat="1" applyFont="1" applyBorder="1" applyAlignment="1">
      <alignment horizontal="center" vertical="center"/>
    </xf>
    <xf numFmtId="4" fontId="50" fillId="0" borderId="5" xfId="8" applyNumberFormat="1" applyFont="1" applyBorder="1" applyAlignment="1">
      <alignment vertical="center"/>
    </xf>
    <xf numFmtId="0" fontId="66" fillId="0" borderId="5" xfId="8" applyFont="1" applyBorder="1" applyAlignment="1">
      <alignment horizontal="center" vertical="center" wrapText="1"/>
    </xf>
    <xf numFmtId="4" fontId="50" fillId="0" borderId="5" xfId="8" applyNumberFormat="1" applyFont="1" applyBorder="1" applyAlignment="1">
      <alignment horizontal="center" vertical="center"/>
    </xf>
    <xf numFmtId="4" fontId="50" fillId="0" borderId="66" xfId="8" applyNumberFormat="1" applyFont="1" applyBorder="1" applyAlignment="1">
      <alignment horizontal="center" vertical="center"/>
    </xf>
    <xf numFmtId="4" fontId="50" fillId="0" borderId="53" xfId="8" applyNumberFormat="1" applyFont="1" applyBorder="1" applyAlignment="1">
      <alignment horizontal="center" vertical="center"/>
    </xf>
    <xf numFmtId="0" fontId="50" fillId="0" borderId="5" xfId="8" applyFont="1" applyBorder="1" applyAlignment="1">
      <alignment vertical="center"/>
    </xf>
    <xf numFmtId="4" fontId="50" fillId="0" borderId="53" xfId="8" applyNumberFormat="1" applyFont="1" applyBorder="1" applyAlignment="1">
      <alignment vertical="center"/>
    </xf>
    <xf numFmtId="0" fontId="50" fillId="0" borderId="71" xfId="8" applyFont="1" applyBorder="1" applyAlignment="1">
      <alignment vertical="top" wrapText="1"/>
    </xf>
    <xf numFmtId="0" fontId="51" fillId="0" borderId="53" xfId="8" applyFont="1" applyBorder="1" applyAlignment="1">
      <alignment vertical="center"/>
    </xf>
    <xf numFmtId="0" fontId="67" fillId="0" borderId="5" xfId="8" applyFont="1" applyBorder="1" applyAlignment="1">
      <alignment vertical="center"/>
    </xf>
    <xf numFmtId="4" fontId="51" fillId="0" borderId="5" xfId="8" applyNumberFormat="1" applyFont="1" applyBorder="1" applyAlignment="1">
      <alignment vertical="center"/>
    </xf>
    <xf numFmtId="0" fontId="68" fillId="0" borderId="5" xfId="8" applyFont="1" applyBorder="1" applyAlignment="1">
      <alignment vertical="center"/>
    </xf>
    <xf numFmtId="4" fontId="68" fillId="0" borderId="5" xfId="8" applyNumberFormat="1" applyFont="1" applyBorder="1" applyAlignment="1">
      <alignment vertical="center"/>
    </xf>
    <xf numFmtId="0" fontId="21" fillId="0" borderId="0" xfId="1" applyFont="1" applyAlignment="1">
      <alignment horizontal="center" vertical="center"/>
    </xf>
    <xf numFmtId="0" fontId="21" fillId="0" borderId="0" xfId="1" applyFont="1" applyFill="1" applyBorder="1" applyAlignment="1">
      <alignment horizontal="center" vertical="center" wrapText="1"/>
    </xf>
    <xf numFmtId="4" fontId="3" fillId="0" borderId="0" xfId="8" applyNumberFormat="1"/>
    <xf numFmtId="0" fontId="17" fillId="0" borderId="0" xfId="1" applyFont="1" applyAlignment="1">
      <alignment wrapText="1"/>
    </xf>
    <xf numFmtId="0" fontId="26" fillId="0" borderId="0" xfId="1" applyFont="1" applyAlignment="1">
      <alignment horizontal="center" vertical="center"/>
    </xf>
    <xf numFmtId="1" fontId="26" fillId="0" borderId="0" xfId="1" applyNumberFormat="1" applyFont="1" applyAlignment="1">
      <alignment horizontal="center" vertical="center"/>
    </xf>
    <xf numFmtId="0" fontId="3" fillId="0" borderId="0" xfId="1" applyAlignment="1">
      <alignment horizontal="center" vertical="center" wrapText="1"/>
    </xf>
    <xf numFmtId="0" fontId="3" fillId="0" borderId="0" xfId="1" applyFill="1" applyAlignment="1">
      <alignment horizontal="center" vertical="center" wrapText="1"/>
    </xf>
    <xf numFmtId="9" fontId="70" fillId="0" borderId="0" xfId="106"/>
    <xf numFmtId="4" fontId="50" fillId="0" borderId="66" xfId="8" applyNumberFormat="1" applyFont="1" applyBorder="1" applyAlignment="1">
      <alignment vertical="center"/>
    </xf>
    <xf numFmtId="0" fontId="22" fillId="0" borderId="7" xfId="18" applyFont="1" applyFill="1" applyBorder="1" applyAlignment="1">
      <alignment horizontal="center" vertical="center" wrapText="1"/>
    </xf>
    <xf numFmtId="0" fontId="30" fillId="0" borderId="0" xfId="35" applyNumberFormat="1" applyFont="1" applyBorder="1" applyAlignment="1">
      <alignment horizontal="center" vertical="center" wrapText="1"/>
    </xf>
    <xf numFmtId="0" fontId="32" fillId="0" borderId="11" xfId="35" applyFont="1" applyBorder="1" applyAlignment="1">
      <alignment horizontal="center" vertical="center"/>
    </xf>
    <xf numFmtId="0" fontId="32" fillId="0" borderId="7" xfId="35" applyFont="1" applyFill="1" applyBorder="1" applyAlignment="1">
      <alignment horizontal="center"/>
    </xf>
    <xf numFmtId="169" fontId="32" fillId="0" borderId="7" xfId="35" applyNumberFormat="1" applyFont="1" applyFill="1" applyBorder="1" applyAlignment="1">
      <alignment horizontal="center" vertical="top" wrapText="1"/>
    </xf>
    <xf numFmtId="3" fontId="30" fillId="0" borderId="7" xfId="35" applyNumberFormat="1" applyFont="1" applyFill="1" applyBorder="1" applyAlignment="1">
      <alignment horizontal="center" vertical="top" wrapText="1"/>
    </xf>
    <xf numFmtId="0" fontId="32" fillId="0" borderId="7" xfId="35" applyFont="1" applyFill="1" applyBorder="1" applyAlignment="1">
      <alignment horizontal="center" vertical="center"/>
    </xf>
    <xf numFmtId="4" fontId="28" fillId="0" borderId="7" xfId="35" applyNumberFormat="1" applyFont="1" applyFill="1" applyBorder="1" applyAlignment="1">
      <alignment horizontal="right" vertical="center" wrapText="1"/>
    </xf>
    <xf numFmtId="3" fontId="64" fillId="0" borderId="7" xfId="18" applyNumberFormat="1" applyFont="1" applyFill="1" applyBorder="1" applyAlignment="1">
      <alignment horizontal="center" vertical="center" wrapText="1"/>
    </xf>
    <xf numFmtId="3" fontId="64" fillId="0" borderId="0" xfId="18" applyNumberFormat="1" applyFont="1" applyFill="1" applyBorder="1" applyAlignment="1">
      <alignment horizontal="center" vertical="center" wrapText="1"/>
    </xf>
    <xf numFmtId="3" fontId="16" fillId="0" borderId="0" xfId="18" applyNumberFormat="1" applyFont="1" applyAlignment="1">
      <alignment horizontal="center" vertical="top" wrapText="1"/>
    </xf>
    <xf numFmtId="3" fontId="16" fillId="0" borderId="0" xfId="49" applyNumberFormat="1" applyFont="1" applyAlignment="1">
      <alignment horizontal="center" vertical="top" wrapText="1"/>
    </xf>
    <xf numFmtId="4" fontId="22" fillId="0" borderId="0" xfId="18" applyNumberFormat="1" applyFont="1" applyFill="1" applyAlignment="1">
      <alignment horizontal="center" vertical="top" wrapText="1"/>
    </xf>
    <xf numFmtId="0" fontId="22" fillId="0" borderId="0" xfId="18" applyFont="1" applyFill="1" applyAlignment="1">
      <alignment horizontal="center" vertical="top" wrapText="1"/>
    </xf>
    <xf numFmtId="4" fontId="3" fillId="0" borderId="0" xfId="1" applyNumberFormat="1" applyAlignment="1">
      <alignment wrapText="1"/>
    </xf>
    <xf numFmtId="0" fontId="16" fillId="0" borderId="7" xfId="18" applyFont="1" applyBorder="1" applyAlignment="1">
      <alignment horizontal="center" vertical="top" wrapText="1"/>
    </xf>
    <xf numFmtId="0" fontId="16" fillId="0" borderId="7" xfId="18" applyFont="1" applyBorder="1" applyAlignment="1">
      <alignment vertical="top" wrapText="1"/>
    </xf>
    <xf numFmtId="3" fontId="30" fillId="0" borderId="0" xfId="35" applyNumberFormat="1" applyFont="1" applyBorder="1" applyAlignment="1">
      <alignment horizontal="center" vertical="center" wrapText="1"/>
    </xf>
    <xf numFmtId="0" fontId="30" fillId="0" borderId="0" xfId="35" applyNumberFormat="1" applyFont="1" applyBorder="1" applyAlignment="1">
      <alignment vertical="center" wrapText="1"/>
    </xf>
    <xf numFmtId="3" fontId="28" fillId="0" borderId="0" xfId="35" applyNumberFormat="1" applyFont="1" applyFill="1"/>
    <xf numFmtId="3" fontId="32" fillId="0" borderId="7" xfId="35" applyNumberFormat="1" applyFont="1" applyFill="1" applyBorder="1" applyAlignment="1">
      <alignment horizontal="center"/>
    </xf>
    <xf numFmtId="3" fontId="32" fillId="0" borderId="7" xfId="35" applyNumberFormat="1" applyFont="1" applyFill="1" applyBorder="1" applyAlignment="1">
      <alignment horizontal="center" vertical="top" wrapText="1"/>
    </xf>
    <xf numFmtId="3" fontId="32" fillId="0" borderId="7" xfId="35" applyNumberFormat="1" applyFont="1" applyFill="1" applyBorder="1" applyAlignment="1">
      <alignment horizontal="center" vertical="center"/>
    </xf>
    <xf numFmtId="3" fontId="16" fillId="0" borderId="7" xfId="35" applyNumberFormat="1" applyFont="1" applyFill="1" applyBorder="1" applyAlignment="1">
      <alignment vertical="center" wrapText="1"/>
    </xf>
    <xf numFmtId="3" fontId="38" fillId="5" borderId="7" xfId="35" applyNumberFormat="1" applyFont="1" applyFill="1" applyBorder="1" applyAlignment="1">
      <alignment vertical="center" wrapText="1"/>
    </xf>
    <xf numFmtId="4" fontId="28" fillId="0" borderId="7" xfId="35" applyNumberFormat="1" applyFont="1" applyBorder="1" applyAlignment="1">
      <alignment horizontal="left" vertical="center" wrapText="1"/>
    </xf>
    <xf numFmtId="3" fontId="32" fillId="0" borderId="7" xfId="35" applyNumberFormat="1" applyFont="1" applyFill="1" applyBorder="1" applyAlignment="1">
      <alignment vertical="center" wrapText="1"/>
    </xf>
    <xf numFmtId="0" fontId="28" fillId="28" borderId="7" xfId="35" applyFont="1" applyFill="1" applyBorder="1" applyAlignment="1">
      <alignment horizontal="center" vertical="center"/>
    </xf>
    <xf numFmtId="4" fontId="32" fillId="28" borderId="7" xfId="35" applyNumberFormat="1" applyFont="1" applyFill="1" applyBorder="1" applyAlignment="1">
      <alignment vertical="center" wrapText="1"/>
    </xf>
    <xf numFmtId="169" fontId="42" fillId="28" borderId="7" xfId="35" applyNumberFormat="1" applyFont="1" applyFill="1" applyBorder="1" applyAlignment="1">
      <alignment vertical="center" wrapText="1"/>
    </xf>
    <xf numFmtId="169" fontId="32" fillId="28" borderId="7" xfId="35" applyNumberFormat="1" applyFont="1" applyFill="1" applyBorder="1" applyAlignment="1">
      <alignment vertical="center" wrapText="1"/>
    </xf>
    <xf numFmtId="3" fontId="32" fillId="28" borderId="7" xfId="35" applyNumberFormat="1" applyFont="1" applyFill="1" applyBorder="1" applyAlignment="1">
      <alignment vertical="center" wrapText="1"/>
    </xf>
    <xf numFmtId="4" fontId="32" fillId="28" borderId="8" xfId="35" applyNumberFormat="1" applyFont="1" applyFill="1" applyBorder="1" applyAlignment="1">
      <alignment vertical="center" wrapText="1"/>
    </xf>
    <xf numFmtId="169" fontId="42" fillId="28" borderId="9" xfId="35" applyNumberFormat="1" applyFont="1" applyFill="1" applyBorder="1" applyAlignment="1">
      <alignment vertical="center" wrapText="1"/>
    </xf>
    <xf numFmtId="4" fontId="32" fillId="28" borderId="9" xfId="35" applyNumberFormat="1" applyFont="1" applyFill="1" applyBorder="1" applyAlignment="1">
      <alignment vertical="center" wrapText="1"/>
    </xf>
    <xf numFmtId="169" fontId="32" fillId="28" borderId="9" xfId="35" applyNumberFormat="1" applyFont="1" applyFill="1" applyBorder="1" applyAlignment="1">
      <alignment vertical="center" wrapText="1"/>
    </xf>
    <xf numFmtId="3" fontId="32" fillId="28" borderId="9" xfId="35" applyNumberFormat="1" applyFont="1" applyFill="1" applyBorder="1" applyAlignment="1">
      <alignment vertical="center" wrapText="1"/>
    </xf>
    <xf numFmtId="4" fontId="32" fillId="28" borderId="10" xfId="35" applyNumberFormat="1" applyFont="1" applyFill="1" applyBorder="1" applyAlignment="1">
      <alignment vertical="center" wrapText="1"/>
    </xf>
    <xf numFmtId="3" fontId="16" fillId="0" borderId="7" xfId="35" applyNumberFormat="1" applyFont="1" applyFill="1" applyBorder="1" applyAlignment="1">
      <alignment vertical="top" wrapText="1"/>
    </xf>
    <xf numFmtId="3" fontId="22" fillId="0" borderId="7" xfId="35" applyNumberFormat="1" applyFont="1" applyFill="1" applyBorder="1" applyAlignment="1">
      <alignment vertical="top" wrapText="1"/>
    </xf>
    <xf numFmtId="3" fontId="28" fillId="0" borderId="7" xfId="35" applyNumberFormat="1" applyFont="1" applyFill="1" applyBorder="1" applyAlignment="1">
      <alignment vertical="top" wrapText="1"/>
    </xf>
    <xf numFmtId="3" fontId="32" fillId="6" borderId="7" xfId="35" applyNumberFormat="1" applyFont="1" applyFill="1" applyBorder="1" applyAlignment="1">
      <alignment vertical="top" wrapText="1"/>
    </xf>
    <xf numFmtId="3" fontId="28" fillId="0" borderId="7" xfId="35" applyNumberFormat="1" applyFont="1" applyFill="1" applyBorder="1" applyAlignment="1">
      <alignment horizontal="right" vertical="center" wrapText="1"/>
    </xf>
    <xf numFmtId="4" fontId="22" fillId="29" borderId="7" xfId="35" applyNumberFormat="1" applyFont="1" applyFill="1" applyBorder="1" applyAlignment="1">
      <alignment vertical="center" wrapText="1"/>
    </xf>
    <xf numFmtId="169" fontId="22" fillId="29" borderId="7" xfId="35" applyNumberFormat="1" applyFont="1" applyFill="1" applyBorder="1" applyAlignment="1">
      <alignment vertical="center" wrapText="1"/>
    </xf>
    <xf numFmtId="169" fontId="29" fillId="28" borderId="7" xfId="35" applyNumberFormat="1" applyFont="1" applyFill="1" applyBorder="1" applyAlignment="1">
      <alignment vertical="top" wrapText="1"/>
    </xf>
    <xf numFmtId="3" fontId="32" fillId="0" borderId="7" xfId="35" applyNumberFormat="1" applyFont="1" applyFill="1" applyBorder="1" applyAlignment="1">
      <alignment vertical="top" wrapText="1"/>
    </xf>
    <xf numFmtId="4" fontId="32" fillId="29" borderId="7" xfId="35" applyNumberFormat="1" applyFont="1" applyFill="1" applyBorder="1" applyAlignment="1">
      <alignment vertical="top" wrapText="1"/>
    </xf>
    <xf numFmtId="3" fontId="32" fillId="9" borderId="7" xfId="35" applyNumberFormat="1" applyFont="1" applyFill="1" applyBorder="1" applyAlignment="1">
      <alignment vertical="top" wrapText="1"/>
    </xf>
    <xf numFmtId="3" fontId="16" fillId="6" borderId="7" xfId="35" applyNumberFormat="1" applyFont="1" applyFill="1" applyBorder="1" applyAlignment="1">
      <alignment vertical="top" wrapText="1"/>
    </xf>
    <xf numFmtId="43" fontId="28" fillId="0" borderId="7" xfId="108" applyFont="1" applyFill="1" applyBorder="1"/>
    <xf numFmtId="3" fontId="28" fillId="0" borderId="7" xfId="35" applyNumberFormat="1" applyFont="1" applyFill="1" applyBorder="1"/>
    <xf numFmtId="3" fontId="28" fillId="0" borderId="0" xfId="35" applyNumberFormat="1" applyFont="1" applyFill="1" applyBorder="1"/>
    <xf numFmtId="169" fontId="28" fillId="0" borderId="0" xfId="35" applyNumberFormat="1" applyFont="1" applyFill="1" applyBorder="1"/>
    <xf numFmtId="171" fontId="32" fillId="28" borderId="7" xfId="35" applyNumberFormat="1" applyFont="1" applyFill="1" applyBorder="1"/>
    <xf numFmtId="3" fontId="32" fillId="28" borderId="0" xfId="35" applyNumberFormat="1" applyFont="1" applyFill="1" applyBorder="1"/>
    <xf numFmtId="171" fontId="32" fillId="28" borderId="0" xfId="35" applyNumberFormat="1" applyFont="1" applyFill="1" applyBorder="1"/>
    <xf numFmtId="0" fontId="32" fillId="28" borderId="0" xfId="35" applyFont="1" applyFill="1"/>
    <xf numFmtId="171" fontId="32" fillId="28" borderId="0" xfId="35" applyNumberFormat="1" applyFont="1" applyFill="1"/>
    <xf numFmtId="3" fontId="32" fillId="28" borderId="7" xfId="35" applyNumberFormat="1" applyFont="1" applyFill="1" applyBorder="1"/>
    <xf numFmtId="3" fontId="28" fillId="0" borderId="0" xfId="35" applyNumberFormat="1" applyFont="1"/>
    <xf numFmtId="0" fontId="28" fillId="30" borderId="0" xfId="35" applyFont="1" applyFill="1"/>
    <xf numFmtId="4" fontId="16" fillId="0" borderId="7" xfId="18" applyNumberFormat="1" applyFont="1" applyBorder="1" applyAlignment="1">
      <alignment vertical="top" wrapText="1"/>
    </xf>
    <xf numFmtId="0" fontId="22" fillId="0" borderId="0" xfId="18" applyFont="1" applyFill="1" applyBorder="1" applyAlignment="1">
      <alignment horizontal="center" vertical="center" wrapText="1"/>
    </xf>
    <xf numFmtId="0" fontId="16" fillId="0" borderId="0" xfId="18" applyFont="1" applyBorder="1" applyAlignment="1">
      <alignment horizontal="center" vertical="top" wrapText="1"/>
    </xf>
    <xf numFmtId="4" fontId="31" fillId="0" borderId="0" xfId="72" applyNumberFormat="1" applyFont="1" applyFill="1" applyBorder="1" applyAlignment="1">
      <alignment horizontal="center" vertical="center" wrapText="1"/>
    </xf>
    <xf numFmtId="0" fontId="16" fillId="0" borderId="0" xfId="18" applyFont="1" applyBorder="1" applyAlignment="1">
      <alignment vertical="top" wrapText="1"/>
    </xf>
    <xf numFmtId="4" fontId="16" fillId="0" borderId="0" xfId="18" applyNumberFormat="1" applyFont="1" applyBorder="1" applyAlignment="1">
      <alignment vertical="top" wrapText="1"/>
    </xf>
    <xf numFmtId="4" fontId="22" fillId="0" borderId="7" xfId="18" applyNumberFormat="1" applyFont="1" applyBorder="1" applyAlignment="1">
      <alignment vertical="top" wrapText="1"/>
    </xf>
    <xf numFmtId="0" fontId="16" fillId="0" borderId="0" xfId="0" applyFont="1" applyFill="1" applyAlignment="1">
      <alignment horizontal="right"/>
    </xf>
    <xf numFmtId="4" fontId="26" fillId="7" borderId="55" xfId="0" applyNumberFormat="1" applyFont="1" applyFill="1" applyBorder="1" applyAlignment="1">
      <alignment horizontal="center" vertical="center" wrapText="1"/>
    </xf>
    <xf numFmtId="4" fontId="31" fillId="7" borderId="55" xfId="0" applyNumberFormat="1" applyFont="1" applyFill="1" applyBorder="1" applyAlignment="1">
      <alignment horizontal="center" vertical="center" wrapText="1"/>
    </xf>
    <xf numFmtId="4" fontId="16" fillId="7" borderId="55" xfId="0" applyNumberFormat="1" applyFont="1" applyFill="1" applyBorder="1" applyAlignment="1">
      <alignment horizontal="center" vertical="center"/>
    </xf>
    <xf numFmtId="4" fontId="40" fillId="7" borderId="55" xfId="0" applyNumberFormat="1" applyFont="1" applyFill="1" applyBorder="1" applyAlignment="1">
      <alignment horizontal="center" vertical="center"/>
    </xf>
    <xf numFmtId="0" fontId="26" fillId="7" borderId="51" xfId="0" applyFont="1" applyFill="1" applyBorder="1" applyAlignment="1">
      <alignment horizontal="center" vertical="center" wrapText="1"/>
    </xf>
    <xf numFmtId="0" fontId="26" fillId="7" borderId="55" xfId="0" applyFont="1" applyFill="1" applyBorder="1" applyAlignment="1">
      <alignment horizontal="center" vertical="top" wrapText="1"/>
    </xf>
    <xf numFmtId="49" fontId="0" fillId="0" borderId="0" xfId="0" applyNumberFormat="1" applyAlignment="1">
      <alignment wrapText="1"/>
    </xf>
    <xf numFmtId="0" fontId="0" fillId="0" borderId="0" xfId="0" applyAlignment="1">
      <alignment horizontal="center" vertical="center"/>
    </xf>
    <xf numFmtId="176" fontId="0" fillId="0" borderId="0" xfId="0" applyNumberFormat="1"/>
    <xf numFmtId="49" fontId="0" fillId="0" borderId="0" xfId="0" applyNumberFormat="1" applyAlignment="1">
      <alignment horizontal="center" vertical="center" wrapText="1"/>
    </xf>
    <xf numFmtId="49" fontId="0" fillId="0" borderId="0" xfId="0" applyNumberFormat="1" applyAlignment="1">
      <alignment vertical="center" wrapText="1"/>
    </xf>
    <xf numFmtId="49" fontId="0" fillId="0" borderId="0" xfId="0" applyNumberFormat="1"/>
    <xf numFmtId="0" fontId="7" fillId="0" borderId="7" xfId="0" applyFont="1" applyFill="1" applyBorder="1" applyAlignment="1">
      <alignment horizontal="center" vertical="center" wrapText="1"/>
    </xf>
    <xf numFmtId="4" fontId="7" fillId="0" borderId="7" xfId="0" applyNumberFormat="1" applyFont="1" applyFill="1" applyBorder="1" applyAlignment="1">
      <alignment horizontal="center" vertical="center"/>
    </xf>
    <xf numFmtId="4" fontId="7" fillId="2" borderId="7" xfId="0" applyNumberFormat="1" applyFont="1" applyFill="1" applyBorder="1" applyAlignment="1">
      <alignment horizontal="center" vertical="center"/>
    </xf>
    <xf numFmtId="0" fontId="0" fillId="0" borderId="7" xfId="0" applyBorder="1"/>
    <xf numFmtId="49" fontId="0" fillId="0" borderId="0" xfId="0" applyNumberFormat="1" applyFill="1" applyAlignment="1">
      <alignment horizontal="center" vertical="center"/>
    </xf>
    <xf numFmtId="49" fontId="0" fillId="0" borderId="0" xfId="0" applyNumberFormat="1" applyAlignment="1">
      <alignment horizontal="center" vertical="center"/>
    </xf>
    <xf numFmtId="0" fontId="0" fillId="32" borderId="0" xfId="0" applyFill="1"/>
    <xf numFmtId="0" fontId="30" fillId="0" borderId="0" xfId="0" applyFont="1" applyFill="1" applyBorder="1" applyAlignment="1">
      <alignment horizontal="center" vertical="center" wrapText="1"/>
    </xf>
    <xf numFmtId="4" fontId="74" fillId="0" borderId="0" xfId="0" applyNumberFormat="1" applyFont="1" applyFill="1" applyBorder="1" applyAlignment="1">
      <alignment horizontal="center" vertical="center" wrapText="1"/>
    </xf>
    <xf numFmtId="0" fontId="71" fillId="0" borderId="0" xfId="0" applyFont="1" applyFill="1" applyBorder="1"/>
    <xf numFmtId="49" fontId="71" fillId="0" borderId="0" xfId="0" applyNumberFormat="1" applyFont="1" applyAlignment="1">
      <alignment horizontal="center" vertical="center"/>
    </xf>
    <xf numFmtId="0" fontId="71" fillId="0" borderId="0" xfId="0" applyFont="1" applyFill="1"/>
    <xf numFmtId="176" fontId="71" fillId="0" borderId="0" xfId="0" applyNumberFormat="1" applyFont="1" applyFill="1"/>
    <xf numFmtId="0" fontId="71" fillId="0" borderId="0" xfId="0" applyFont="1"/>
    <xf numFmtId="0" fontId="7" fillId="0" borderId="7" xfId="0" applyFont="1" applyFill="1" applyBorder="1" applyAlignment="1">
      <alignment horizontal="center" vertical="top" wrapText="1"/>
    </xf>
    <xf numFmtId="4" fontId="75" fillId="0" borderId="7" xfId="0" applyNumberFormat="1" applyFont="1" applyFill="1" applyBorder="1" applyAlignment="1">
      <alignment horizontal="center" vertical="center" wrapText="1"/>
    </xf>
    <xf numFmtId="0" fontId="30" fillId="0" borderId="7" xfId="0" applyFont="1" applyBorder="1" applyAlignment="1">
      <alignment horizontal="left" vertical="center" wrapText="1"/>
    </xf>
    <xf numFmtId="49" fontId="0" fillId="0" borderId="0" xfId="0" applyNumberFormat="1" applyFill="1" applyAlignment="1">
      <alignment horizontal="center" vertical="center" wrapText="1"/>
    </xf>
    <xf numFmtId="0" fontId="0" fillId="0" borderId="7" xfId="0" applyFill="1" applyBorder="1"/>
    <xf numFmtId="4" fontId="75" fillId="2" borderId="7" xfId="0" applyNumberFormat="1" applyFont="1" applyFill="1" applyBorder="1" applyAlignment="1">
      <alignment horizontal="center" vertical="center" wrapText="1"/>
    </xf>
    <xf numFmtId="0" fontId="0" fillId="0" borderId="0" xfId="0" applyFill="1"/>
    <xf numFmtId="176" fontId="0" fillId="0" borderId="0" xfId="0" applyNumberFormat="1" applyFill="1"/>
    <xf numFmtId="4" fontId="0" fillId="0" borderId="0" xfId="0" applyNumberFormat="1" applyFill="1"/>
    <xf numFmtId="49" fontId="0" fillId="33" borderId="0" xfId="0" applyNumberFormat="1" applyFill="1" applyAlignment="1">
      <alignment horizontal="center" vertical="center"/>
    </xf>
    <xf numFmtId="49" fontId="0" fillId="0" borderId="0" xfId="0" applyNumberFormat="1" applyFill="1" applyBorder="1" applyAlignment="1">
      <alignment horizontal="center" vertical="center" wrapText="1"/>
    </xf>
    <xf numFmtId="0" fontId="30" fillId="0" borderId="7" xfId="0" applyFont="1" applyFill="1" applyBorder="1" applyAlignment="1">
      <alignment horizontal="center" vertical="center" wrapText="1"/>
    </xf>
    <xf numFmtId="176" fontId="75" fillId="0" borderId="7" xfId="0" applyNumberFormat="1" applyFont="1" applyFill="1" applyBorder="1" applyAlignment="1">
      <alignment horizontal="center" vertical="center" wrapText="1"/>
    </xf>
    <xf numFmtId="176" fontId="7" fillId="0" borderId="7" xfId="0" applyNumberFormat="1" applyFont="1" applyFill="1" applyBorder="1" applyAlignment="1">
      <alignment horizontal="center" vertical="center" wrapText="1"/>
    </xf>
    <xf numFmtId="49" fontId="7" fillId="0" borderId="0" xfId="0" applyNumberFormat="1" applyFont="1" applyFill="1" applyBorder="1" applyAlignment="1">
      <alignment horizontal="center" vertical="center" wrapText="1"/>
    </xf>
    <xf numFmtId="49" fontId="75" fillId="0" borderId="0" xfId="0" applyNumberFormat="1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/>
    </xf>
    <xf numFmtId="0" fontId="76" fillId="0" borderId="7" xfId="0" applyFont="1" applyFill="1" applyBorder="1" applyAlignment="1">
      <alignment horizontal="center" vertical="center" wrapText="1"/>
    </xf>
    <xf numFmtId="176" fontId="28" fillId="0" borderId="7" xfId="0" applyNumberFormat="1" applyFont="1" applyFill="1" applyBorder="1" applyAlignment="1">
      <alignment horizontal="center" vertical="center" wrapText="1"/>
    </xf>
    <xf numFmtId="49" fontId="28" fillId="0" borderId="0" xfId="0" applyNumberFormat="1" applyFont="1" applyFill="1" applyBorder="1" applyAlignment="1">
      <alignment horizontal="center" vertical="center" wrapText="1"/>
    </xf>
    <xf numFmtId="0" fontId="0" fillId="0" borderId="0" xfId="0" applyFont="1" applyFill="1" applyAlignment="1">
      <alignment horizontal="center" vertical="center"/>
    </xf>
    <xf numFmtId="0" fontId="0" fillId="0" borderId="0" xfId="0" applyFont="1" applyFill="1" applyAlignment="1">
      <alignment horizontal="center"/>
    </xf>
    <xf numFmtId="0" fontId="0" fillId="0" borderId="0" xfId="0" applyFill="1" applyAlignment="1">
      <alignment horizontal="center"/>
    </xf>
    <xf numFmtId="0" fontId="28" fillId="0" borderId="7" xfId="0" applyFont="1" applyFill="1" applyBorder="1" applyAlignment="1">
      <alignment horizontal="center" vertical="center"/>
    </xf>
    <xf numFmtId="49" fontId="7" fillId="0" borderId="0" xfId="0" applyNumberFormat="1" applyFont="1" applyBorder="1" applyAlignment="1">
      <alignment horizontal="center" vertical="center" wrapText="1"/>
    </xf>
    <xf numFmtId="0" fontId="0" fillId="0" borderId="0" xfId="0" applyFill="1" applyAlignment="1">
      <alignment wrapText="1"/>
    </xf>
    <xf numFmtId="49" fontId="0" fillId="0" borderId="0" xfId="0" applyNumberFormat="1" applyFill="1"/>
    <xf numFmtId="4" fontId="0" fillId="0" borderId="7" xfId="0" applyNumberFormat="1" applyBorder="1"/>
    <xf numFmtId="49" fontId="0" fillId="0" borderId="7" xfId="0" applyNumberFormat="1" applyFill="1" applyBorder="1" applyAlignment="1">
      <alignment horizontal="center"/>
    </xf>
    <xf numFmtId="4" fontId="0" fillId="28" borderId="7" xfId="0" applyNumberFormat="1" applyFill="1" applyBorder="1"/>
    <xf numFmtId="49" fontId="0" fillId="0" borderId="7" xfId="0" applyNumberFormat="1" applyFill="1" applyBorder="1"/>
    <xf numFmtId="49" fontId="0" fillId="0" borderId="7" xfId="0" applyNumberFormat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2" fontId="0" fillId="28" borderId="7" xfId="0" applyNumberFormat="1" applyFill="1" applyBorder="1"/>
    <xf numFmtId="176" fontId="0" fillId="0" borderId="7" xfId="0" applyNumberFormat="1" applyBorder="1"/>
    <xf numFmtId="0" fontId="0" fillId="0" borderId="0" xfId="0" applyFill="1" applyBorder="1"/>
    <xf numFmtId="176" fontId="7" fillId="0" borderId="0" xfId="0" applyNumberFormat="1" applyFont="1" applyFill="1" applyBorder="1" applyAlignment="1">
      <alignment horizontal="center" vertical="center" wrapText="1"/>
    </xf>
    <xf numFmtId="0" fontId="0" fillId="0" borderId="0" xfId="0" applyFill="1" applyBorder="1" applyAlignment="1">
      <alignment horizontal="center" vertical="center"/>
    </xf>
    <xf numFmtId="4" fontId="0" fillId="0" borderId="0" xfId="0" applyNumberFormat="1" applyFill="1" applyAlignment="1">
      <alignment vertical="center"/>
    </xf>
    <xf numFmtId="49" fontId="0" fillId="0" borderId="0" xfId="0" applyNumberFormat="1" applyFill="1" applyAlignment="1">
      <alignment vertical="center"/>
    </xf>
    <xf numFmtId="0" fontId="76" fillId="0" borderId="0" xfId="0" applyFont="1" applyFill="1" applyBorder="1" applyAlignment="1">
      <alignment horizontal="center" vertical="center" wrapText="1"/>
    </xf>
    <xf numFmtId="176" fontId="75" fillId="0" borderId="0" xfId="0" applyNumberFormat="1" applyFont="1" applyFill="1" applyBorder="1" applyAlignment="1">
      <alignment horizontal="center" vertical="center" wrapText="1"/>
    </xf>
    <xf numFmtId="4" fontId="0" fillId="0" borderId="0" xfId="0" applyNumberFormat="1"/>
    <xf numFmtId="0" fontId="0" fillId="0" borderId="0" xfId="0" applyFill="1" applyAlignment="1">
      <alignment vertical="center"/>
    </xf>
    <xf numFmtId="0" fontId="0" fillId="0" borderId="0" xfId="0" applyAlignment="1">
      <alignment horizontal="center" wrapText="1"/>
    </xf>
    <xf numFmtId="0" fontId="0" fillId="0" borderId="0" xfId="0" applyAlignment="1">
      <alignment horizontal="center" vertical="center" wrapText="1"/>
    </xf>
    <xf numFmtId="0" fontId="7" fillId="0" borderId="7" xfId="0" applyFont="1" applyBorder="1" applyAlignment="1">
      <alignment horizontal="center" vertical="top" wrapText="1"/>
    </xf>
    <xf numFmtId="0" fontId="36" fillId="0" borderId="7" xfId="0" applyFont="1" applyFill="1" applyBorder="1" applyAlignment="1">
      <alignment horizontal="center" vertical="center" wrapText="1"/>
    </xf>
    <xf numFmtId="0" fontId="7" fillId="0" borderId="7" xfId="0" applyFont="1" applyFill="1" applyBorder="1" applyAlignment="1">
      <alignment horizontal="center" vertical="center" wrapText="1"/>
    </xf>
    <xf numFmtId="0" fontId="28" fillId="0" borderId="7" xfId="0" applyFont="1" applyFill="1" applyBorder="1" applyAlignment="1">
      <alignment horizontal="center" vertical="center" wrapText="1"/>
    </xf>
    <xf numFmtId="0" fontId="0" fillId="0" borderId="0" xfId="0" applyAlignment="1">
      <alignment horizontal="left"/>
    </xf>
    <xf numFmtId="4" fontId="0" fillId="0" borderId="0" xfId="0" applyNumberFormat="1" applyAlignment="1">
      <alignment horizontal="left"/>
    </xf>
    <xf numFmtId="4" fontId="0" fillId="0" borderId="0" xfId="0" applyNumberFormat="1" applyAlignment="1">
      <alignment horizontal="center" vertical="center"/>
    </xf>
    <xf numFmtId="49" fontId="0" fillId="0" borderId="0" xfId="0" applyNumberFormat="1" applyAlignment="1">
      <alignment horizontal="right"/>
    </xf>
    <xf numFmtId="0" fontId="7" fillId="0" borderId="7" xfId="0" applyFont="1" applyBorder="1" applyAlignment="1">
      <alignment horizontal="center" vertical="top" wrapText="1"/>
    </xf>
    <xf numFmtId="0" fontId="26" fillId="0" borderId="7" xfId="0" applyFont="1" applyFill="1" applyBorder="1" applyAlignment="1">
      <alignment horizontal="center" vertical="center" wrapText="1"/>
    </xf>
    <xf numFmtId="0" fontId="26" fillId="0" borderId="7" xfId="0" applyFont="1" applyFill="1" applyBorder="1" applyAlignment="1">
      <alignment vertical="center" wrapText="1"/>
    </xf>
    <xf numFmtId="0" fontId="28" fillId="0" borderId="7" xfId="0" applyFont="1" applyBorder="1" applyAlignment="1">
      <alignment horizontal="center" vertical="top" wrapText="1"/>
    </xf>
    <xf numFmtId="0" fontId="28" fillId="0" borderId="7" xfId="0" applyFont="1" applyBorder="1" applyAlignment="1">
      <alignment horizontal="center" vertical="center" wrapText="1"/>
    </xf>
    <xf numFmtId="0" fontId="32" fillId="0" borderId="7" xfId="0" applyFont="1" applyBorder="1" applyAlignment="1">
      <alignment horizontal="center" vertical="center"/>
    </xf>
    <xf numFmtId="0" fontId="36" fillId="0" borderId="7" xfId="0" applyFont="1" applyBorder="1" applyAlignment="1">
      <alignment horizontal="center" vertical="center" wrapText="1"/>
    </xf>
    <xf numFmtId="0" fontId="78" fillId="0" borderId="7" xfId="0" applyFont="1" applyBorder="1" applyAlignment="1">
      <alignment horizontal="center" vertical="center" wrapText="1"/>
    </xf>
    <xf numFmtId="4" fontId="31" fillId="0" borderId="0" xfId="0" applyNumberFormat="1" applyFont="1" applyFill="1"/>
    <xf numFmtId="4" fontId="26" fillId="0" borderId="0" xfId="0" applyNumberFormat="1" applyFont="1" applyFill="1"/>
    <xf numFmtId="0" fontId="16" fillId="0" borderId="14" xfId="0" applyFont="1" applyFill="1" applyBorder="1" applyAlignment="1">
      <alignment vertical="center"/>
    </xf>
    <xf numFmtId="4" fontId="16" fillId="0" borderId="0" xfId="0" applyNumberFormat="1" applyFont="1" applyFill="1" applyAlignment="1">
      <alignment horizontal="center" vertical="center"/>
    </xf>
    <xf numFmtId="4" fontId="22" fillId="0" borderId="0" xfId="0" applyNumberFormat="1" applyFont="1" applyFill="1" applyAlignment="1">
      <alignment vertical="center"/>
    </xf>
    <xf numFmtId="175" fontId="30" fillId="0" borderId="7" xfId="0" applyNumberFormat="1" applyFont="1" applyFill="1" applyBorder="1" applyAlignment="1">
      <alignment horizontal="center" vertical="center" wrapText="1"/>
    </xf>
    <xf numFmtId="0" fontId="26" fillId="0" borderId="7" xfId="0" applyFont="1" applyFill="1" applyBorder="1" applyAlignment="1">
      <alignment horizontal="center" vertical="top" wrapText="1"/>
    </xf>
    <xf numFmtId="0" fontId="31" fillId="0" borderId="7" xfId="0" applyFont="1" applyFill="1" applyBorder="1" applyAlignment="1">
      <alignment horizontal="center" vertical="top" wrapText="1"/>
    </xf>
    <xf numFmtId="0" fontId="26" fillId="0" borderId="23" xfId="0" applyFont="1" applyFill="1" applyBorder="1" applyAlignment="1">
      <alignment horizontal="center" vertical="center" wrapText="1"/>
    </xf>
    <xf numFmtId="4" fontId="0" fillId="0" borderId="0" xfId="0" applyNumberFormat="1" applyFill="1" applyAlignment="1">
      <alignment horizontal="center" vertical="center"/>
    </xf>
    <xf numFmtId="4" fontId="26" fillId="7" borderId="55" xfId="0" applyNumberFormat="1" applyFont="1" applyFill="1" applyBorder="1" applyAlignment="1">
      <alignment horizontal="center" vertical="top" wrapText="1"/>
    </xf>
    <xf numFmtId="4" fontId="0" fillId="0" borderId="7" xfId="0" applyNumberFormat="1" applyBorder="1" applyAlignment="1">
      <alignment horizontal="center" vertical="center"/>
    </xf>
    <xf numFmtId="4" fontId="0" fillId="0" borderId="7" xfId="0" applyNumberFormat="1" applyFill="1" applyBorder="1" applyAlignment="1">
      <alignment horizontal="center" vertical="center"/>
    </xf>
    <xf numFmtId="0" fontId="74" fillId="0" borderId="7" xfId="0" applyFont="1" applyFill="1" applyBorder="1" applyAlignment="1">
      <alignment horizontal="center" vertical="center" wrapText="1"/>
    </xf>
    <xf numFmtId="0" fontId="74" fillId="0" borderId="7" xfId="0" applyFont="1" applyBorder="1" applyAlignment="1">
      <alignment horizontal="center" vertical="center" wrapText="1"/>
    </xf>
    <xf numFmtId="49" fontId="0" fillId="0" borderId="0" xfId="0" applyNumberFormat="1" applyAlignment="1">
      <alignment vertical="center"/>
    </xf>
    <xf numFmtId="0" fontId="0" fillId="0" borderId="0" xfId="0" applyAlignment="1">
      <alignment vertical="center"/>
    </xf>
    <xf numFmtId="176" fontId="0" fillId="0" borderId="0" xfId="0" applyNumberFormat="1" applyAlignment="1">
      <alignment vertical="center"/>
    </xf>
    <xf numFmtId="176" fontId="0" fillId="0" borderId="0" xfId="0" applyNumberFormat="1" applyFill="1" applyAlignment="1">
      <alignment vertical="center"/>
    </xf>
    <xf numFmtId="4" fontId="0" fillId="0" borderId="0" xfId="0" applyNumberFormat="1" applyFill="1" applyBorder="1"/>
    <xf numFmtId="0" fontId="0" fillId="0" borderId="7" xfId="0" applyFill="1" applyBorder="1" applyAlignment="1">
      <alignment horizontal="center" vertical="center"/>
    </xf>
    <xf numFmtId="0" fontId="30" fillId="0" borderId="7" xfId="0" applyFont="1" applyBorder="1" applyAlignment="1">
      <alignment horizontal="center" vertical="center" wrapText="1"/>
    </xf>
    <xf numFmtId="0" fontId="0" fillId="0" borderId="58" xfId="0" applyFill="1" applyBorder="1"/>
    <xf numFmtId="0" fontId="0" fillId="0" borderId="59" xfId="0" applyFill="1" applyBorder="1"/>
    <xf numFmtId="4" fontId="0" fillId="34" borderId="59" xfId="0" applyNumberFormat="1" applyFill="1" applyBorder="1"/>
    <xf numFmtId="4" fontId="0" fillId="34" borderId="60" xfId="0" applyNumberFormat="1" applyFill="1" applyBorder="1"/>
    <xf numFmtId="0" fontId="7" fillId="0" borderId="7" xfId="0" applyFont="1" applyFill="1" applyBorder="1" applyAlignment="1">
      <alignment horizontal="center" vertical="center" wrapText="1"/>
    </xf>
    <xf numFmtId="0" fontId="7" fillId="0" borderId="7" xfId="0" applyFont="1" applyFill="1" applyBorder="1" applyAlignment="1">
      <alignment horizontal="center" vertical="center"/>
    </xf>
    <xf numFmtId="0" fontId="77" fillId="0" borderId="7" xfId="0" applyFont="1" applyBorder="1" applyAlignment="1">
      <alignment wrapText="1"/>
    </xf>
    <xf numFmtId="0" fontId="0" fillId="0" borderId="66" xfId="0" applyFill="1" applyBorder="1"/>
    <xf numFmtId="177" fontId="16" fillId="0" borderId="0" xfId="18" applyNumberFormat="1" applyFont="1" applyBorder="1" applyAlignment="1">
      <alignment vertical="top" wrapText="1"/>
    </xf>
    <xf numFmtId="4" fontId="79" fillId="0" borderId="7" xfId="18" applyNumberFormat="1" applyFont="1" applyBorder="1" applyAlignment="1">
      <alignment vertical="top" wrapText="1"/>
    </xf>
    <xf numFmtId="4" fontId="79" fillId="0" borderId="7" xfId="18" applyNumberFormat="1" applyFont="1" applyBorder="1" applyAlignment="1">
      <alignment vertical="center" wrapText="1"/>
    </xf>
    <xf numFmtId="0" fontId="26" fillId="0" borderId="7" xfId="0" applyFont="1" applyFill="1" applyBorder="1" applyAlignment="1">
      <alignment horizontal="center" vertical="center" wrapText="1"/>
    </xf>
    <xf numFmtId="0" fontId="26" fillId="0" borderId="7" xfId="0" applyFont="1" applyFill="1" applyBorder="1" applyAlignment="1">
      <alignment horizontal="center" vertical="top" wrapText="1"/>
    </xf>
    <xf numFmtId="0" fontId="31" fillId="0" borderId="7" xfId="0" applyFont="1" applyFill="1" applyBorder="1" applyAlignment="1">
      <alignment horizontal="center" vertical="top" wrapText="1"/>
    </xf>
    <xf numFmtId="4" fontId="16" fillId="0" borderId="0" xfId="18" applyNumberFormat="1" applyFont="1" applyBorder="1" applyAlignment="1">
      <alignment horizontal="center" vertical="top" wrapText="1"/>
    </xf>
    <xf numFmtId="4" fontId="16" fillId="0" borderId="0" xfId="18" applyNumberFormat="1" applyFont="1" applyBorder="1" applyAlignment="1">
      <alignment horizontal="center" vertical="center" wrapText="1"/>
    </xf>
    <xf numFmtId="4" fontId="3" fillId="0" borderId="0" xfId="1" applyNumberFormat="1" applyAlignment="1">
      <alignment horizontal="center" wrapText="1"/>
    </xf>
    <xf numFmtId="4" fontId="16" fillId="0" borderId="0" xfId="18" applyNumberFormat="1" applyFont="1" applyAlignment="1">
      <alignment horizontal="center" vertical="top" wrapText="1"/>
    </xf>
    <xf numFmtId="178" fontId="30" fillId="0" borderId="7" xfId="0" applyNumberFormat="1" applyFont="1" applyFill="1" applyBorder="1" applyAlignment="1">
      <alignment horizontal="center" vertical="center" wrapText="1"/>
    </xf>
    <xf numFmtId="4" fontId="31" fillId="2" borderId="7" xfId="0" applyNumberFormat="1" applyFont="1" applyFill="1" applyBorder="1" applyAlignment="1">
      <alignment horizontal="center" vertical="center" wrapText="1"/>
    </xf>
    <xf numFmtId="0" fontId="26" fillId="8" borderId="72" xfId="0" applyFont="1" applyFill="1" applyBorder="1" applyAlignment="1">
      <alignment horizontal="center" vertical="center" wrapText="1"/>
    </xf>
    <xf numFmtId="0" fontId="26" fillId="8" borderId="8" xfId="0" applyFont="1" applyFill="1" applyBorder="1" applyAlignment="1">
      <alignment horizontal="center" vertical="top" wrapText="1"/>
    </xf>
    <xf numFmtId="4" fontId="31" fillId="8" borderId="8" xfId="0" applyNumberFormat="1" applyFont="1" applyFill="1" applyBorder="1" applyAlignment="1">
      <alignment horizontal="center" vertical="center" wrapText="1"/>
    </xf>
    <xf numFmtId="4" fontId="31" fillId="8" borderId="46" xfId="0" applyNumberFormat="1" applyFont="1" applyFill="1" applyBorder="1" applyAlignment="1">
      <alignment horizontal="center" vertical="center" wrapText="1"/>
    </xf>
    <xf numFmtId="0" fontId="26" fillId="8" borderId="73" xfId="0" applyFont="1" applyFill="1" applyBorder="1" applyAlignment="1">
      <alignment horizontal="center" vertical="center" wrapText="1"/>
    </xf>
    <xf numFmtId="0" fontId="16" fillId="8" borderId="22" xfId="0" applyFont="1" applyFill="1" applyBorder="1"/>
    <xf numFmtId="0" fontId="16" fillId="8" borderId="40" xfId="0" applyFont="1" applyFill="1" applyBorder="1"/>
    <xf numFmtId="4" fontId="26" fillId="8" borderId="34" xfId="0" applyNumberFormat="1" applyFont="1" applyFill="1" applyBorder="1" applyAlignment="1">
      <alignment horizontal="justify" vertical="center" wrapText="1"/>
    </xf>
    <xf numFmtId="4" fontId="26" fillId="8" borderId="34" xfId="0" applyNumberFormat="1" applyFont="1" applyFill="1" applyBorder="1" applyAlignment="1">
      <alignment horizontal="center" vertical="center" wrapText="1"/>
    </xf>
    <xf numFmtId="0" fontId="26" fillId="0" borderId="7" xfId="0" applyFont="1" applyFill="1" applyBorder="1" applyAlignment="1">
      <alignment horizontal="center" vertical="top" wrapText="1"/>
    </xf>
    <xf numFmtId="0" fontId="26" fillId="0" borderId="7" xfId="0" applyFont="1" applyFill="1" applyBorder="1" applyAlignment="1">
      <alignment horizontal="center" vertical="center" wrapText="1"/>
    </xf>
    <xf numFmtId="0" fontId="26" fillId="0" borderId="7" xfId="0" applyFont="1" applyFill="1" applyBorder="1" applyAlignment="1">
      <alignment vertical="center" wrapText="1"/>
    </xf>
    <xf numFmtId="0" fontId="31" fillId="0" borderId="7" xfId="0" applyFont="1" applyFill="1" applyBorder="1" applyAlignment="1">
      <alignment horizontal="center" vertical="top" wrapText="1"/>
    </xf>
    <xf numFmtId="0" fontId="20" fillId="0" borderId="0" xfId="1" applyFont="1" applyAlignment="1">
      <alignment horizontal="center"/>
    </xf>
    <xf numFmtId="4" fontId="48" fillId="3" borderId="22" xfId="0" applyNumberFormat="1" applyFont="1" applyFill="1" applyBorder="1" applyAlignment="1">
      <alignment horizontal="center" vertical="center" wrapText="1"/>
    </xf>
    <xf numFmtId="4" fontId="80" fillId="3" borderId="10" xfId="0" applyNumberFormat="1" applyFont="1" applyFill="1" applyBorder="1" applyAlignment="1">
      <alignment horizontal="center" vertical="center" wrapText="1"/>
    </xf>
    <xf numFmtId="4" fontId="80" fillId="3" borderId="26" xfId="0" applyNumberFormat="1" applyFont="1" applyFill="1" applyBorder="1" applyAlignment="1">
      <alignment horizontal="center" vertical="center" wrapText="1"/>
    </xf>
    <xf numFmtId="4" fontId="81" fillId="3" borderId="7" xfId="0" applyNumberFormat="1" applyFont="1" applyFill="1" applyBorder="1" applyAlignment="1">
      <alignment horizontal="center" vertical="center" wrapText="1"/>
    </xf>
    <xf numFmtId="4" fontId="22" fillId="0" borderId="0" xfId="18" applyNumberFormat="1" applyFont="1" applyAlignment="1">
      <alignment horizontal="center" vertical="top" wrapText="1"/>
    </xf>
    <xf numFmtId="0" fontId="26" fillId="0" borderId="0" xfId="0" applyFont="1" applyFill="1"/>
    <xf numFmtId="4" fontId="31" fillId="7" borderId="57" xfId="0" applyNumberFormat="1" applyFont="1" applyFill="1" applyBorder="1" applyAlignment="1">
      <alignment horizontal="center" vertical="center" wrapText="1"/>
    </xf>
    <xf numFmtId="4" fontId="16" fillId="0" borderId="0" xfId="0" applyNumberFormat="1" applyFont="1" applyFill="1" applyAlignment="1"/>
    <xf numFmtId="0" fontId="2" fillId="0" borderId="0" xfId="0" applyFont="1" applyAlignment="1">
      <alignment vertical="center" wrapText="1"/>
    </xf>
    <xf numFmtId="0" fontId="26" fillId="0" borderId="10" xfId="0" applyFont="1" applyFill="1" applyBorder="1" applyAlignment="1">
      <alignment vertical="top" wrapText="1"/>
    </xf>
    <xf numFmtId="0" fontId="80" fillId="0" borderId="22" xfId="0" applyFont="1" applyFill="1" applyBorder="1" applyAlignment="1">
      <alignment vertical="center" wrapText="1"/>
    </xf>
    <xf numFmtId="0" fontId="80" fillId="0" borderId="11" xfId="0" applyFont="1" applyFill="1" applyBorder="1" applyAlignment="1">
      <alignment horizontal="center" vertical="top" wrapText="1"/>
    </xf>
    <xf numFmtId="0" fontId="80" fillId="0" borderId="23" xfId="0" applyFont="1" applyFill="1" applyBorder="1" applyAlignment="1">
      <alignment horizontal="center" vertical="center" wrapText="1"/>
    </xf>
    <xf numFmtId="0" fontId="48" fillId="0" borderId="22" xfId="0" applyFont="1" applyFill="1" applyBorder="1" applyAlignment="1">
      <alignment vertical="center" wrapText="1"/>
    </xf>
    <xf numFmtId="0" fontId="48" fillId="0" borderId="11" xfId="0" applyFont="1" applyFill="1" applyBorder="1" applyAlignment="1">
      <alignment horizontal="center" vertical="top" wrapText="1"/>
    </xf>
    <xf numFmtId="0" fontId="48" fillId="0" borderId="23" xfId="0" applyFont="1" applyFill="1" applyBorder="1" applyAlignment="1">
      <alignment horizontal="center" vertical="center" wrapText="1"/>
    </xf>
    <xf numFmtId="0" fontId="16" fillId="0" borderId="0" xfId="18" applyNumberFormat="1" applyFont="1" applyBorder="1" applyAlignment="1">
      <alignment horizontal="left"/>
    </xf>
    <xf numFmtId="0" fontId="22" fillId="0" borderId="0" xfId="18" applyNumberFormat="1" applyFont="1" applyBorder="1" applyAlignment="1">
      <alignment horizontal="left"/>
    </xf>
    <xf numFmtId="0" fontId="16" fillId="0" borderId="0" xfId="18" applyNumberFormat="1" applyFont="1" applyBorder="1" applyAlignment="1">
      <alignment horizontal="center"/>
    </xf>
    <xf numFmtId="0" fontId="17" fillId="0" borderId="0" xfId="18" applyNumberFormat="1" applyFont="1" applyBorder="1" applyAlignment="1">
      <alignment horizontal="center" vertical="center" wrapText="1"/>
    </xf>
    <xf numFmtId="0" fontId="17" fillId="0" borderId="0" xfId="18" applyNumberFormat="1" applyFont="1" applyBorder="1" applyAlignment="1">
      <alignment horizontal="center" vertical="top"/>
    </xf>
    <xf numFmtId="0" fontId="17" fillId="0" borderId="0" xfId="18" applyNumberFormat="1" applyFont="1" applyBorder="1" applyAlignment="1">
      <alignment horizontal="left" vertical="center"/>
    </xf>
    <xf numFmtId="0" fontId="17" fillId="0" borderId="0" xfId="18" applyNumberFormat="1" applyFont="1" applyBorder="1" applyAlignment="1">
      <alignment horizontal="left"/>
    </xf>
    <xf numFmtId="0" fontId="82" fillId="0" borderId="0" xfId="18" applyNumberFormat="1" applyFont="1" applyBorder="1" applyAlignment="1">
      <alignment horizontal="center"/>
    </xf>
    <xf numFmtId="0" fontId="82" fillId="0" borderId="0" xfId="18" applyNumberFormat="1" applyFont="1" applyBorder="1" applyAlignment="1">
      <alignment horizontal="center" vertical="center"/>
    </xf>
    <xf numFmtId="179" fontId="30" fillId="0" borderId="7" xfId="0" applyNumberFormat="1" applyFont="1" applyFill="1" applyBorder="1" applyAlignment="1">
      <alignment horizontal="center" vertical="center" wrapText="1"/>
    </xf>
    <xf numFmtId="180" fontId="30" fillId="0" borderId="7" xfId="0" applyNumberFormat="1" applyFont="1" applyFill="1" applyBorder="1" applyAlignment="1">
      <alignment horizontal="center" vertical="center" wrapText="1"/>
    </xf>
    <xf numFmtId="0" fontId="26" fillId="0" borderId="7" xfId="0" applyFont="1" applyFill="1" applyBorder="1" applyAlignment="1">
      <alignment horizontal="center" vertical="top" wrapText="1"/>
    </xf>
    <xf numFmtId="0" fontId="31" fillId="0" borderId="7" xfId="0" applyFont="1" applyFill="1" applyBorder="1" applyAlignment="1">
      <alignment horizontal="center" vertical="top" wrapText="1"/>
    </xf>
    <xf numFmtId="0" fontId="26" fillId="0" borderId="23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horizontal="center"/>
    </xf>
    <xf numFmtId="4" fontId="80" fillId="0" borderId="26" xfId="0" applyNumberFormat="1" applyFont="1" applyFill="1" applyBorder="1" applyAlignment="1">
      <alignment horizontal="center" vertical="center" wrapText="1"/>
    </xf>
    <xf numFmtId="4" fontId="80" fillId="0" borderId="7" xfId="0" applyNumberFormat="1" applyFont="1" applyFill="1" applyBorder="1" applyAlignment="1">
      <alignment horizontal="center" vertical="center" wrapText="1"/>
    </xf>
    <xf numFmtId="0" fontId="26" fillId="8" borderId="7" xfId="0" applyFont="1" applyFill="1" applyBorder="1" applyAlignment="1">
      <alignment horizontal="center" vertical="top" wrapText="1"/>
    </xf>
    <xf numFmtId="0" fontId="16" fillId="0" borderId="1" xfId="0" applyFont="1" applyFill="1" applyBorder="1" applyAlignment="1">
      <alignment vertical="center"/>
    </xf>
    <xf numFmtId="0" fontId="16" fillId="0" borderId="1" xfId="0" applyFont="1" applyFill="1" applyBorder="1"/>
    <xf numFmtId="4" fontId="16" fillId="0" borderId="1" xfId="0" applyNumberFormat="1" applyFont="1" applyFill="1" applyBorder="1"/>
    <xf numFmtId="0" fontId="26" fillId="0" borderId="7" xfId="0" applyFont="1" applyFill="1" applyBorder="1" applyAlignment="1">
      <alignment horizontal="center" vertical="top" wrapText="1"/>
    </xf>
    <xf numFmtId="0" fontId="31" fillId="0" borderId="7" xfId="0" applyFont="1" applyFill="1" applyBorder="1" applyAlignment="1">
      <alignment horizontal="center" vertical="top" wrapText="1"/>
    </xf>
    <xf numFmtId="0" fontId="26" fillId="0" borderId="23" xfId="0" applyFont="1" applyFill="1" applyBorder="1" applyAlignment="1">
      <alignment horizontal="center" vertical="center" wrapText="1"/>
    </xf>
    <xf numFmtId="0" fontId="16" fillId="0" borderId="0" xfId="0" applyFont="1" applyFill="1" applyAlignment="1">
      <alignment horizontal="center"/>
    </xf>
    <xf numFmtId="4" fontId="31" fillId="3" borderId="35" xfId="0" applyNumberFormat="1" applyFont="1" applyFill="1" applyBorder="1" applyAlignment="1">
      <alignment horizontal="center" vertical="center" wrapText="1"/>
    </xf>
    <xf numFmtId="177" fontId="80" fillId="3" borderId="26" xfId="0" applyNumberFormat="1" applyFont="1" applyFill="1" applyBorder="1" applyAlignment="1">
      <alignment horizontal="center" vertical="center" wrapText="1"/>
    </xf>
    <xf numFmtId="4" fontId="48" fillId="3" borderId="7" xfId="0" applyNumberFormat="1" applyFont="1" applyFill="1" applyBorder="1" applyAlignment="1">
      <alignment horizontal="center" vertical="center" wrapText="1"/>
    </xf>
    <xf numFmtId="177" fontId="80" fillId="0" borderId="26" xfId="0" applyNumberFormat="1" applyFont="1" applyFill="1" applyBorder="1" applyAlignment="1">
      <alignment horizontal="center" vertical="center" wrapText="1"/>
    </xf>
    <xf numFmtId="181" fontId="80" fillId="3" borderId="26" xfId="0" applyNumberFormat="1" applyFont="1" applyFill="1" applyBorder="1" applyAlignment="1">
      <alignment horizontal="center" vertical="center" wrapText="1"/>
    </xf>
    <xf numFmtId="177" fontId="31" fillId="7" borderId="8" xfId="0" applyNumberFormat="1" applyFont="1" applyFill="1" applyBorder="1" applyAlignment="1">
      <alignment horizontal="center" vertical="center" wrapText="1"/>
    </xf>
    <xf numFmtId="179" fontId="26" fillId="0" borderId="34" xfId="0" applyNumberFormat="1" applyFont="1" applyFill="1" applyBorder="1" applyAlignment="1">
      <alignment horizontal="center" vertical="center" wrapText="1"/>
    </xf>
    <xf numFmtId="177" fontId="26" fillId="0" borderId="34" xfId="0" applyNumberFormat="1" applyFont="1" applyFill="1" applyBorder="1" applyAlignment="1">
      <alignment horizontal="center" vertical="center" wrapText="1"/>
    </xf>
    <xf numFmtId="177" fontId="26" fillId="3" borderId="34" xfId="0" applyNumberFormat="1" applyFont="1" applyFill="1" applyBorder="1" applyAlignment="1">
      <alignment horizontal="center" vertical="center" wrapText="1"/>
    </xf>
    <xf numFmtId="180" fontId="26" fillId="3" borderId="34" xfId="0" applyNumberFormat="1" applyFont="1" applyFill="1" applyBorder="1" applyAlignment="1">
      <alignment horizontal="center" vertical="center" wrapText="1"/>
    </xf>
    <xf numFmtId="0" fontId="28" fillId="0" borderId="0" xfId="36" applyFont="1"/>
    <xf numFmtId="0" fontId="28" fillId="0" borderId="0" xfId="36" applyFont="1" applyAlignment="1">
      <alignment horizontal="center" vertical="center"/>
    </xf>
    <xf numFmtId="0" fontId="7" fillId="0" borderId="0" xfId="36" applyNumberFormat="1" applyFont="1" applyBorder="1" applyAlignment="1">
      <alignment vertical="top" wrapText="1"/>
    </xf>
    <xf numFmtId="0" fontId="28" fillId="0" borderId="0" xfId="36" applyFont="1" applyFill="1"/>
    <xf numFmtId="169" fontId="30" fillId="0" borderId="7" xfId="36" applyNumberFormat="1" applyFont="1" applyFill="1" applyBorder="1" applyAlignment="1">
      <alignment horizontal="center" vertical="top" wrapText="1"/>
    </xf>
    <xf numFmtId="0" fontId="28" fillId="0" borderId="0" xfId="36" applyFont="1" applyAlignment="1">
      <alignment horizontal="center"/>
    </xf>
    <xf numFmtId="0" fontId="32" fillId="0" borderId="11" xfId="36" applyFont="1" applyBorder="1" applyAlignment="1">
      <alignment horizontal="center" vertical="center"/>
    </xf>
    <xf numFmtId="49" fontId="32" fillId="0" borderId="7" xfId="36" applyNumberFormat="1" applyFont="1" applyBorder="1" applyAlignment="1">
      <alignment horizontal="center" vertical="center"/>
    </xf>
    <xf numFmtId="49" fontId="28" fillId="0" borderId="8" xfId="36" applyNumberFormat="1" applyFont="1" applyBorder="1" applyAlignment="1">
      <alignment horizontal="center" vertical="center"/>
    </xf>
    <xf numFmtId="4" fontId="28" fillId="0" borderId="7" xfId="36" applyNumberFormat="1" applyFont="1" applyBorder="1" applyAlignment="1">
      <alignment vertical="center" wrapText="1"/>
    </xf>
    <xf numFmtId="169" fontId="29" fillId="0" borderId="7" xfId="36" applyNumberFormat="1" applyFont="1" applyFill="1" applyBorder="1" applyAlignment="1">
      <alignment vertical="center" wrapText="1"/>
    </xf>
    <xf numFmtId="4" fontId="16" fillId="0" borderId="7" xfId="36" applyNumberFormat="1" applyFont="1" applyFill="1" applyBorder="1" applyAlignment="1">
      <alignment vertical="center" wrapText="1"/>
    </xf>
    <xf numFmtId="49" fontId="32" fillId="5" borderId="8" xfId="36" applyNumberFormat="1" applyFont="1" applyFill="1" applyBorder="1" applyAlignment="1">
      <alignment horizontal="center" vertical="center"/>
    </xf>
    <xf numFmtId="4" fontId="32" fillId="5" borderId="7" xfId="36" applyNumberFormat="1" applyFont="1" applyFill="1" applyBorder="1" applyAlignment="1">
      <alignment vertical="center" wrapText="1"/>
    </xf>
    <xf numFmtId="169" fontId="38" fillId="5" borderId="7" xfId="36" applyNumberFormat="1" applyFont="1" applyFill="1" applyBorder="1" applyAlignment="1">
      <alignment vertical="center" wrapText="1"/>
    </xf>
    <xf numFmtId="0" fontId="32" fillId="0" borderId="0" xfId="36" applyFont="1"/>
    <xf numFmtId="4" fontId="28" fillId="0" borderId="7" xfId="36" applyNumberFormat="1" applyFont="1" applyBorder="1" applyAlignment="1">
      <alignment horizontal="left" vertical="center" wrapText="1"/>
    </xf>
    <xf numFmtId="0" fontId="28" fillId="0" borderId="8" xfId="36" applyFont="1" applyBorder="1" applyAlignment="1">
      <alignment horizontal="center" vertical="center"/>
    </xf>
    <xf numFmtId="4" fontId="32" fillId="0" borderId="7" xfId="36" applyNumberFormat="1" applyFont="1" applyBorder="1" applyAlignment="1">
      <alignment vertical="center" wrapText="1"/>
    </xf>
    <xf numFmtId="169" fontId="42" fillId="4" borderId="7" xfId="36" applyNumberFormat="1" applyFont="1" applyFill="1" applyBorder="1" applyAlignment="1">
      <alignment vertical="center" wrapText="1"/>
    </xf>
    <xf numFmtId="4" fontId="32" fillId="0" borderId="7" xfId="36" applyNumberFormat="1" applyFont="1" applyFill="1" applyBorder="1" applyAlignment="1">
      <alignment vertical="center" wrapText="1"/>
    </xf>
    <xf numFmtId="169" fontId="32" fillId="0" borderId="7" xfId="36" applyNumberFormat="1" applyFont="1" applyFill="1" applyBorder="1" applyAlignment="1">
      <alignment vertical="center" wrapText="1"/>
    </xf>
    <xf numFmtId="0" fontId="28" fillId="28" borderId="7" xfId="36" applyFont="1" applyFill="1" applyBorder="1" applyAlignment="1">
      <alignment horizontal="center" vertical="center"/>
    </xf>
    <xf numFmtId="4" fontId="32" fillId="28" borderId="7" xfId="36" applyNumberFormat="1" applyFont="1" applyFill="1" applyBorder="1" applyAlignment="1">
      <alignment vertical="center" wrapText="1"/>
    </xf>
    <xf numFmtId="4" fontId="32" fillId="28" borderId="8" xfId="36" applyNumberFormat="1" applyFont="1" applyFill="1" applyBorder="1" applyAlignment="1">
      <alignment vertical="center" wrapText="1"/>
    </xf>
    <xf numFmtId="4" fontId="32" fillId="28" borderId="9" xfId="36" applyNumberFormat="1" applyFont="1" applyFill="1" applyBorder="1" applyAlignment="1">
      <alignment vertical="center" wrapText="1"/>
    </xf>
    <xf numFmtId="4" fontId="28" fillId="0" borderId="7" xfId="36" applyNumberFormat="1" applyFont="1" applyBorder="1" applyAlignment="1">
      <alignment vertical="top" wrapText="1"/>
    </xf>
    <xf numFmtId="4" fontId="16" fillId="0" borderId="7" xfId="36" applyNumberFormat="1" applyFont="1" applyFill="1" applyBorder="1" applyAlignment="1">
      <alignment vertical="top" wrapText="1"/>
    </xf>
    <xf numFmtId="0" fontId="28" fillId="0" borderId="7" xfId="36" applyFont="1" applyFill="1" applyBorder="1"/>
    <xf numFmtId="169" fontId="28" fillId="0" borderId="7" xfId="36" applyNumberFormat="1" applyFont="1" applyFill="1" applyBorder="1"/>
    <xf numFmtId="169" fontId="29" fillId="0" borderId="7" xfId="36" applyNumberFormat="1" applyFont="1" applyFill="1" applyBorder="1" applyAlignment="1">
      <alignment vertical="top" wrapText="1"/>
    </xf>
    <xf numFmtId="0" fontId="28" fillId="0" borderId="0" xfId="36" applyFont="1" applyAlignment="1">
      <alignment vertical="center"/>
    </xf>
    <xf numFmtId="4" fontId="32" fillId="0" borderId="7" xfId="36" applyNumberFormat="1" applyFont="1" applyBorder="1" applyAlignment="1">
      <alignment vertical="top" wrapText="1"/>
    </xf>
    <xf numFmtId="169" fontId="38" fillId="0" borderId="7" xfId="36" applyNumberFormat="1" applyFont="1" applyFill="1" applyBorder="1" applyAlignment="1">
      <alignment vertical="top" wrapText="1"/>
    </xf>
    <xf numFmtId="4" fontId="22" fillId="0" borderId="7" xfId="36" applyNumberFormat="1" applyFont="1" applyFill="1" applyBorder="1" applyAlignment="1">
      <alignment vertical="top" wrapText="1"/>
    </xf>
    <xf numFmtId="4" fontId="28" fillId="0" borderId="7" xfId="36" applyNumberFormat="1" applyFont="1" applyFill="1" applyBorder="1" applyAlignment="1">
      <alignment vertical="top" wrapText="1"/>
    </xf>
    <xf numFmtId="49" fontId="28" fillId="0" borderId="0" xfId="36" applyNumberFormat="1" applyFont="1" applyBorder="1" applyAlignment="1">
      <alignment horizontal="center" vertical="center"/>
    </xf>
    <xf numFmtId="4" fontId="32" fillId="0" borderId="0" xfId="36" applyNumberFormat="1" applyFont="1" applyBorder="1" applyAlignment="1">
      <alignment vertical="top" wrapText="1"/>
    </xf>
    <xf numFmtId="169" fontId="29" fillId="0" borderId="0" xfId="36" applyNumberFormat="1" applyFont="1" applyFill="1" applyBorder="1" applyAlignment="1">
      <alignment vertical="center" wrapText="1"/>
    </xf>
    <xf numFmtId="169" fontId="16" fillId="0" borderId="0" xfId="36" applyNumberFormat="1" applyFont="1" applyFill="1" applyBorder="1" applyAlignment="1">
      <alignment vertical="center" wrapText="1"/>
    </xf>
    <xf numFmtId="4" fontId="44" fillId="2" borderId="7" xfId="36" applyNumberFormat="1" applyFont="1" applyFill="1" applyBorder="1" applyAlignment="1">
      <alignment vertical="top" wrapText="1"/>
    </xf>
    <xf numFmtId="169" fontId="38" fillId="4" borderId="7" xfId="36" applyNumberFormat="1" applyFont="1" applyFill="1" applyBorder="1" applyAlignment="1">
      <alignment vertical="top" wrapText="1"/>
    </xf>
    <xf numFmtId="4" fontId="44" fillId="0" borderId="7" xfId="36" applyNumberFormat="1" applyFont="1" applyFill="1" applyBorder="1" applyAlignment="1">
      <alignment vertical="top" wrapText="1"/>
    </xf>
    <xf numFmtId="169" fontId="42" fillId="4" borderId="7" xfId="36" applyNumberFormat="1" applyFont="1" applyFill="1" applyBorder="1" applyAlignment="1">
      <alignment vertical="top" wrapText="1"/>
    </xf>
    <xf numFmtId="0" fontId="45" fillId="0" borderId="0" xfId="36" applyFont="1"/>
    <xf numFmtId="49" fontId="28" fillId="6" borderId="8" xfId="36" applyNumberFormat="1" applyFont="1" applyFill="1" applyBorder="1" applyAlignment="1">
      <alignment horizontal="center" vertical="center"/>
    </xf>
    <xf numFmtId="4" fontId="32" fillId="6" borderId="7" xfId="36" applyNumberFormat="1" applyFont="1" applyFill="1" applyBorder="1" applyAlignment="1">
      <alignment vertical="top" wrapText="1"/>
    </xf>
    <xf numFmtId="169" fontId="38" fillId="6" borderId="7" xfId="36" applyNumberFormat="1" applyFont="1" applyFill="1" applyBorder="1" applyAlignment="1">
      <alignment vertical="top" wrapText="1"/>
    </xf>
    <xf numFmtId="49" fontId="32" fillId="0" borderId="8" xfId="36" applyNumberFormat="1" applyFont="1" applyBorder="1" applyAlignment="1">
      <alignment horizontal="center" vertical="center"/>
    </xf>
    <xf numFmtId="0" fontId="28" fillId="2" borderId="0" xfId="36" applyFont="1" applyFill="1"/>
    <xf numFmtId="170" fontId="29" fillId="0" borderId="7" xfId="36" applyNumberFormat="1" applyFont="1" applyFill="1" applyBorder="1"/>
    <xf numFmtId="170" fontId="29" fillId="0" borderId="7" xfId="36" applyNumberFormat="1" applyFont="1" applyFill="1" applyBorder="1" applyAlignment="1">
      <alignment vertical="top"/>
    </xf>
    <xf numFmtId="4" fontId="32" fillId="0" borderId="7" xfId="36" applyNumberFormat="1" applyFont="1" applyFill="1" applyBorder="1" applyAlignment="1">
      <alignment vertical="top" wrapText="1"/>
    </xf>
    <xf numFmtId="0" fontId="28" fillId="0" borderId="7" xfId="36" applyFont="1" applyBorder="1"/>
    <xf numFmtId="49" fontId="28" fillId="0" borderId="7" xfId="36" applyNumberFormat="1" applyFont="1" applyBorder="1" applyAlignment="1">
      <alignment horizontal="center" vertical="center"/>
    </xf>
    <xf numFmtId="169" fontId="38" fillId="4" borderId="7" xfId="36" applyNumberFormat="1" applyFont="1" applyFill="1" applyBorder="1" applyAlignment="1">
      <alignment vertical="center" wrapText="1"/>
    </xf>
    <xf numFmtId="4" fontId="22" fillId="29" borderId="7" xfId="36" applyNumberFormat="1" applyFont="1" applyFill="1" applyBorder="1" applyAlignment="1">
      <alignment vertical="center" wrapText="1"/>
    </xf>
    <xf numFmtId="169" fontId="22" fillId="29" borderId="7" xfId="36" applyNumberFormat="1" applyFont="1" applyFill="1" applyBorder="1" applyAlignment="1">
      <alignment vertical="center" wrapText="1"/>
    </xf>
    <xf numFmtId="170" fontId="28" fillId="0" borderId="7" xfId="36" applyNumberFormat="1" applyFont="1" applyFill="1" applyBorder="1"/>
    <xf numFmtId="169" fontId="29" fillId="28" borderId="7" xfId="36" applyNumberFormat="1" applyFont="1" applyFill="1" applyBorder="1" applyAlignment="1">
      <alignment vertical="top" wrapText="1"/>
    </xf>
    <xf numFmtId="4" fontId="32" fillId="29" borderId="7" xfId="36" applyNumberFormat="1" applyFont="1" applyFill="1" applyBorder="1" applyAlignment="1">
      <alignment vertical="top" wrapText="1"/>
    </xf>
    <xf numFmtId="0" fontId="32" fillId="9" borderId="7" xfId="36" applyNumberFormat="1" applyFont="1" applyFill="1" applyBorder="1" applyAlignment="1">
      <alignment vertical="top" wrapText="1"/>
    </xf>
    <xf numFmtId="169" fontId="32" fillId="9" borderId="7" xfId="36" applyNumberFormat="1" applyFont="1" applyFill="1" applyBorder="1" applyAlignment="1">
      <alignment vertical="top" wrapText="1"/>
    </xf>
    <xf numFmtId="170" fontId="28" fillId="0" borderId="0" xfId="36" applyNumberFormat="1" applyFont="1"/>
    <xf numFmtId="169" fontId="42" fillId="6" borderId="7" xfId="36" applyNumberFormat="1" applyFont="1" applyFill="1" applyBorder="1" applyAlignment="1">
      <alignment vertical="top" wrapText="1"/>
    </xf>
    <xf numFmtId="49" fontId="28" fillId="9" borderId="8" xfId="36" applyNumberFormat="1" applyFont="1" applyFill="1" applyBorder="1" applyAlignment="1">
      <alignment horizontal="center" vertical="center"/>
    </xf>
    <xf numFmtId="171" fontId="32" fillId="9" borderId="7" xfId="36" applyNumberFormat="1" applyFont="1" applyFill="1" applyBorder="1" applyAlignment="1">
      <alignment vertical="top" wrapText="1"/>
    </xf>
    <xf numFmtId="0" fontId="28" fillId="0" borderId="0" xfId="36" applyNumberFormat="1" applyFont="1" applyAlignment="1">
      <alignment vertical="top" wrapText="1"/>
    </xf>
    <xf numFmtId="171" fontId="32" fillId="28" borderId="7" xfId="36" applyNumberFormat="1" applyFont="1" applyFill="1" applyBorder="1"/>
    <xf numFmtId="169" fontId="28" fillId="0" borderId="0" xfId="36" applyNumberFormat="1" applyFont="1" applyFill="1"/>
    <xf numFmtId="0" fontId="28" fillId="0" borderId="0" xfId="36" applyNumberFormat="1" applyFont="1" applyAlignment="1">
      <alignment horizontal="right" vertical="top" wrapText="1"/>
    </xf>
    <xf numFmtId="4" fontId="28" fillId="0" borderId="0" xfId="36" applyNumberFormat="1" applyFont="1" applyFill="1"/>
    <xf numFmtId="0" fontId="28" fillId="30" borderId="0" xfId="36" applyFont="1" applyFill="1"/>
    <xf numFmtId="0" fontId="28" fillId="0" borderId="0" xfId="36" applyFont="1" applyAlignment="1">
      <alignment horizontal="right"/>
    </xf>
    <xf numFmtId="0" fontId="2" fillId="0" borderId="0" xfId="36" applyFont="1"/>
    <xf numFmtId="0" fontId="2" fillId="0" borderId="0" xfId="36" applyFont="1" applyAlignment="1">
      <alignment horizontal="center"/>
    </xf>
    <xf numFmtId="0" fontId="41" fillId="0" borderId="0" xfId="36" applyFont="1"/>
    <xf numFmtId="0" fontId="84" fillId="0" borderId="0" xfId="36" applyFont="1"/>
    <xf numFmtId="0" fontId="2" fillId="2" borderId="0" xfId="36" applyFont="1" applyFill="1"/>
    <xf numFmtId="170" fontId="2" fillId="0" borderId="0" xfId="36" applyNumberFormat="1" applyFont="1"/>
    <xf numFmtId="169" fontId="2" fillId="0" borderId="0" xfId="36" applyNumberFormat="1" applyFont="1"/>
    <xf numFmtId="0" fontId="2" fillId="0" borderId="0" xfId="36" applyFont="1" applyAlignment="1">
      <alignment horizontal="right"/>
    </xf>
    <xf numFmtId="169" fontId="2" fillId="0" borderId="0" xfId="36" applyNumberFormat="1" applyFont="1" applyAlignment="1">
      <alignment horizontal="center"/>
    </xf>
    <xf numFmtId="0" fontId="38" fillId="0" borderId="7" xfId="36" applyFont="1" applyFill="1" applyBorder="1" applyAlignment="1">
      <alignment horizontal="center" vertical="center"/>
    </xf>
    <xf numFmtId="0" fontId="59" fillId="0" borderId="0" xfId="36" applyFont="1" applyAlignment="1">
      <alignment horizontal="center"/>
    </xf>
    <xf numFmtId="0" fontId="38" fillId="0" borderId="0" xfId="36" applyFont="1" applyAlignment="1">
      <alignment horizontal="center"/>
    </xf>
    <xf numFmtId="0" fontId="38" fillId="0" borderId="8" xfId="36" applyFont="1" applyFill="1" applyBorder="1" applyAlignment="1">
      <alignment horizontal="center" vertical="center"/>
    </xf>
    <xf numFmtId="4" fontId="16" fillId="0" borderId="8" xfId="36" applyNumberFormat="1" applyFont="1" applyFill="1" applyBorder="1" applyAlignment="1">
      <alignment vertical="center" wrapText="1"/>
    </xf>
    <xf numFmtId="169" fontId="38" fillId="5" borderId="8" xfId="36" applyNumberFormat="1" applyFont="1" applyFill="1" applyBorder="1" applyAlignment="1">
      <alignment vertical="center" wrapText="1"/>
    </xf>
    <xf numFmtId="169" fontId="32" fillId="0" borderId="8" xfId="36" applyNumberFormat="1" applyFont="1" applyFill="1" applyBorder="1" applyAlignment="1">
      <alignment vertical="center" wrapText="1"/>
    </xf>
    <xf numFmtId="4" fontId="16" fillId="0" borderId="8" xfId="36" applyNumberFormat="1" applyFont="1" applyFill="1" applyBorder="1" applyAlignment="1">
      <alignment vertical="top" wrapText="1"/>
    </xf>
    <xf numFmtId="4" fontId="22" fillId="0" borderId="8" xfId="36" applyNumberFormat="1" applyFont="1" applyFill="1" applyBorder="1" applyAlignment="1">
      <alignment vertical="top" wrapText="1"/>
    </xf>
    <xf numFmtId="4" fontId="28" fillId="0" borderId="8" xfId="36" applyNumberFormat="1" applyFont="1" applyFill="1" applyBorder="1" applyAlignment="1">
      <alignment vertical="top" wrapText="1"/>
    </xf>
    <xf numFmtId="4" fontId="44" fillId="0" borderId="8" xfId="36" applyNumberFormat="1" applyFont="1" applyFill="1" applyBorder="1" applyAlignment="1">
      <alignment vertical="top" wrapText="1"/>
    </xf>
    <xf numFmtId="4" fontId="32" fillId="6" borderId="8" xfId="36" applyNumberFormat="1" applyFont="1" applyFill="1" applyBorder="1" applyAlignment="1">
      <alignment vertical="top" wrapText="1"/>
    </xf>
    <xf numFmtId="4" fontId="32" fillId="0" borderId="8" xfId="36" applyNumberFormat="1" applyFont="1" applyFill="1" applyBorder="1" applyAlignment="1">
      <alignment vertical="top" wrapText="1"/>
    </xf>
    <xf numFmtId="169" fontId="22" fillId="29" borderId="8" xfId="36" applyNumberFormat="1" applyFont="1" applyFill="1" applyBorder="1" applyAlignment="1">
      <alignment vertical="center" wrapText="1"/>
    </xf>
    <xf numFmtId="169" fontId="32" fillId="9" borderId="8" xfId="36" applyNumberFormat="1" applyFont="1" applyFill="1" applyBorder="1" applyAlignment="1">
      <alignment vertical="top" wrapText="1"/>
    </xf>
    <xf numFmtId="171" fontId="32" fillId="9" borderId="8" xfId="36" applyNumberFormat="1" applyFont="1" applyFill="1" applyBorder="1" applyAlignment="1">
      <alignment vertical="top" wrapText="1"/>
    </xf>
    <xf numFmtId="169" fontId="28" fillId="0" borderId="8" xfId="36" applyNumberFormat="1" applyFont="1" applyFill="1" applyBorder="1"/>
    <xf numFmtId="0" fontId="32" fillId="0" borderId="17" xfId="36" applyFont="1" applyBorder="1" applyAlignment="1">
      <alignment horizontal="center" vertical="center"/>
    </xf>
    <xf numFmtId="49" fontId="32" fillId="0" borderId="10" xfId="36" applyNumberFormat="1" applyFont="1" applyBorder="1" applyAlignment="1">
      <alignment horizontal="center" vertical="center"/>
    </xf>
    <xf numFmtId="49" fontId="28" fillId="0" borderId="9" xfId="36" applyNumberFormat="1" applyFont="1" applyBorder="1" applyAlignment="1">
      <alignment horizontal="center" vertical="center"/>
    </xf>
    <xf numFmtId="49" fontId="32" fillId="5" borderId="9" xfId="36" applyNumberFormat="1" applyFont="1" applyFill="1" applyBorder="1" applyAlignment="1">
      <alignment horizontal="center" vertical="center"/>
    </xf>
    <xf numFmtId="0" fontId="28" fillId="0" borderId="9" xfId="36" applyFont="1" applyBorder="1" applyAlignment="1">
      <alignment horizontal="center" vertical="center"/>
    </xf>
    <xf numFmtId="0" fontId="28" fillId="28" borderId="10" xfId="36" applyFont="1" applyFill="1" applyBorder="1" applyAlignment="1">
      <alignment horizontal="center" vertical="center"/>
    </xf>
    <xf numFmtId="49" fontId="28" fillId="6" borderId="9" xfId="36" applyNumberFormat="1" applyFont="1" applyFill="1" applyBorder="1" applyAlignment="1">
      <alignment horizontal="center" vertical="center"/>
    </xf>
    <xf numFmtId="49" fontId="32" fillId="0" borderId="9" xfId="36" applyNumberFormat="1" applyFont="1" applyBorder="1" applyAlignment="1">
      <alignment horizontal="center" vertical="center"/>
    </xf>
    <xf numFmtId="49" fontId="28" fillId="0" borderId="10" xfId="36" applyNumberFormat="1" applyFont="1" applyBorder="1" applyAlignment="1">
      <alignment horizontal="center" vertical="center"/>
    </xf>
    <xf numFmtId="49" fontId="28" fillId="9" borderId="9" xfId="36" applyNumberFormat="1" applyFont="1" applyFill="1" applyBorder="1" applyAlignment="1">
      <alignment horizontal="center" vertical="center"/>
    </xf>
    <xf numFmtId="0" fontId="59" fillId="0" borderId="7" xfId="36" applyFont="1" applyBorder="1" applyAlignment="1">
      <alignment horizontal="center"/>
    </xf>
    <xf numFmtId="0" fontId="59" fillId="0" borderId="7" xfId="36" applyFont="1" applyBorder="1" applyAlignment="1">
      <alignment horizontal="center"/>
    </xf>
    <xf numFmtId="0" fontId="2" fillId="0" borderId="7" xfId="36" applyFont="1" applyBorder="1"/>
    <xf numFmtId="0" fontId="2" fillId="0" borderId="7" xfId="36" applyFont="1" applyBorder="1" applyAlignment="1">
      <alignment horizontal="center"/>
    </xf>
    <xf numFmtId="4" fontId="2" fillId="0" borderId="7" xfId="36" applyNumberFormat="1" applyFont="1" applyBorder="1"/>
    <xf numFmtId="4" fontId="2" fillId="0" borderId="7" xfId="36" applyNumberFormat="1" applyFont="1" applyBorder="1" applyAlignment="1">
      <alignment horizontal="center"/>
    </xf>
    <xf numFmtId="0" fontId="2" fillId="0" borderId="7" xfId="36" applyFont="1" applyBorder="1" applyAlignment="1">
      <alignment horizontal="right"/>
    </xf>
    <xf numFmtId="0" fontId="41" fillId="0" borderId="7" xfId="36" applyFont="1" applyBorder="1"/>
    <xf numFmtId="0" fontId="41" fillId="0" borderId="7" xfId="36" applyFont="1" applyBorder="1" applyAlignment="1">
      <alignment horizontal="center"/>
    </xf>
    <xf numFmtId="0" fontId="84" fillId="0" borderId="7" xfId="36" applyFont="1" applyBorder="1"/>
    <xf numFmtId="0" fontId="84" fillId="0" borderId="7" xfId="36" applyFont="1" applyBorder="1" applyAlignment="1">
      <alignment horizontal="center"/>
    </xf>
    <xf numFmtId="0" fontId="2" fillId="2" borderId="7" xfId="36" applyFont="1" applyFill="1" applyBorder="1"/>
    <xf numFmtId="0" fontId="2" fillId="2" borderId="7" xfId="36" applyFont="1" applyFill="1" applyBorder="1" applyAlignment="1">
      <alignment horizontal="center"/>
    </xf>
    <xf numFmtId="4" fontId="2" fillId="2" borderId="7" xfId="36" applyNumberFormat="1" applyFont="1" applyFill="1" applyBorder="1"/>
    <xf numFmtId="4" fontId="2" fillId="2" borderId="7" xfId="36" applyNumberFormat="1" applyFont="1" applyFill="1" applyBorder="1" applyAlignment="1">
      <alignment horizontal="center"/>
    </xf>
    <xf numFmtId="170" fontId="2" fillId="0" borderId="7" xfId="36" applyNumberFormat="1" applyFont="1" applyBorder="1"/>
    <xf numFmtId="170" fontId="2" fillId="0" borderId="7" xfId="36" applyNumberFormat="1" applyFont="1" applyBorder="1" applyAlignment="1">
      <alignment horizontal="center"/>
    </xf>
    <xf numFmtId="4" fontId="41" fillId="0" borderId="7" xfId="36" applyNumberFormat="1" applyFont="1" applyBorder="1"/>
    <xf numFmtId="49" fontId="29" fillId="6" borderId="8" xfId="36" applyNumberFormat="1" applyFont="1" applyFill="1" applyBorder="1" applyAlignment="1">
      <alignment horizontal="center" vertical="center"/>
    </xf>
    <xf numFmtId="4" fontId="29" fillId="6" borderId="7" xfId="36" applyNumberFormat="1" applyFont="1" applyFill="1" applyBorder="1" applyAlignment="1">
      <alignment vertical="top" wrapText="1"/>
    </xf>
    <xf numFmtId="4" fontId="29" fillId="6" borderId="8" xfId="36" applyNumberFormat="1" applyFont="1" applyFill="1" applyBorder="1" applyAlignment="1">
      <alignment vertical="top" wrapText="1"/>
    </xf>
    <xf numFmtId="0" fontId="58" fillId="0" borderId="7" xfId="36" applyFont="1" applyBorder="1"/>
    <xf numFmtId="4" fontId="58" fillId="0" borderId="7" xfId="36" applyNumberFormat="1" applyFont="1" applyBorder="1"/>
    <xf numFmtId="4" fontId="58" fillId="0" borderId="7" xfId="36" applyNumberFormat="1" applyFont="1" applyBorder="1" applyAlignment="1">
      <alignment horizontal="center"/>
    </xf>
    <xf numFmtId="49" fontId="29" fillId="6" borderId="9" xfId="36" applyNumberFormat="1" applyFont="1" applyFill="1" applyBorder="1" applyAlignment="1">
      <alignment horizontal="center" vertical="center"/>
    </xf>
    <xf numFmtId="0" fontId="29" fillId="0" borderId="0" xfId="36" applyFont="1"/>
    <xf numFmtId="0" fontId="58" fillId="0" borderId="7" xfId="36" applyFont="1" applyBorder="1" applyAlignment="1">
      <alignment horizontal="center"/>
    </xf>
    <xf numFmtId="0" fontId="58" fillId="0" borderId="0" xfId="36" applyFont="1"/>
    <xf numFmtId="0" fontId="26" fillId="0" borderId="7" xfId="0" applyFont="1" applyFill="1" applyBorder="1" applyAlignment="1">
      <alignment horizontal="center" vertical="top" wrapText="1"/>
    </xf>
    <xf numFmtId="0" fontId="31" fillId="0" borderId="7" xfId="0" applyFont="1" applyFill="1" applyBorder="1" applyAlignment="1">
      <alignment horizontal="center" vertical="top" wrapText="1"/>
    </xf>
    <xf numFmtId="0" fontId="26" fillId="0" borderId="11" xfId="0" applyFont="1" applyFill="1" applyBorder="1" applyAlignment="1">
      <alignment horizontal="center" vertical="top" wrapText="1"/>
    </xf>
    <xf numFmtId="0" fontId="26" fillId="0" borderId="23" xfId="0" applyFont="1" applyFill="1" applyBorder="1" applyAlignment="1">
      <alignment horizontal="center" vertical="center" wrapText="1"/>
    </xf>
    <xf numFmtId="0" fontId="16" fillId="0" borderId="0" xfId="0" applyFont="1" applyFill="1" applyAlignment="1">
      <alignment horizontal="center"/>
    </xf>
    <xf numFmtId="2" fontId="2" fillId="0" borderId="0" xfId="36" applyNumberFormat="1" applyFont="1" applyAlignment="1">
      <alignment horizontal="center"/>
    </xf>
    <xf numFmtId="4" fontId="2" fillId="0" borderId="0" xfId="36" applyNumberFormat="1" applyFont="1"/>
    <xf numFmtId="0" fontId="38" fillId="0" borderId="0" xfId="36" applyFont="1" applyAlignment="1">
      <alignment horizontal="right"/>
    </xf>
    <xf numFmtId="0" fontId="32" fillId="0" borderId="0" xfId="36" applyFont="1" applyAlignment="1">
      <alignment horizontal="right"/>
    </xf>
    <xf numFmtId="0" fontId="45" fillId="0" borderId="0" xfId="36" applyFont="1" applyAlignment="1">
      <alignment horizontal="right"/>
    </xf>
    <xf numFmtId="0" fontId="28" fillId="2" borderId="0" xfId="36" applyFont="1" applyFill="1" applyAlignment="1">
      <alignment horizontal="right"/>
    </xf>
    <xf numFmtId="0" fontId="29" fillId="0" borderId="0" xfId="36" applyFont="1" applyAlignment="1">
      <alignment horizontal="right"/>
    </xf>
    <xf numFmtId="4" fontId="28" fillId="0" borderId="0" xfId="36" applyNumberFormat="1" applyFont="1" applyAlignment="1">
      <alignment horizontal="right"/>
    </xf>
    <xf numFmtId="49" fontId="28" fillId="0" borderId="8" xfId="36" applyNumberFormat="1" applyFont="1" applyFill="1" applyBorder="1" applyAlignment="1">
      <alignment horizontal="center" vertical="center"/>
    </xf>
    <xf numFmtId="0" fontId="2" fillId="0" borderId="7" xfId="36" applyFont="1" applyFill="1" applyBorder="1"/>
    <xf numFmtId="4" fontId="2" fillId="0" borderId="7" xfId="36" applyNumberFormat="1" applyFont="1" applyFill="1" applyBorder="1"/>
    <xf numFmtId="4" fontId="2" fillId="0" borderId="7" xfId="36" applyNumberFormat="1" applyFont="1" applyFill="1" applyBorder="1" applyAlignment="1">
      <alignment horizontal="center"/>
    </xf>
    <xf numFmtId="49" fontId="28" fillId="0" borderId="9" xfId="36" applyNumberFormat="1" applyFont="1" applyFill="1" applyBorder="1" applyAlignment="1">
      <alignment horizontal="center" vertical="center"/>
    </xf>
    <xf numFmtId="0" fontId="2" fillId="0" borderId="7" xfId="36" applyFont="1" applyFill="1" applyBorder="1" applyAlignment="1">
      <alignment horizontal="center"/>
    </xf>
    <xf numFmtId="0" fontId="2" fillId="0" borderId="0" xfId="36" applyFont="1" applyFill="1"/>
    <xf numFmtId="0" fontId="28" fillId="0" borderId="0" xfId="36" applyFont="1" applyFill="1" applyAlignment="1">
      <alignment horizontal="right"/>
    </xf>
    <xf numFmtId="4" fontId="26" fillId="33" borderId="7" xfId="0" applyNumberFormat="1" applyFont="1" applyFill="1" applyBorder="1" applyAlignment="1">
      <alignment horizontal="center" vertical="center" wrapText="1"/>
    </xf>
    <xf numFmtId="4" fontId="48" fillId="7" borderId="7" xfId="0" applyNumberFormat="1" applyFont="1" applyFill="1" applyBorder="1" applyAlignment="1">
      <alignment horizontal="center" vertical="center" wrapText="1"/>
    </xf>
    <xf numFmtId="4" fontId="26" fillId="29" borderId="7" xfId="0" applyNumberFormat="1" applyFont="1" applyFill="1" applyBorder="1" applyAlignment="1">
      <alignment horizontal="center" vertical="center" wrapText="1"/>
    </xf>
    <xf numFmtId="4" fontId="31" fillId="7" borderId="74" xfId="0" applyNumberFormat="1" applyFont="1" applyFill="1" applyBorder="1" applyAlignment="1">
      <alignment horizontal="center" vertical="center" wrapText="1"/>
    </xf>
    <xf numFmtId="4" fontId="31" fillId="7" borderId="75" xfId="0" applyNumberFormat="1" applyFont="1" applyFill="1" applyBorder="1" applyAlignment="1">
      <alignment horizontal="center" vertical="center" wrapText="1"/>
    </xf>
    <xf numFmtId="4" fontId="31" fillId="7" borderId="76" xfId="0" applyNumberFormat="1" applyFont="1" applyFill="1" applyBorder="1" applyAlignment="1">
      <alignment horizontal="center" vertical="center" wrapText="1"/>
    </xf>
    <xf numFmtId="4" fontId="31" fillId="7" borderId="77" xfId="0" applyNumberFormat="1" applyFont="1" applyFill="1" applyBorder="1" applyAlignment="1">
      <alignment horizontal="center" vertical="center" wrapText="1"/>
    </xf>
    <xf numFmtId="4" fontId="31" fillId="7" borderId="3" xfId="0" applyNumberFormat="1" applyFont="1" applyFill="1" applyBorder="1" applyAlignment="1">
      <alignment horizontal="center" vertical="center" wrapText="1"/>
    </xf>
    <xf numFmtId="4" fontId="26" fillId="7" borderId="43" xfId="0" applyNumberFormat="1" applyFont="1" applyFill="1" applyBorder="1" applyAlignment="1">
      <alignment horizontal="center" vertical="center" wrapText="1"/>
    </xf>
    <xf numFmtId="177" fontId="31" fillId="0" borderId="26" xfId="0" applyNumberFormat="1" applyFont="1" applyFill="1" applyBorder="1" applyAlignment="1">
      <alignment horizontal="center" vertical="center" wrapText="1"/>
    </xf>
    <xf numFmtId="4" fontId="31" fillId="0" borderId="26" xfId="0" applyNumberFormat="1" applyFont="1" applyFill="1" applyBorder="1" applyAlignment="1">
      <alignment horizontal="center" vertical="center" wrapText="1"/>
    </xf>
    <xf numFmtId="177" fontId="31" fillId="3" borderId="26" xfId="0" applyNumberFormat="1" applyFont="1" applyFill="1" applyBorder="1" applyAlignment="1">
      <alignment horizontal="center" vertical="center" wrapText="1"/>
    </xf>
    <xf numFmtId="181" fontId="31" fillId="3" borderId="26" xfId="0" applyNumberFormat="1" applyFont="1" applyFill="1" applyBorder="1" applyAlignment="1">
      <alignment horizontal="center" vertical="center" wrapText="1"/>
    </xf>
    <xf numFmtId="171" fontId="26" fillId="0" borderId="34" xfId="0" applyNumberFormat="1" applyFont="1" applyFill="1" applyBorder="1" applyAlignment="1">
      <alignment horizontal="center" vertical="center" wrapText="1"/>
    </xf>
    <xf numFmtId="4" fontId="31" fillId="7" borderId="53" xfId="0" applyNumberFormat="1" applyFont="1" applyFill="1" applyBorder="1" applyAlignment="1">
      <alignment horizontal="center" vertical="center" wrapText="1"/>
    </xf>
    <xf numFmtId="4" fontId="16" fillId="7" borderId="0" xfId="0" applyNumberFormat="1" applyFont="1" applyFill="1"/>
    <xf numFmtId="0" fontId="26" fillId="0" borderId="7" xfId="0" applyFont="1" applyFill="1" applyBorder="1" applyAlignment="1">
      <alignment horizontal="center" vertical="top" wrapText="1"/>
    </xf>
    <xf numFmtId="0" fontId="31" fillId="0" borderId="7" xfId="0" applyFont="1" applyFill="1" applyBorder="1" applyAlignment="1">
      <alignment horizontal="center" vertical="top" wrapText="1"/>
    </xf>
    <xf numFmtId="0" fontId="26" fillId="0" borderId="11" xfId="0" applyFont="1" applyFill="1" applyBorder="1" applyAlignment="1">
      <alignment horizontal="center" vertical="top" wrapText="1"/>
    </xf>
    <xf numFmtId="0" fontId="26" fillId="7" borderId="0" xfId="0" applyFont="1" applyFill="1" applyBorder="1" applyAlignment="1">
      <alignment horizontal="center" vertical="center" wrapText="1"/>
    </xf>
    <xf numFmtId="0" fontId="26" fillId="0" borderId="23" xfId="0" applyFont="1" applyFill="1" applyBorder="1" applyAlignment="1">
      <alignment horizontal="center" vertical="center" wrapText="1"/>
    </xf>
    <xf numFmtId="0" fontId="16" fillId="0" borderId="0" xfId="0" applyFont="1" applyFill="1" applyAlignment="1">
      <alignment horizontal="center"/>
    </xf>
    <xf numFmtId="179" fontId="31" fillId="7" borderId="27" xfId="0" applyNumberFormat="1" applyFont="1" applyFill="1" applyBorder="1" applyAlignment="1">
      <alignment horizontal="center" vertical="center" wrapText="1"/>
    </xf>
    <xf numFmtId="181" fontId="31" fillId="7" borderId="27" xfId="0" applyNumberFormat="1" applyFont="1" applyFill="1" applyBorder="1" applyAlignment="1">
      <alignment horizontal="center" vertical="center" wrapText="1"/>
    </xf>
    <xf numFmtId="177" fontId="26" fillId="7" borderId="28" xfId="0" applyNumberFormat="1" applyFont="1" applyFill="1" applyBorder="1" applyAlignment="1">
      <alignment horizontal="center" vertical="center" wrapText="1"/>
    </xf>
    <xf numFmtId="181" fontId="26" fillId="7" borderId="28" xfId="0" applyNumberFormat="1" applyFont="1" applyFill="1" applyBorder="1" applyAlignment="1">
      <alignment horizontal="center" vertical="center" wrapText="1"/>
    </xf>
    <xf numFmtId="178" fontId="31" fillId="7" borderId="28" xfId="0" applyNumberFormat="1" applyFont="1" applyFill="1" applyBorder="1" applyAlignment="1">
      <alignment horizontal="center" vertical="center" wrapText="1"/>
    </xf>
    <xf numFmtId="4" fontId="31" fillId="8" borderId="77" xfId="0" applyNumberFormat="1" applyFont="1" applyFill="1" applyBorder="1" applyAlignment="1">
      <alignment horizontal="center" vertical="center" wrapText="1"/>
    </xf>
    <xf numFmtId="4" fontId="31" fillId="8" borderId="75" xfId="0" applyNumberFormat="1" applyFont="1" applyFill="1" applyBorder="1" applyAlignment="1">
      <alignment horizontal="center" vertical="center" wrapText="1"/>
    </xf>
    <xf numFmtId="4" fontId="31" fillId="8" borderId="78" xfId="0" applyNumberFormat="1" applyFont="1" applyFill="1" applyBorder="1" applyAlignment="1">
      <alignment horizontal="center" vertical="center" wrapText="1"/>
    </xf>
    <xf numFmtId="4" fontId="31" fillId="8" borderId="35" xfId="0" applyNumberFormat="1" applyFont="1" applyFill="1" applyBorder="1" applyAlignment="1">
      <alignment horizontal="center" vertical="center" wrapText="1"/>
    </xf>
    <xf numFmtId="4" fontId="31" fillId="8" borderId="76" xfId="0" applyNumberFormat="1" applyFont="1" applyFill="1" applyBorder="1" applyAlignment="1">
      <alignment horizontal="center" vertical="center" wrapText="1"/>
    </xf>
    <xf numFmtId="4" fontId="31" fillId="8" borderId="74" xfId="0" applyNumberFormat="1" applyFont="1" applyFill="1" applyBorder="1" applyAlignment="1">
      <alignment horizontal="center" vertical="center" wrapText="1"/>
    </xf>
    <xf numFmtId="4" fontId="31" fillId="8" borderId="53" xfId="0" applyNumberFormat="1" applyFont="1" applyFill="1" applyBorder="1" applyAlignment="1">
      <alignment horizontal="center" vertical="center" wrapText="1"/>
    </xf>
    <xf numFmtId="178" fontId="31" fillId="8" borderId="35" xfId="0" applyNumberFormat="1" applyFont="1" applyFill="1" applyBorder="1" applyAlignment="1">
      <alignment horizontal="center" vertical="center" wrapText="1"/>
    </xf>
    <xf numFmtId="179" fontId="31" fillId="8" borderId="28" xfId="0" applyNumberFormat="1" applyFont="1" applyFill="1" applyBorder="1" applyAlignment="1">
      <alignment horizontal="center" vertical="center" wrapText="1"/>
    </xf>
    <xf numFmtId="177" fontId="31" fillId="0" borderId="77" xfId="0" applyNumberFormat="1" applyFont="1" applyFill="1" applyBorder="1" applyAlignment="1">
      <alignment horizontal="center" vertical="center" wrapText="1"/>
    </xf>
    <xf numFmtId="4" fontId="31" fillId="0" borderId="77" xfId="0" applyNumberFormat="1" applyFont="1" applyFill="1" applyBorder="1" applyAlignment="1">
      <alignment horizontal="center" vertical="center" wrapText="1"/>
    </xf>
    <xf numFmtId="4" fontId="31" fillId="0" borderId="5" xfId="0" applyNumberFormat="1" applyFont="1" applyFill="1" applyBorder="1" applyAlignment="1">
      <alignment horizontal="center" vertical="center" wrapText="1"/>
    </xf>
    <xf numFmtId="4" fontId="31" fillId="0" borderId="22" xfId="0" applyNumberFormat="1" applyFont="1" applyFill="1" applyBorder="1" applyAlignment="1">
      <alignment horizontal="center" vertical="center" wrapText="1"/>
    </xf>
    <xf numFmtId="4" fontId="26" fillId="0" borderId="22" xfId="0" applyNumberFormat="1" applyFont="1" applyFill="1" applyBorder="1" applyAlignment="1">
      <alignment horizontal="center" vertical="center" wrapText="1"/>
    </xf>
    <xf numFmtId="4" fontId="31" fillId="2" borderId="22" xfId="0" applyNumberFormat="1" applyFont="1" applyFill="1" applyBorder="1" applyAlignment="1">
      <alignment horizontal="center" vertical="center" wrapText="1"/>
    </xf>
    <xf numFmtId="177" fontId="31" fillId="0" borderId="35" xfId="0" applyNumberFormat="1" applyFont="1" applyFill="1" applyBorder="1" applyAlignment="1">
      <alignment horizontal="center" vertical="center" wrapText="1"/>
    </xf>
    <xf numFmtId="0" fontId="31" fillId="0" borderId="77" xfId="0" applyFont="1" applyFill="1" applyBorder="1" applyAlignment="1">
      <alignment vertical="top" wrapText="1"/>
    </xf>
    <xf numFmtId="0" fontId="31" fillId="0" borderId="75" xfId="0" applyFont="1" applyFill="1" applyBorder="1" applyAlignment="1">
      <alignment horizontal="center" vertical="top" wrapText="1"/>
    </xf>
    <xf numFmtId="0" fontId="31" fillId="0" borderId="78" xfId="0" applyFont="1" applyFill="1" applyBorder="1" applyAlignment="1">
      <alignment horizontal="center" vertical="center" wrapText="1"/>
    </xf>
    <xf numFmtId="177" fontId="31" fillId="3" borderId="34" xfId="0" applyNumberFormat="1" applyFont="1" applyFill="1" applyBorder="1" applyAlignment="1">
      <alignment horizontal="center" vertical="center" wrapText="1"/>
    </xf>
    <xf numFmtId="0" fontId="63" fillId="0" borderId="0" xfId="0" applyFont="1" applyFill="1"/>
    <xf numFmtId="4" fontId="63" fillId="0" borderId="0" xfId="0" applyNumberFormat="1" applyFont="1" applyFill="1"/>
    <xf numFmtId="4" fontId="48" fillId="8" borderId="7" xfId="0" applyNumberFormat="1" applyFont="1" applyFill="1" applyBorder="1" applyAlignment="1">
      <alignment horizontal="center" vertical="center" wrapText="1"/>
    </xf>
    <xf numFmtId="0" fontId="26" fillId="35" borderId="0" xfId="0" applyFont="1" applyFill="1" applyAlignment="1">
      <alignment horizontal="left"/>
    </xf>
    <xf numFmtId="0" fontId="16" fillId="35" borderId="0" xfId="0" applyFont="1" applyFill="1"/>
    <xf numFmtId="0" fontId="16" fillId="35" borderId="0" xfId="0" applyFont="1" applyFill="1" applyAlignment="1">
      <alignment vertical="center"/>
    </xf>
    <xf numFmtId="4" fontId="16" fillId="35" borderId="0" xfId="0" applyNumberFormat="1" applyFont="1" applyFill="1"/>
    <xf numFmtId="4" fontId="22" fillId="35" borderId="0" xfId="0" applyNumberFormat="1" applyFont="1" applyFill="1"/>
    <xf numFmtId="0" fontId="22" fillId="35" borderId="0" xfId="0" applyFont="1" applyFill="1"/>
    <xf numFmtId="0" fontId="16" fillId="35" borderId="0" xfId="0" applyFont="1" applyFill="1" applyAlignment="1"/>
    <xf numFmtId="0" fontId="16" fillId="35" borderId="0" xfId="0" applyFont="1" applyFill="1" applyBorder="1" applyAlignment="1">
      <alignment horizontal="center"/>
    </xf>
    <xf numFmtId="0" fontId="4" fillId="35" borderId="0" xfId="0" applyFont="1" applyFill="1"/>
    <xf numFmtId="0" fontId="4" fillId="35" borderId="0" xfId="0" applyFont="1" applyFill="1" applyAlignment="1">
      <alignment horizontal="center"/>
    </xf>
    <xf numFmtId="0" fontId="26" fillId="0" borderId="7" xfId="0" applyFont="1" applyFill="1" applyBorder="1" applyAlignment="1">
      <alignment horizontal="center" vertical="top" wrapText="1"/>
    </xf>
    <xf numFmtId="0" fontId="31" fillId="0" borderId="7" xfId="0" applyFont="1" applyFill="1" applyBorder="1" applyAlignment="1">
      <alignment horizontal="center" vertical="top" wrapText="1"/>
    </xf>
    <xf numFmtId="0" fontId="26" fillId="0" borderId="11" xfId="0" applyFont="1" applyFill="1" applyBorder="1" applyAlignment="1">
      <alignment horizontal="center" vertical="top" wrapText="1"/>
    </xf>
    <xf numFmtId="0" fontId="26" fillId="7" borderId="0" xfId="0" applyFont="1" applyFill="1" applyBorder="1" applyAlignment="1">
      <alignment horizontal="center" vertical="center" wrapText="1"/>
    </xf>
    <xf numFmtId="0" fontId="26" fillId="0" borderId="23" xfId="0" applyFont="1" applyFill="1" applyBorder="1" applyAlignment="1">
      <alignment horizontal="center" vertical="center" wrapText="1"/>
    </xf>
    <xf numFmtId="0" fontId="16" fillId="0" borderId="0" xfId="0" applyFont="1" applyFill="1" applyAlignment="1">
      <alignment horizontal="center"/>
    </xf>
    <xf numFmtId="0" fontId="26" fillId="7" borderId="21" xfId="0" applyFont="1" applyFill="1" applyBorder="1" applyAlignment="1">
      <alignment horizontal="center" vertical="center" wrapText="1"/>
    </xf>
    <xf numFmtId="0" fontId="26" fillId="7" borderId="19" xfId="0" applyFont="1" applyFill="1" applyBorder="1" applyAlignment="1">
      <alignment horizontal="center" vertical="center" wrapText="1"/>
    </xf>
    <xf numFmtId="0" fontId="26" fillId="7" borderId="20" xfId="0" applyFont="1" applyFill="1" applyBorder="1" applyAlignment="1">
      <alignment horizontal="center" vertical="center" wrapText="1"/>
    </xf>
    <xf numFmtId="0" fontId="48" fillId="7" borderId="20" xfId="0" applyFont="1" applyFill="1" applyBorder="1" applyAlignment="1">
      <alignment horizontal="center" vertical="center" wrapText="1"/>
    </xf>
    <xf numFmtId="0" fontId="26" fillId="7" borderId="72" xfId="0" applyFont="1" applyFill="1" applyBorder="1" applyAlignment="1">
      <alignment horizontal="center" vertical="center" wrapText="1"/>
    </xf>
    <xf numFmtId="0" fontId="16" fillId="8" borderId="8" xfId="0" applyFont="1" applyFill="1" applyBorder="1"/>
    <xf numFmtId="0" fontId="16" fillId="8" borderId="23" xfId="0" applyFont="1" applyFill="1" applyBorder="1"/>
    <xf numFmtId="4" fontId="26" fillId="8" borderId="8" xfId="0" applyNumberFormat="1" applyFont="1" applyFill="1" applyBorder="1" applyAlignment="1">
      <alignment horizontal="justify" vertical="center" wrapText="1"/>
    </xf>
    <xf numFmtId="4" fontId="26" fillId="8" borderId="8" xfId="0" applyNumberFormat="1" applyFont="1" applyFill="1" applyBorder="1" applyAlignment="1">
      <alignment horizontal="center" vertical="center" wrapText="1"/>
    </xf>
    <xf numFmtId="4" fontId="16" fillId="7" borderId="7" xfId="0" applyNumberFormat="1" applyFont="1" applyFill="1" applyBorder="1" applyAlignment="1">
      <alignment horizontal="center" vertical="center"/>
    </xf>
    <xf numFmtId="4" fontId="16" fillId="7" borderId="8" xfId="0" applyNumberFormat="1" applyFont="1" applyFill="1" applyBorder="1" applyAlignment="1">
      <alignment horizontal="center" vertical="center"/>
    </xf>
    <xf numFmtId="4" fontId="40" fillId="7" borderId="7" xfId="0" applyNumberFormat="1" applyFont="1" applyFill="1" applyBorder="1" applyAlignment="1">
      <alignment horizontal="center" vertical="center"/>
    </xf>
    <xf numFmtId="4" fontId="40" fillId="7" borderId="8" xfId="0" applyNumberFormat="1" applyFont="1" applyFill="1" applyBorder="1" applyAlignment="1">
      <alignment horizontal="center" vertical="center"/>
    </xf>
    <xf numFmtId="177" fontId="26" fillId="7" borderId="46" xfId="0" applyNumberFormat="1" applyFont="1" applyFill="1" applyBorder="1" applyAlignment="1">
      <alignment horizontal="center" vertical="center" wrapText="1"/>
    </xf>
    <xf numFmtId="181" fontId="26" fillId="7" borderId="27" xfId="0" applyNumberFormat="1" applyFont="1" applyFill="1" applyBorder="1" applyAlignment="1">
      <alignment horizontal="center" vertical="center" wrapText="1"/>
    </xf>
    <xf numFmtId="182" fontId="26" fillId="7" borderId="46" xfId="0" applyNumberFormat="1" applyFont="1" applyFill="1" applyBorder="1" applyAlignment="1">
      <alignment horizontal="center" vertical="center" wrapText="1"/>
    </xf>
    <xf numFmtId="179" fontId="31" fillId="8" borderId="46" xfId="0" applyNumberFormat="1" applyFont="1" applyFill="1" applyBorder="1" applyAlignment="1">
      <alignment horizontal="center" vertical="center" wrapText="1"/>
    </xf>
    <xf numFmtId="4" fontId="31" fillId="7" borderId="78" xfId="0" applyNumberFormat="1" applyFont="1" applyFill="1" applyBorder="1" applyAlignment="1">
      <alignment horizontal="center" vertical="center" wrapText="1"/>
    </xf>
    <xf numFmtId="4" fontId="31" fillId="8" borderId="3" xfId="0" applyNumberFormat="1" applyFont="1" applyFill="1" applyBorder="1" applyAlignment="1">
      <alignment horizontal="center" vertical="center" wrapText="1"/>
    </xf>
    <xf numFmtId="0" fontId="8" fillId="0" borderId="0" xfId="0" applyFont="1" applyAlignment="1">
      <alignment horizontal="center"/>
    </xf>
    <xf numFmtId="0" fontId="2" fillId="0" borderId="0" xfId="0" applyFont="1" applyAlignment="1">
      <alignment horizontal="justify" vertical="top" wrapText="1"/>
    </xf>
    <xf numFmtId="49" fontId="4" fillId="0" borderId="0" xfId="1" applyNumberFormat="1" applyFont="1" applyAlignment="1">
      <alignment horizontal="center"/>
    </xf>
    <xf numFmtId="49" fontId="6" fillId="0" borderId="2" xfId="1" applyNumberFormat="1" applyFont="1" applyBorder="1" applyAlignment="1">
      <alignment horizontal="center"/>
    </xf>
    <xf numFmtId="49" fontId="16" fillId="0" borderId="0" xfId="1" applyNumberFormat="1" applyFont="1" applyFill="1" applyAlignment="1">
      <alignment wrapText="1"/>
    </xf>
    <xf numFmtId="49" fontId="22" fillId="0" borderId="0" xfId="1" applyNumberFormat="1" applyFont="1" applyFill="1" applyAlignment="1">
      <alignment wrapText="1"/>
    </xf>
    <xf numFmtId="0" fontId="3" fillId="0" borderId="0" xfId="1" applyFill="1" applyAlignment="1">
      <alignment wrapText="1"/>
    </xf>
    <xf numFmtId="49" fontId="24" fillId="0" borderId="0" xfId="1" applyNumberFormat="1" applyFont="1" applyFill="1" applyBorder="1" applyAlignment="1">
      <alignment horizontal="center" wrapText="1"/>
    </xf>
    <xf numFmtId="49" fontId="16" fillId="0" borderId="0" xfId="1" applyNumberFormat="1" applyFont="1" applyFill="1" applyAlignment="1">
      <alignment horizontal="center"/>
    </xf>
    <xf numFmtId="49" fontId="17" fillId="0" borderId="0" xfId="1" applyNumberFormat="1" applyFont="1" applyFill="1" applyAlignment="1">
      <alignment horizontal="center"/>
    </xf>
    <xf numFmtId="49" fontId="20" fillId="0" borderId="2" xfId="1" applyNumberFormat="1" applyFont="1" applyFill="1" applyBorder="1" applyAlignment="1">
      <alignment horizontal="center"/>
    </xf>
    <xf numFmtId="49" fontId="21" fillId="0" borderId="0" xfId="1" applyNumberFormat="1" applyFont="1" applyFill="1" applyAlignment="1">
      <alignment horizontal="center"/>
    </xf>
    <xf numFmtId="49" fontId="4" fillId="0" borderId="0" xfId="1" applyNumberFormat="1" applyFont="1" applyFill="1" applyAlignment="1">
      <alignment horizontal="center"/>
    </xf>
    <xf numFmtId="49" fontId="16" fillId="0" borderId="0" xfId="1" applyNumberFormat="1" applyFont="1" applyFill="1" applyAlignment="1"/>
    <xf numFmtId="49" fontId="23" fillId="0" borderId="6" xfId="1" applyNumberFormat="1" applyFont="1" applyFill="1" applyBorder="1" applyAlignment="1"/>
    <xf numFmtId="49" fontId="22" fillId="0" borderId="0" xfId="1" applyNumberFormat="1" applyFont="1" applyFill="1" applyAlignment="1"/>
    <xf numFmtId="49" fontId="3" fillId="0" borderId="0" xfId="1" applyNumberFormat="1" applyFill="1" applyAlignment="1"/>
    <xf numFmtId="49" fontId="24" fillId="0" borderId="0" xfId="1" applyNumberFormat="1" applyFont="1" applyFill="1" applyAlignment="1">
      <alignment horizontal="center"/>
    </xf>
    <xf numFmtId="49" fontId="16" fillId="0" borderId="0" xfId="1" applyNumberFormat="1" applyFont="1" applyFill="1" applyAlignment="1">
      <alignment horizontal="left"/>
    </xf>
    <xf numFmtId="49" fontId="16" fillId="0" borderId="0" xfId="1" applyNumberFormat="1" applyFont="1" applyFill="1" applyAlignment="1">
      <alignment horizontal="left" wrapText="1"/>
    </xf>
    <xf numFmtId="0" fontId="3" fillId="0" borderId="8" xfId="1" applyBorder="1" applyAlignment="1">
      <alignment wrapText="1"/>
    </xf>
    <xf numFmtId="0" fontId="3" fillId="0" borderId="9" xfId="1" applyBorder="1" applyAlignment="1">
      <alignment wrapText="1"/>
    </xf>
    <xf numFmtId="0" fontId="3" fillId="0" borderId="10" xfId="1" applyBorder="1" applyAlignment="1">
      <alignment wrapText="1"/>
    </xf>
    <xf numFmtId="0" fontId="25" fillId="0" borderId="0" xfId="1" applyFont="1" applyAlignment="1">
      <alignment horizontal="center"/>
    </xf>
    <xf numFmtId="0" fontId="3" fillId="0" borderId="0" xfId="1" applyAlignment="1">
      <alignment horizontal="center"/>
    </xf>
    <xf numFmtId="0" fontId="25" fillId="0" borderId="8" xfId="1" applyFont="1" applyBorder="1" applyAlignment="1">
      <alignment horizontal="center" vertical="center"/>
    </xf>
    <xf numFmtId="0" fontId="25" fillId="0" borderId="9" xfId="1" applyFont="1" applyBorder="1" applyAlignment="1">
      <alignment horizontal="center" vertical="center"/>
    </xf>
    <xf numFmtId="0" fontId="25" fillId="0" borderId="10" xfId="1" applyFont="1" applyBorder="1" applyAlignment="1">
      <alignment horizontal="center" vertical="center"/>
    </xf>
    <xf numFmtId="0" fontId="17" fillId="0" borderId="8" xfId="18" applyNumberFormat="1" applyFont="1" applyBorder="1" applyAlignment="1">
      <alignment horizontal="center" vertical="top"/>
    </xf>
    <xf numFmtId="0" fontId="17" fillId="0" borderId="9" xfId="18" applyNumberFormat="1" applyFont="1" applyBorder="1" applyAlignment="1">
      <alignment horizontal="center" vertical="top"/>
    </xf>
    <xf numFmtId="0" fontId="17" fillId="0" borderId="10" xfId="18" applyNumberFormat="1" applyFont="1" applyBorder="1" applyAlignment="1">
      <alignment horizontal="center" vertical="top"/>
    </xf>
    <xf numFmtId="0" fontId="22" fillId="0" borderId="0" xfId="18" applyNumberFormat="1" applyFont="1" applyBorder="1" applyAlignment="1">
      <alignment horizontal="center"/>
    </xf>
    <xf numFmtId="0" fontId="17" fillId="0" borderId="8" xfId="18" applyNumberFormat="1" applyFont="1" applyBorder="1" applyAlignment="1">
      <alignment horizontal="center" vertical="center" wrapText="1"/>
    </xf>
    <xf numFmtId="0" fontId="17" fillId="0" borderId="9" xfId="18" applyNumberFormat="1" applyFont="1" applyBorder="1" applyAlignment="1">
      <alignment horizontal="center" vertical="center" wrapText="1"/>
    </xf>
    <xf numFmtId="0" fontId="17" fillId="0" borderId="10" xfId="18" applyNumberFormat="1" applyFont="1" applyBorder="1" applyAlignment="1">
      <alignment horizontal="center" vertical="center" wrapText="1"/>
    </xf>
    <xf numFmtId="49" fontId="17" fillId="0" borderId="8" xfId="18" applyNumberFormat="1" applyFont="1" applyBorder="1" applyAlignment="1">
      <alignment horizontal="center" vertical="center"/>
    </xf>
    <xf numFmtId="49" fontId="17" fillId="0" borderId="9" xfId="18" applyNumberFormat="1" applyFont="1" applyBorder="1" applyAlignment="1">
      <alignment horizontal="center" vertical="center"/>
    </xf>
    <xf numFmtId="49" fontId="17" fillId="0" borderId="10" xfId="18" applyNumberFormat="1" applyFont="1" applyBorder="1" applyAlignment="1">
      <alignment horizontal="center" vertical="center"/>
    </xf>
    <xf numFmtId="0" fontId="69" fillId="0" borderId="8" xfId="18" applyNumberFormat="1" applyFont="1" applyBorder="1" applyAlignment="1">
      <alignment vertical="center" wrapText="1"/>
    </xf>
    <xf numFmtId="0" fontId="69" fillId="0" borderId="9" xfId="18" applyNumberFormat="1" applyFont="1" applyBorder="1" applyAlignment="1">
      <alignment vertical="center" wrapText="1"/>
    </xf>
    <xf numFmtId="0" fontId="69" fillId="0" borderId="10" xfId="18" applyNumberFormat="1" applyFont="1" applyBorder="1" applyAlignment="1">
      <alignment vertical="center" wrapText="1"/>
    </xf>
    <xf numFmtId="4" fontId="17" fillId="0" borderId="8" xfId="18" applyNumberFormat="1" applyFont="1" applyBorder="1" applyAlignment="1">
      <alignment horizontal="center" vertical="center"/>
    </xf>
    <xf numFmtId="4" fontId="17" fillId="0" borderId="9" xfId="18" applyNumberFormat="1" applyFont="1" applyBorder="1" applyAlignment="1">
      <alignment horizontal="center" vertical="center"/>
    </xf>
    <xf numFmtId="4" fontId="17" fillId="0" borderId="10" xfId="18" applyNumberFormat="1" applyFont="1" applyBorder="1" applyAlignment="1">
      <alignment horizontal="center" vertical="center"/>
    </xf>
    <xf numFmtId="0" fontId="17" fillId="0" borderId="8" xfId="18" applyNumberFormat="1" applyFont="1" applyBorder="1" applyAlignment="1">
      <alignment horizontal="left" vertical="center" wrapText="1" indent="1"/>
    </xf>
    <xf numFmtId="0" fontId="17" fillId="0" borderId="9" xfId="18" applyNumberFormat="1" applyFont="1" applyBorder="1" applyAlignment="1">
      <alignment horizontal="left" vertical="center" wrapText="1" indent="1"/>
    </xf>
    <xf numFmtId="0" fontId="17" fillId="0" borderId="10" xfId="18" applyNumberFormat="1" applyFont="1" applyBorder="1" applyAlignment="1">
      <alignment horizontal="left" vertical="center" wrapText="1" indent="1"/>
    </xf>
    <xf numFmtId="0" fontId="17" fillId="0" borderId="8" xfId="18" applyNumberFormat="1" applyFont="1" applyBorder="1" applyAlignment="1">
      <alignment horizontal="left" wrapText="1" indent="1"/>
    </xf>
    <xf numFmtId="0" fontId="17" fillId="0" borderId="9" xfId="18" applyNumberFormat="1" applyFont="1" applyBorder="1" applyAlignment="1">
      <alignment horizontal="left" wrapText="1" indent="1"/>
    </xf>
    <xf numFmtId="0" fontId="17" fillId="0" borderId="10" xfId="18" applyNumberFormat="1" applyFont="1" applyBorder="1" applyAlignment="1">
      <alignment horizontal="left" wrapText="1" indent="1"/>
    </xf>
    <xf numFmtId="4" fontId="17" fillId="0" borderId="8" xfId="18" applyNumberFormat="1" applyFont="1" applyFill="1" applyBorder="1" applyAlignment="1">
      <alignment horizontal="center" vertical="center"/>
    </xf>
    <xf numFmtId="4" fontId="17" fillId="0" borderId="9" xfId="18" applyNumberFormat="1" applyFont="1" applyFill="1" applyBorder="1" applyAlignment="1">
      <alignment horizontal="center" vertical="center"/>
    </xf>
    <xf numFmtId="4" fontId="17" fillId="0" borderId="10" xfId="18" applyNumberFormat="1" applyFont="1" applyFill="1" applyBorder="1" applyAlignment="1">
      <alignment horizontal="center" vertical="center"/>
    </xf>
    <xf numFmtId="0" fontId="17" fillId="0" borderId="8" xfId="18" applyNumberFormat="1" applyFont="1" applyBorder="1" applyAlignment="1">
      <alignment horizontal="left" vertical="center" wrapText="1" indent="4"/>
    </xf>
    <xf numFmtId="0" fontId="17" fillId="0" borderId="9" xfId="18" applyNumberFormat="1" applyFont="1" applyBorder="1" applyAlignment="1">
      <alignment horizontal="left" vertical="center" wrapText="1" indent="4"/>
    </xf>
    <xf numFmtId="0" fontId="17" fillId="0" borderId="10" xfId="18" applyNumberFormat="1" applyFont="1" applyBorder="1" applyAlignment="1">
      <alignment horizontal="left" vertical="center" wrapText="1" indent="4"/>
    </xf>
    <xf numFmtId="0" fontId="17" fillId="0" borderId="8" xfId="18" applyNumberFormat="1" applyFont="1" applyBorder="1" applyAlignment="1">
      <alignment horizontal="left" vertical="center" wrapText="1" indent="2"/>
    </xf>
    <xf numFmtId="0" fontId="17" fillId="0" borderId="9" xfId="18" applyNumberFormat="1" applyFont="1" applyBorder="1" applyAlignment="1">
      <alignment horizontal="left" vertical="center" wrapText="1" indent="2"/>
    </xf>
    <xf numFmtId="0" fontId="17" fillId="0" borderId="10" xfId="18" applyNumberFormat="1" applyFont="1" applyBorder="1" applyAlignment="1">
      <alignment horizontal="left" vertical="center" wrapText="1" indent="2"/>
    </xf>
    <xf numFmtId="0" fontId="3" fillId="0" borderId="8" xfId="1" applyBorder="1" applyAlignment="1">
      <alignment horizontal="center"/>
    </xf>
    <xf numFmtId="0" fontId="3" fillId="0" borderId="9" xfId="1" applyBorder="1" applyAlignment="1">
      <alignment horizontal="center"/>
    </xf>
    <xf numFmtId="0" fontId="3" fillId="0" borderId="10" xfId="1" applyBorder="1" applyAlignment="1">
      <alignment horizontal="center"/>
    </xf>
    <xf numFmtId="0" fontId="3" fillId="0" borderId="8" xfId="1" applyFill="1" applyBorder="1" applyAlignment="1">
      <alignment wrapText="1"/>
    </xf>
    <xf numFmtId="0" fontId="26" fillId="0" borderId="7" xfId="0" applyFont="1" applyFill="1" applyBorder="1" applyAlignment="1">
      <alignment horizontal="center" vertical="center" wrapText="1"/>
    </xf>
    <xf numFmtId="0" fontId="26" fillId="0" borderId="7" xfId="0" applyFont="1" applyFill="1" applyBorder="1" applyAlignment="1">
      <alignment horizontal="left" vertical="center" wrapText="1"/>
    </xf>
    <xf numFmtId="0" fontId="26" fillId="0" borderId="7" xfId="0" applyFont="1" applyFill="1" applyBorder="1" applyAlignment="1">
      <alignment horizontal="center" vertical="top" wrapText="1"/>
    </xf>
    <xf numFmtId="0" fontId="26" fillId="0" borderId="7" xfId="0" applyFont="1" applyFill="1" applyBorder="1" applyAlignment="1">
      <alignment vertical="center" wrapText="1"/>
    </xf>
    <xf numFmtId="0" fontId="31" fillId="0" borderId="7" xfId="0" applyFont="1" applyFill="1" applyBorder="1" applyAlignment="1">
      <alignment horizontal="center" vertical="top" wrapText="1"/>
    </xf>
    <xf numFmtId="0" fontId="26" fillId="0" borderId="11" xfId="0" applyFont="1" applyFill="1" applyBorder="1" applyAlignment="1">
      <alignment horizontal="center" vertical="center" wrapText="1"/>
    </xf>
    <xf numFmtId="0" fontId="26" fillId="0" borderId="15" xfId="0" applyFont="1" applyFill="1" applyBorder="1" applyAlignment="1">
      <alignment horizontal="center" vertical="center" wrapText="1"/>
    </xf>
    <xf numFmtId="0" fontId="7" fillId="0" borderId="7" xfId="0" applyFont="1" applyBorder="1" applyAlignment="1">
      <alignment horizontal="center" vertical="top" wrapText="1"/>
    </xf>
    <xf numFmtId="0" fontId="31" fillId="0" borderId="7" xfId="0" applyFont="1" applyFill="1" applyBorder="1" applyAlignment="1">
      <alignment horizontal="center" vertical="center" wrapText="1"/>
    </xf>
    <xf numFmtId="0" fontId="26" fillId="0" borderId="13" xfId="0" applyFont="1" applyFill="1" applyBorder="1" applyAlignment="1">
      <alignment horizontal="center" vertical="center" wrapText="1"/>
    </xf>
    <xf numFmtId="0" fontId="22" fillId="0" borderId="0" xfId="18" applyNumberFormat="1" applyFont="1" applyBorder="1" applyAlignment="1">
      <alignment horizontal="center" wrapText="1"/>
    </xf>
    <xf numFmtId="0" fontId="82" fillId="0" borderId="0" xfId="18" applyNumberFormat="1" applyFont="1" applyBorder="1" applyAlignment="1">
      <alignment horizontal="center"/>
    </xf>
    <xf numFmtId="0" fontId="17" fillId="0" borderId="12" xfId="18" applyNumberFormat="1" applyFont="1" applyBorder="1" applyAlignment="1">
      <alignment horizontal="center" vertical="center" wrapText="1"/>
    </xf>
    <xf numFmtId="0" fontId="17" fillId="0" borderId="2" xfId="18" applyNumberFormat="1" applyFont="1" applyBorder="1" applyAlignment="1">
      <alignment horizontal="center" vertical="center" wrapText="1"/>
    </xf>
    <xf numFmtId="0" fontId="17" fillId="0" borderId="17" xfId="18" applyNumberFormat="1" applyFont="1" applyBorder="1" applyAlignment="1">
      <alignment horizontal="center" vertical="center" wrapText="1"/>
    </xf>
    <xf numFmtId="0" fontId="17" fillId="0" borderId="7" xfId="18" applyNumberFormat="1" applyFont="1" applyBorder="1" applyAlignment="1">
      <alignment horizontal="center" vertical="top"/>
    </xf>
    <xf numFmtId="0" fontId="17" fillId="0" borderId="8" xfId="18" applyNumberFormat="1" applyFont="1" applyBorder="1" applyAlignment="1">
      <alignment horizontal="left" vertical="center" wrapText="1"/>
    </xf>
    <xf numFmtId="0" fontId="17" fillId="0" borderId="9" xfId="18" applyNumberFormat="1" applyFont="1" applyBorder="1" applyAlignment="1">
      <alignment horizontal="left" vertical="center" wrapText="1"/>
    </xf>
    <xf numFmtId="0" fontId="17" fillId="0" borderId="10" xfId="18" applyNumberFormat="1" applyFont="1" applyBorder="1" applyAlignment="1">
      <alignment horizontal="left" vertical="center" wrapText="1"/>
    </xf>
    <xf numFmtId="49" fontId="17" fillId="0" borderId="7" xfId="18" applyNumberFormat="1" applyFont="1" applyBorder="1" applyAlignment="1">
      <alignment horizontal="center" vertical="center"/>
    </xf>
    <xf numFmtId="4" fontId="17" fillId="0" borderId="7" xfId="18" applyNumberFormat="1" applyFont="1" applyBorder="1" applyAlignment="1">
      <alignment horizontal="center" vertical="center"/>
    </xf>
    <xf numFmtId="0" fontId="82" fillId="0" borderId="0" xfId="18" applyNumberFormat="1" applyFont="1" applyBorder="1" applyAlignment="1">
      <alignment horizontal="center" vertical="center"/>
    </xf>
    <xf numFmtId="0" fontId="17" fillId="0" borderId="0" xfId="18" applyNumberFormat="1" applyFont="1" applyBorder="1" applyAlignment="1">
      <alignment horizontal="left" vertical="center" wrapText="1"/>
    </xf>
    <xf numFmtId="49" fontId="17" fillId="0" borderId="1" xfId="18" applyNumberFormat="1" applyFont="1" applyBorder="1" applyAlignment="1">
      <alignment horizontal="center" vertical="center"/>
    </xf>
    <xf numFmtId="0" fontId="17" fillId="0" borderId="1" xfId="18" applyNumberFormat="1" applyFont="1" applyBorder="1" applyAlignment="1">
      <alignment horizontal="center" vertical="center"/>
    </xf>
    <xf numFmtId="0" fontId="7" fillId="0" borderId="0" xfId="0" applyFont="1" applyAlignment="1">
      <alignment horizontal="justify" vertical="top" wrapText="1"/>
    </xf>
    <xf numFmtId="0" fontId="7" fillId="0" borderId="0" xfId="0" applyFont="1" applyAlignment="1">
      <alignment horizontal="center" vertical="top" wrapText="1"/>
    </xf>
    <xf numFmtId="0" fontId="33" fillId="0" borderId="0" xfId="1" applyFont="1" applyAlignment="1">
      <alignment horizontal="center"/>
    </xf>
    <xf numFmtId="0" fontId="20" fillId="0" borderId="0" xfId="1" applyFont="1" applyAlignment="1">
      <alignment horizontal="center"/>
    </xf>
    <xf numFmtId="0" fontId="36" fillId="0" borderId="0" xfId="0" applyFont="1" applyAlignment="1">
      <alignment horizontal="center" vertical="top" wrapText="1"/>
    </xf>
    <xf numFmtId="0" fontId="7" fillId="0" borderId="0" xfId="0" applyFont="1" applyAlignment="1">
      <alignment horizontal="center" wrapText="1"/>
    </xf>
    <xf numFmtId="0" fontId="26" fillId="0" borderId="49" xfId="0" applyFont="1" applyFill="1" applyBorder="1" applyAlignment="1">
      <alignment horizontal="center" vertical="center" wrapText="1"/>
    </xf>
    <xf numFmtId="0" fontId="26" fillId="0" borderId="4" xfId="0" applyFont="1" applyFill="1" applyBorder="1" applyAlignment="1">
      <alignment horizontal="center" vertical="center" wrapText="1"/>
    </xf>
    <xf numFmtId="0" fontId="26" fillId="0" borderId="40" xfId="0" applyFont="1" applyFill="1" applyBorder="1" applyAlignment="1">
      <alignment horizontal="center" vertical="center" wrapText="1"/>
    </xf>
    <xf numFmtId="0" fontId="26" fillId="0" borderId="48" xfId="0" applyFont="1" applyFill="1" applyBorder="1" applyAlignment="1">
      <alignment horizontal="left" vertical="center" wrapText="1"/>
    </xf>
    <xf numFmtId="0" fontId="26" fillId="0" borderId="50" xfId="0" applyFont="1" applyFill="1" applyBorder="1" applyAlignment="1">
      <alignment horizontal="left" vertical="center" wrapText="1"/>
    </xf>
    <xf numFmtId="0" fontId="26" fillId="0" borderId="44" xfId="0" applyFont="1" applyFill="1" applyBorder="1" applyAlignment="1">
      <alignment horizontal="left" vertical="center" wrapText="1"/>
    </xf>
    <xf numFmtId="0" fontId="26" fillId="0" borderId="47" xfId="0" applyFont="1" applyFill="1" applyBorder="1" applyAlignment="1">
      <alignment horizontal="left" vertical="center" wrapText="1"/>
    </xf>
    <xf numFmtId="0" fontId="26" fillId="0" borderId="24" xfId="0" applyFont="1" applyFill="1" applyBorder="1" applyAlignment="1">
      <alignment horizontal="left" vertical="center" wrapText="1"/>
    </xf>
    <xf numFmtId="0" fontId="26" fillId="0" borderId="13" xfId="0" applyFont="1" applyFill="1" applyBorder="1" applyAlignment="1">
      <alignment horizontal="center" vertical="top" wrapText="1"/>
    </xf>
    <xf numFmtId="0" fontId="26" fillId="0" borderId="15" xfId="0" applyFont="1" applyFill="1" applyBorder="1" applyAlignment="1">
      <alignment horizontal="center" vertical="top" wrapText="1"/>
    </xf>
    <xf numFmtId="0" fontId="26" fillId="0" borderId="11" xfId="0" applyFont="1" applyFill="1" applyBorder="1" applyAlignment="1">
      <alignment horizontal="center" vertical="top" wrapText="1"/>
    </xf>
    <xf numFmtId="0" fontId="26" fillId="3" borderId="18" xfId="0" applyFont="1" applyFill="1" applyBorder="1" applyAlignment="1">
      <alignment horizontal="center" vertical="center" wrapText="1"/>
    </xf>
    <xf numFmtId="0" fontId="26" fillId="3" borderId="10" xfId="0" applyFont="1" applyFill="1" applyBorder="1" applyAlignment="1">
      <alignment horizontal="center" vertical="center" wrapText="1"/>
    </xf>
    <xf numFmtId="0" fontId="26" fillId="7" borderId="18" xfId="0" applyFont="1" applyFill="1" applyBorder="1" applyAlignment="1">
      <alignment horizontal="center" vertical="center" wrapText="1"/>
    </xf>
    <xf numFmtId="0" fontId="26" fillId="7" borderId="10" xfId="0" applyFont="1" applyFill="1" applyBorder="1" applyAlignment="1">
      <alignment horizontal="center" vertical="center" wrapText="1"/>
    </xf>
    <xf numFmtId="0" fontId="26" fillId="3" borderId="19" xfId="0" applyFont="1" applyFill="1" applyBorder="1" applyAlignment="1">
      <alignment horizontal="center" vertical="center" wrapText="1"/>
    </xf>
    <xf numFmtId="0" fontId="26" fillId="3" borderId="22" xfId="0" applyFont="1" applyFill="1" applyBorder="1" applyAlignment="1">
      <alignment horizontal="center" vertical="center" wrapText="1"/>
    </xf>
    <xf numFmtId="0" fontId="26" fillId="3" borderId="61" xfId="0" applyFont="1" applyFill="1" applyBorder="1" applyAlignment="1">
      <alignment horizontal="center" vertical="center" wrapText="1"/>
    </xf>
    <xf numFmtId="0" fontId="26" fillId="3" borderId="55" xfId="0" applyFont="1" applyFill="1" applyBorder="1" applyAlignment="1">
      <alignment horizontal="center" vertical="center" wrapText="1"/>
    </xf>
    <xf numFmtId="0" fontId="26" fillId="7" borderId="0" xfId="0" applyFont="1" applyFill="1" applyBorder="1" applyAlignment="1">
      <alignment horizontal="center" vertical="center" wrapText="1"/>
    </xf>
    <xf numFmtId="0" fontId="26" fillId="7" borderId="15" xfId="0" applyFont="1" applyFill="1" applyBorder="1" applyAlignment="1">
      <alignment horizontal="center" vertical="center" wrapText="1"/>
    </xf>
    <xf numFmtId="0" fontId="26" fillId="7" borderId="7" xfId="0" applyFont="1" applyFill="1" applyBorder="1" applyAlignment="1">
      <alignment horizontal="center" vertical="center" wrapText="1"/>
    </xf>
    <xf numFmtId="0" fontId="26" fillId="3" borderId="20" xfId="0" applyFont="1" applyFill="1" applyBorder="1" applyAlignment="1">
      <alignment horizontal="center" vertical="center" wrapText="1"/>
    </xf>
    <xf numFmtId="0" fontId="26" fillId="7" borderId="25" xfId="0" applyFont="1" applyFill="1" applyBorder="1" applyAlignment="1">
      <alignment horizontal="center" vertical="center" wrapText="1"/>
    </xf>
    <xf numFmtId="0" fontId="26" fillId="7" borderId="8" xfId="0" applyFont="1" applyFill="1" applyBorder="1" applyAlignment="1">
      <alignment horizontal="center" vertical="center" wrapText="1"/>
    </xf>
    <xf numFmtId="0" fontId="26" fillId="0" borderId="20" xfId="0" applyFont="1" applyFill="1" applyBorder="1" applyAlignment="1">
      <alignment horizontal="center" vertical="center" wrapText="1"/>
    </xf>
    <xf numFmtId="0" fontId="26" fillId="0" borderId="21" xfId="0" applyFont="1" applyFill="1" applyBorder="1" applyAlignment="1">
      <alignment horizontal="center" vertical="center" wrapText="1"/>
    </xf>
    <xf numFmtId="0" fontId="26" fillId="0" borderId="23" xfId="0" applyFont="1" applyFill="1" applyBorder="1" applyAlignment="1">
      <alignment horizontal="center" vertical="center" wrapText="1"/>
    </xf>
    <xf numFmtId="0" fontId="26" fillId="0" borderId="37" xfId="0" applyFont="1" applyFill="1" applyBorder="1" applyAlignment="1">
      <alignment horizontal="center" vertical="center" wrapText="1"/>
    </xf>
    <xf numFmtId="0" fontId="26" fillId="0" borderId="9" xfId="0" applyFont="1" applyFill="1" applyBorder="1" applyAlignment="1">
      <alignment horizontal="center" vertical="center" wrapText="1"/>
    </xf>
    <xf numFmtId="0" fontId="26" fillId="3" borderId="21" xfId="0" applyFont="1" applyFill="1" applyBorder="1" applyAlignment="1">
      <alignment horizontal="center" vertical="center" wrapText="1"/>
    </xf>
    <xf numFmtId="0" fontId="26" fillId="3" borderId="34" xfId="0" applyFont="1" applyFill="1" applyBorder="1" applyAlignment="1">
      <alignment horizontal="center" vertical="center" wrapText="1"/>
    </xf>
    <xf numFmtId="0" fontId="26" fillId="0" borderId="47" xfId="0" applyFont="1" applyFill="1" applyBorder="1" applyAlignment="1">
      <alignment vertical="center" wrapText="1"/>
    </xf>
    <xf numFmtId="0" fontId="26" fillId="0" borderId="24" xfId="0" applyFont="1" applyFill="1" applyBorder="1" applyAlignment="1">
      <alignment vertical="center" wrapText="1"/>
    </xf>
    <xf numFmtId="0" fontId="26" fillId="3" borderId="24" xfId="0" applyFont="1" applyFill="1" applyBorder="1" applyAlignment="1">
      <alignment horizontal="center" vertical="center" wrapText="1"/>
    </xf>
    <xf numFmtId="0" fontId="26" fillId="3" borderId="15" xfId="0" applyFont="1" applyFill="1" applyBorder="1" applyAlignment="1">
      <alignment horizontal="center" vertical="center" wrapText="1"/>
    </xf>
    <xf numFmtId="0" fontId="26" fillId="3" borderId="7" xfId="0" applyFont="1" applyFill="1" applyBorder="1" applyAlignment="1">
      <alignment horizontal="center" vertical="center" wrapText="1"/>
    </xf>
    <xf numFmtId="0" fontId="26" fillId="3" borderId="25" xfId="0" applyFont="1" applyFill="1" applyBorder="1" applyAlignment="1">
      <alignment horizontal="center" vertical="center" wrapText="1"/>
    </xf>
    <xf numFmtId="0" fontId="26" fillId="3" borderId="23" xfId="0" applyFont="1" applyFill="1" applyBorder="1" applyAlignment="1">
      <alignment horizontal="center" vertical="center" wrapText="1"/>
    </xf>
    <xf numFmtId="0" fontId="26" fillId="0" borderId="19" xfId="0" applyFont="1" applyFill="1" applyBorder="1" applyAlignment="1">
      <alignment horizontal="center" vertical="center" wrapText="1"/>
    </xf>
    <xf numFmtId="0" fontId="26" fillId="0" borderId="22" xfId="0" applyFont="1" applyFill="1" applyBorder="1" applyAlignment="1">
      <alignment horizontal="center" vertical="center" wrapText="1"/>
    </xf>
    <xf numFmtId="0" fontId="26" fillId="3" borderId="44" xfId="0" applyFont="1" applyFill="1" applyBorder="1" applyAlignment="1">
      <alignment horizontal="center" vertical="center" wrapText="1"/>
    </xf>
    <xf numFmtId="0" fontId="26" fillId="3" borderId="43" xfId="0" applyFont="1" applyFill="1" applyBorder="1" applyAlignment="1">
      <alignment horizontal="center" vertical="center" wrapText="1"/>
    </xf>
    <xf numFmtId="0" fontId="26" fillId="8" borderId="63" xfId="0" applyFont="1" applyFill="1" applyBorder="1" applyAlignment="1">
      <alignment horizontal="center" vertical="center" wrapText="1"/>
    </xf>
    <xf numFmtId="0" fontId="26" fillId="8" borderId="64" xfId="0" applyFont="1" applyFill="1" applyBorder="1" applyAlignment="1">
      <alignment horizontal="center" vertical="center" wrapText="1"/>
    </xf>
    <xf numFmtId="0" fontId="26" fillId="8" borderId="65" xfId="0" applyFont="1" applyFill="1" applyBorder="1" applyAlignment="1">
      <alignment horizontal="center" vertical="center" wrapText="1"/>
    </xf>
    <xf numFmtId="0" fontId="26" fillId="0" borderId="63" xfId="0" applyFont="1" applyFill="1" applyBorder="1" applyAlignment="1">
      <alignment horizontal="center" vertical="center" wrapText="1"/>
    </xf>
    <xf numFmtId="0" fontId="26" fillId="0" borderId="64" xfId="0" applyFont="1" applyFill="1" applyBorder="1" applyAlignment="1">
      <alignment horizontal="center" vertical="center" wrapText="1"/>
    </xf>
    <xf numFmtId="0" fontId="26" fillId="0" borderId="65" xfId="0" applyFont="1" applyFill="1" applyBorder="1" applyAlignment="1">
      <alignment horizontal="center" vertical="center" wrapText="1"/>
    </xf>
    <xf numFmtId="0" fontId="4" fillId="0" borderId="67" xfId="0" applyFont="1" applyFill="1" applyBorder="1" applyAlignment="1">
      <alignment horizontal="center" vertical="center"/>
    </xf>
    <xf numFmtId="0" fontId="4" fillId="0" borderId="33" xfId="0" applyFont="1" applyFill="1" applyBorder="1" applyAlignment="1">
      <alignment horizontal="center" vertical="center"/>
    </xf>
    <xf numFmtId="0" fontId="26" fillId="6" borderId="18" xfId="0" applyFont="1" applyFill="1" applyBorder="1" applyAlignment="1">
      <alignment horizontal="center" vertical="center" wrapText="1"/>
    </xf>
    <xf numFmtId="0" fontId="26" fillId="6" borderId="10" xfId="0" applyFont="1" applyFill="1" applyBorder="1" applyAlignment="1">
      <alignment horizontal="center" vertical="center" wrapText="1"/>
    </xf>
    <xf numFmtId="0" fontId="26" fillId="6" borderId="25" xfId="0" applyFont="1" applyFill="1" applyBorder="1" applyAlignment="1">
      <alignment horizontal="center" vertical="center" wrapText="1"/>
    </xf>
    <xf numFmtId="0" fontId="26" fillId="6" borderId="8" xfId="0" applyFont="1" applyFill="1" applyBorder="1" applyAlignment="1">
      <alignment horizontal="center" vertical="center" wrapText="1"/>
    </xf>
    <xf numFmtId="0" fontId="26" fillId="3" borderId="16" xfId="0" applyFont="1" applyFill="1" applyBorder="1" applyAlignment="1">
      <alignment horizontal="center" vertical="center" wrapText="1"/>
    </xf>
    <xf numFmtId="0" fontId="26" fillId="3" borderId="9" xfId="0" applyFont="1" applyFill="1" applyBorder="1" applyAlignment="1">
      <alignment horizontal="center" vertical="center" wrapText="1"/>
    </xf>
    <xf numFmtId="0" fontId="16" fillId="0" borderId="1" xfId="0" applyFont="1" applyFill="1" applyBorder="1" applyAlignment="1">
      <alignment horizontal="center"/>
    </xf>
    <xf numFmtId="0" fontId="16" fillId="0" borderId="0" xfId="0" applyFont="1" applyFill="1" applyAlignment="1">
      <alignment horizontal="center"/>
    </xf>
    <xf numFmtId="3" fontId="41" fillId="2" borderId="8" xfId="36" applyNumberFormat="1" applyFont="1" applyFill="1" applyBorder="1" applyAlignment="1">
      <alignment horizontal="center" vertical="top" wrapText="1"/>
    </xf>
    <xf numFmtId="3" fontId="41" fillId="2" borderId="9" xfId="36" applyNumberFormat="1" applyFont="1" applyFill="1" applyBorder="1" applyAlignment="1">
      <alignment horizontal="center" vertical="top" wrapText="1"/>
    </xf>
    <xf numFmtId="3" fontId="41" fillId="2" borderId="8" xfId="36" applyNumberFormat="1" applyFont="1" applyFill="1" applyBorder="1" applyAlignment="1">
      <alignment horizontal="center" vertical="center" wrapText="1"/>
    </xf>
    <xf numFmtId="3" fontId="41" fillId="2" borderId="9" xfId="36" applyNumberFormat="1" applyFont="1" applyFill="1" applyBorder="1" applyAlignment="1">
      <alignment horizontal="center" vertical="center" wrapText="1"/>
    </xf>
    <xf numFmtId="0" fontId="32" fillId="2" borderId="8" xfId="36" applyNumberFormat="1" applyFont="1" applyFill="1" applyBorder="1" applyAlignment="1">
      <alignment horizontal="center" vertical="top" wrapText="1"/>
    </xf>
    <xf numFmtId="0" fontId="32" fillId="2" borderId="9" xfId="36" applyNumberFormat="1" applyFont="1" applyFill="1" applyBorder="1" applyAlignment="1">
      <alignment horizontal="center" vertical="top" wrapText="1"/>
    </xf>
    <xf numFmtId="0" fontId="59" fillId="0" borderId="7" xfId="36" applyFont="1" applyBorder="1" applyAlignment="1">
      <alignment horizontal="center"/>
    </xf>
    <xf numFmtId="4" fontId="32" fillId="0" borderId="8" xfId="36" applyNumberFormat="1" applyFont="1" applyBorder="1" applyAlignment="1">
      <alignment horizontal="center" vertical="top" wrapText="1"/>
    </xf>
    <xf numFmtId="4" fontId="32" fillId="0" borderId="9" xfId="36" applyNumberFormat="1" applyFont="1" applyBorder="1" applyAlignment="1">
      <alignment horizontal="center" vertical="top" wrapText="1"/>
    </xf>
    <xf numFmtId="3" fontId="41" fillId="2" borderId="7" xfId="36" applyNumberFormat="1" applyFont="1" applyFill="1" applyBorder="1" applyAlignment="1">
      <alignment horizontal="center" vertical="top" wrapText="1"/>
    </xf>
    <xf numFmtId="0" fontId="32" fillId="2" borderId="7" xfId="36" applyNumberFormat="1" applyFont="1" applyFill="1" applyBorder="1" applyAlignment="1">
      <alignment horizontal="center" vertical="top" wrapText="1"/>
    </xf>
    <xf numFmtId="0" fontId="28" fillId="0" borderId="7" xfId="36" applyFont="1" applyFill="1" applyBorder="1" applyAlignment="1">
      <alignment horizontal="center"/>
    </xf>
    <xf numFmtId="4" fontId="28" fillId="0" borderId="7" xfId="36" applyNumberFormat="1" applyFont="1" applyFill="1" applyBorder="1" applyAlignment="1">
      <alignment horizontal="right" vertical="center" wrapText="1"/>
    </xf>
    <xf numFmtId="0" fontId="30" fillId="0" borderId="0" xfId="36" applyNumberFormat="1" applyFont="1" applyBorder="1" applyAlignment="1">
      <alignment horizontal="center" vertical="center" wrapText="1"/>
    </xf>
    <xf numFmtId="0" fontId="83" fillId="0" borderId="1" xfId="36" applyFont="1" applyBorder="1" applyAlignment="1">
      <alignment horizontal="center" vertical="center"/>
    </xf>
    <xf numFmtId="0" fontId="32" fillId="0" borderId="11" xfId="36" applyFont="1" applyBorder="1" applyAlignment="1">
      <alignment horizontal="center" vertical="center"/>
    </xf>
    <xf numFmtId="0" fontId="32" fillId="0" borderId="13" xfId="36" applyFont="1" applyBorder="1" applyAlignment="1">
      <alignment horizontal="center" vertical="center"/>
    </xf>
    <xf numFmtId="0" fontId="32" fillId="0" borderId="18" xfId="36" applyFont="1" applyBorder="1" applyAlignment="1">
      <alignment horizontal="center" vertical="center"/>
    </xf>
    <xf numFmtId="0" fontId="32" fillId="0" borderId="12" xfId="36" applyNumberFormat="1" applyFont="1" applyBorder="1" applyAlignment="1">
      <alignment horizontal="center" vertical="center" wrapText="1"/>
    </xf>
    <xf numFmtId="0" fontId="32" fillId="0" borderId="14" xfId="36" applyNumberFormat="1" applyFont="1" applyBorder="1" applyAlignment="1">
      <alignment horizontal="center" vertical="center" wrapText="1"/>
    </xf>
    <xf numFmtId="0" fontId="32" fillId="0" borderId="16" xfId="36" applyNumberFormat="1" applyFont="1" applyBorder="1" applyAlignment="1">
      <alignment horizontal="center" vertical="center" wrapText="1"/>
    </xf>
    <xf numFmtId="0" fontId="32" fillId="0" borderId="7" xfId="36" applyFont="1" applyFill="1" applyBorder="1" applyAlignment="1">
      <alignment horizontal="center"/>
    </xf>
    <xf numFmtId="169" fontId="32" fillId="0" borderId="7" xfId="36" applyNumberFormat="1" applyFont="1" applyFill="1" applyBorder="1" applyAlignment="1">
      <alignment horizontal="center" vertical="top" wrapText="1"/>
    </xf>
    <xf numFmtId="3" fontId="30" fillId="0" borderId="7" xfId="36" applyNumberFormat="1" applyFont="1" applyFill="1" applyBorder="1" applyAlignment="1">
      <alignment horizontal="center" vertical="top" wrapText="1"/>
    </xf>
    <xf numFmtId="0" fontId="38" fillId="0" borderId="7" xfId="36" applyFont="1" applyFill="1" applyBorder="1" applyAlignment="1">
      <alignment horizontal="center" vertical="center"/>
    </xf>
    <xf numFmtId="0" fontId="32" fillId="0" borderId="15" xfId="36" applyFont="1" applyBorder="1" applyAlignment="1">
      <alignment horizontal="center" vertical="center"/>
    </xf>
    <xf numFmtId="4" fontId="2" fillId="0" borderId="2" xfId="36" applyNumberFormat="1" applyFont="1" applyBorder="1" applyAlignment="1">
      <alignment horizontal="center"/>
    </xf>
    <xf numFmtId="0" fontId="59" fillId="0" borderId="8" xfId="36" applyFont="1" applyBorder="1" applyAlignment="1">
      <alignment horizontal="center"/>
    </xf>
    <xf numFmtId="0" fontId="59" fillId="0" borderId="9" xfId="36" applyFont="1" applyBorder="1" applyAlignment="1">
      <alignment horizontal="center"/>
    </xf>
    <xf numFmtId="0" fontId="59" fillId="0" borderId="10" xfId="36" applyFont="1" applyBorder="1" applyAlignment="1">
      <alignment horizontal="center"/>
    </xf>
    <xf numFmtId="0" fontId="2" fillId="0" borderId="2" xfId="36" applyFont="1" applyBorder="1" applyAlignment="1">
      <alignment horizontal="center"/>
    </xf>
    <xf numFmtId="4" fontId="2" fillId="0" borderId="0" xfId="36" applyNumberFormat="1" applyFont="1" applyAlignment="1">
      <alignment horizontal="center"/>
    </xf>
    <xf numFmtId="4" fontId="28" fillId="0" borderId="8" xfId="36" applyNumberFormat="1" applyFont="1" applyFill="1" applyBorder="1" applyAlignment="1">
      <alignment horizontal="right" vertical="center" wrapText="1"/>
    </xf>
    <xf numFmtId="0" fontId="26" fillId="0" borderId="42" xfId="0" applyFont="1" applyFill="1" applyBorder="1" applyAlignment="1">
      <alignment horizontal="center" vertical="center" wrapText="1"/>
    </xf>
    <xf numFmtId="0" fontId="26" fillId="0" borderId="43" xfId="0" applyFont="1" applyFill="1" applyBorder="1" applyAlignment="1">
      <alignment horizontal="center" vertical="center" wrapText="1"/>
    </xf>
    <xf numFmtId="0" fontId="26" fillId="7" borderId="19" xfId="0" applyFont="1" applyFill="1" applyBorder="1" applyAlignment="1">
      <alignment horizontal="center" vertical="center" wrapText="1"/>
    </xf>
    <xf numFmtId="0" fontId="26" fillId="7" borderId="22" xfId="0" applyFont="1" applyFill="1" applyBorder="1" applyAlignment="1">
      <alignment horizontal="center" vertical="center" wrapText="1"/>
    </xf>
    <xf numFmtId="0" fontId="26" fillId="7" borderId="20" xfId="0" applyFont="1" applyFill="1" applyBorder="1" applyAlignment="1">
      <alignment horizontal="center" vertical="center" wrapText="1"/>
    </xf>
    <xf numFmtId="0" fontId="26" fillId="7" borderId="21" xfId="0" applyFont="1" applyFill="1" applyBorder="1" applyAlignment="1">
      <alignment horizontal="center" vertical="center" wrapText="1"/>
    </xf>
    <xf numFmtId="0" fontId="26" fillId="7" borderId="23" xfId="0" applyFont="1" applyFill="1" applyBorder="1" applyAlignment="1">
      <alignment horizontal="center" vertical="center" wrapText="1"/>
    </xf>
    <xf numFmtId="0" fontId="26" fillId="8" borderId="39" xfId="0" applyFont="1" applyFill="1" applyBorder="1" applyAlignment="1">
      <alignment horizontal="center" vertical="center" wrapText="1"/>
    </xf>
    <xf numFmtId="0" fontId="2" fillId="0" borderId="0" xfId="0" applyFont="1" applyFill="1" applyAlignment="1">
      <alignment horizontal="justify" vertical="center" wrapText="1"/>
    </xf>
    <xf numFmtId="0" fontId="51" fillId="0" borderId="51" xfId="0" applyFont="1" applyBorder="1" applyAlignment="1">
      <alignment horizontal="center" vertical="center" wrapText="1"/>
    </xf>
    <xf numFmtId="0" fontId="51" fillId="0" borderId="52" xfId="0" applyFont="1" applyBorder="1" applyAlignment="1">
      <alignment horizontal="center" vertical="center" wrapText="1"/>
    </xf>
    <xf numFmtId="0" fontId="51" fillId="0" borderId="53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justify" vertical="center" wrapText="1"/>
    </xf>
    <xf numFmtId="0" fontId="41" fillId="0" borderId="0" xfId="0" applyFont="1" applyAlignment="1">
      <alignment horizontal="center" vertical="center" wrapText="1"/>
    </xf>
    <xf numFmtId="0" fontId="51" fillId="0" borderId="63" xfId="0" applyFont="1" applyBorder="1" applyAlignment="1">
      <alignment vertical="center" wrapText="1"/>
    </xf>
    <xf numFmtId="0" fontId="51" fillId="0" borderId="64" xfId="0" applyFont="1" applyBorder="1" applyAlignment="1">
      <alignment vertical="center" wrapText="1"/>
    </xf>
    <xf numFmtId="0" fontId="51" fillId="0" borderId="65" xfId="0" applyFont="1" applyBorder="1" applyAlignment="1">
      <alignment vertical="center" wrapText="1"/>
    </xf>
    <xf numFmtId="4" fontId="51" fillId="0" borderId="63" xfId="0" applyNumberFormat="1" applyFont="1" applyBorder="1" applyAlignment="1">
      <alignment horizontal="center" vertical="center" wrapText="1"/>
    </xf>
    <xf numFmtId="4" fontId="51" fillId="0" borderId="65" xfId="0" applyNumberFormat="1" applyFont="1" applyBorder="1" applyAlignment="1">
      <alignment horizontal="center" vertical="center" wrapText="1"/>
    </xf>
    <xf numFmtId="0" fontId="50" fillId="0" borderId="63" xfId="0" applyFont="1" applyBorder="1" applyAlignment="1">
      <alignment horizontal="justify" vertical="center" wrapText="1"/>
    </xf>
    <xf numFmtId="0" fontId="50" fillId="0" borderId="64" xfId="0" applyFont="1" applyBorder="1" applyAlignment="1">
      <alignment horizontal="justify" vertical="center" wrapText="1"/>
    </xf>
    <xf numFmtId="0" fontId="50" fillId="0" borderId="65" xfId="0" applyFont="1" applyBorder="1" applyAlignment="1">
      <alignment horizontal="justify" vertical="center" wrapText="1"/>
    </xf>
    <xf numFmtId="4" fontId="50" fillId="0" borderId="63" xfId="0" applyNumberFormat="1" applyFont="1" applyBorder="1" applyAlignment="1">
      <alignment horizontal="center" vertical="center" wrapText="1"/>
    </xf>
    <xf numFmtId="4" fontId="50" fillId="0" borderId="65" xfId="0" applyNumberFormat="1" applyFont="1" applyBorder="1" applyAlignment="1">
      <alignment horizontal="center" vertical="center" wrapText="1"/>
    </xf>
    <xf numFmtId="0" fontId="51" fillId="0" borderId="65" xfId="0" applyFont="1" applyBorder="1" applyAlignment="1">
      <alignment horizontal="center" vertical="center" wrapText="1"/>
    </xf>
    <xf numFmtId="0" fontId="50" fillId="0" borderId="51" xfId="0" applyFont="1" applyBorder="1" applyAlignment="1">
      <alignment vertical="center" wrapText="1"/>
    </xf>
    <xf numFmtId="0" fontId="50" fillId="0" borderId="53" xfId="0" applyFont="1" applyBorder="1" applyAlignment="1">
      <alignment vertical="center" wrapText="1"/>
    </xf>
    <xf numFmtId="49" fontId="50" fillId="0" borderId="63" xfId="0" applyNumberFormat="1" applyFont="1" applyBorder="1" applyAlignment="1">
      <alignment horizontal="center" vertical="center" wrapText="1"/>
    </xf>
    <xf numFmtId="49" fontId="50" fillId="0" borderId="65" xfId="0" applyNumberFormat="1" applyFont="1" applyBorder="1" applyAlignment="1">
      <alignment horizontal="center" vertical="center" wrapText="1"/>
    </xf>
    <xf numFmtId="0" fontId="49" fillId="0" borderId="50" xfId="41" applyFont="1" applyBorder="1" applyAlignment="1">
      <alignment vertical="center" wrapText="1"/>
    </xf>
    <xf numFmtId="4" fontId="50" fillId="0" borderId="51" xfId="41" applyNumberFormat="1" applyFont="1" applyBorder="1" applyAlignment="1">
      <alignment horizontal="center" vertical="center" wrapText="1"/>
    </xf>
    <xf numFmtId="4" fontId="50" fillId="0" borderId="53" xfId="41" applyNumberFormat="1" applyFont="1" applyBorder="1" applyAlignment="1">
      <alignment horizontal="center" vertical="center" wrapText="1"/>
    </xf>
    <xf numFmtId="0" fontId="50" fillId="0" borderId="51" xfId="41" applyFont="1" applyBorder="1" applyAlignment="1">
      <alignment vertical="center" wrapText="1"/>
    </xf>
    <xf numFmtId="0" fontId="50" fillId="0" borderId="53" xfId="41" applyFont="1" applyBorder="1" applyAlignment="1">
      <alignment vertical="center" wrapText="1"/>
    </xf>
    <xf numFmtId="0" fontId="50" fillId="0" borderId="51" xfId="41" applyFont="1" applyBorder="1" applyAlignment="1">
      <alignment horizontal="center" vertical="center" wrapText="1"/>
    </xf>
    <xf numFmtId="0" fontId="50" fillId="0" borderId="53" xfId="41" applyFont="1" applyBorder="1" applyAlignment="1">
      <alignment horizontal="center" vertical="center" wrapText="1"/>
    </xf>
    <xf numFmtId="0" fontId="41" fillId="0" borderId="0" xfId="0" applyFont="1" applyAlignment="1">
      <alignment horizontal="center" vertical="center"/>
    </xf>
    <xf numFmtId="0" fontId="41" fillId="0" borderId="0" xfId="41" applyFont="1" applyAlignment="1">
      <alignment horizontal="center" vertical="center" wrapText="1"/>
    </xf>
    <xf numFmtId="0" fontId="7" fillId="0" borderId="51" xfId="41" applyFont="1" applyBorder="1" applyAlignment="1">
      <alignment horizontal="center" vertical="center" wrapText="1"/>
    </xf>
    <xf numFmtId="0" fontId="7" fillId="0" borderId="52" xfId="41" applyFont="1" applyBorder="1" applyAlignment="1">
      <alignment horizontal="center" vertical="center" wrapText="1"/>
    </xf>
    <xf numFmtId="0" fontId="7" fillId="0" borderId="53" xfId="41" applyFont="1" applyBorder="1" applyAlignment="1">
      <alignment horizontal="center" vertical="center" wrapText="1"/>
    </xf>
    <xf numFmtId="0" fontId="7" fillId="0" borderId="54" xfId="41" applyFont="1" applyBorder="1" applyAlignment="1">
      <alignment horizontal="center" vertical="center" wrapText="1"/>
    </xf>
    <xf numFmtId="0" fontId="30" fillId="0" borderId="51" xfId="41" applyFont="1" applyBorder="1" applyAlignment="1">
      <alignment horizontal="center" vertical="center" wrapText="1"/>
    </xf>
    <xf numFmtId="0" fontId="30" fillId="0" borderId="52" xfId="41" applyFont="1" applyBorder="1" applyAlignment="1">
      <alignment horizontal="center" vertical="center" wrapText="1"/>
    </xf>
    <xf numFmtId="0" fontId="30" fillId="0" borderId="53" xfId="41" applyFont="1" applyBorder="1" applyAlignment="1">
      <alignment horizontal="center" vertical="center" wrapText="1"/>
    </xf>
    <xf numFmtId="0" fontId="30" fillId="0" borderId="67" xfId="41" applyFont="1" applyBorder="1" applyAlignment="1">
      <alignment horizontal="center" vertical="center" wrapText="1"/>
    </xf>
    <xf numFmtId="0" fontId="30" fillId="0" borderId="50" xfId="41" applyFont="1" applyBorder="1" applyAlignment="1">
      <alignment horizontal="center" vertical="center" wrapText="1"/>
    </xf>
    <xf numFmtId="0" fontId="30" fillId="0" borderId="68" xfId="41" applyFont="1" applyBorder="1" applyAlignment="1">
      <alignment horizontal="center" vertical="center" wrapText="1"/>
    </xf>
    <xf numFmtId="0" fontId="30" fillId="0" borderId="33" xfId="41" applyFont="1" applyBorder="1" applyAlignment="1">
      <alignment horizontal="center" vertical="center" wrapText="1"/>
    </xf>
    <xf numFmtId="0" fontId="30" fillId="0" borderId="4" xfId="41" applyFont="1" applyBorder="1" applyAlignment="1">
      <alignment horizontal="center" vertical="center" wrapText="1"/>
    </xf>
    <xf numFmtId="0" fontId="50" fillId="0" borderId="51" xfId="0" applyFont="1" applyBorder="1" applyAlignment="1">
      <alignment horizontal="left" vertical="center" wrapText="1"/>
    </xf>
    <xf numFmtId="0" fontId="50" fillId="0" borderId="53" xfId="0" applyFont="1" applyBorder="1" applyAlignment="1">
      <alignment horizontal="left" vertical="center" wrapText="1"/>
    </xf>
    <xf numFmtId="0" fontId="26" fillId="0" borderId="12" xfId="0" applyFont="1" applyFill="1" applyBorder="1" applyAlignment="1">
      <alignment horizontal="center" vertical="center" wrapText="1"/>
    </xf>
    <xf numFmtId="0" fontId="26" fillId="0" borderId="2" xfId="0" applyFont="1" applyFill="1" applyBorder="1" applyAlignment="1">
      <alignment horizontal="center" vertical="center" wrapText="1"/>
    </xf>
    <xf numFmtId="0" fontId="26" fillId="0" borderId="17" xfId="0" applyFont="1" applyFill="1" applyBorder="1" applyAlignment="1">
      <alignment horizontal="center" vertical="center" wrapText="1"/>
    </xf>
    <xf numFmtId="0" fontId="26" fillId="0" borderId="16" xfId="0" applyFont="1" applyFill="1" applyBorder="1" applyAlignment="1">
      <alignment horizontal="center" vertical="center" wrapText="1"/>
    </xf>
    <xf numFmtId="0" fontId="26" fillId="0" borderId="1" xfId="0" applyFont="1" applyFill="1" applyBorder="1" applyAlignment="1">
      <alignment horizontal="center" vertical="center" wrapText="1"/>
    </xf>
    <xf numFmtId="0" fontId="26" fillId="0" borderId="18" xfId="0" applyFont="1" applyFill="1" applyBorder="1" applyAlignment="1">
      <alignment horizontal="center" vertical="center" wrapText="1"/>
    </xf>
    <xf numFmtId="0" fontId="26" fillId="0" borderId="8" xfId="0" applyFont="1" applyFill="1" applyBorder="1" applyAlignment="1">
      <alignment horizontal="center" vertical="center" wrapText="1"/>
    </xf>
    <xf numFmtId="0" fontId="26" fillId="0" borderId="10" xfId="0" applyFont="1" applyFill="1" applyBorder="1" applyAlignment="1">
      <alignment horizontal="center" vertical="center" wrapText="1"/>
    </xf>
    <xf numFmtId="0" fontId="26" fillId="3" borderId="56" xfId="0" applyFont="1" applyFill="1" applyBorder="1" applyAlignment="1">
      <alignment horizontal="center" vertical="center" wrapText="1"/>
    </xf>
    <xf numFmtId="0" fontId="26" fillId="8" borderId="58" xfId="0" applyFont="1" applyFill="1" applyBorder="1" applyAlignment="1">
      <alignment horizontal="center" vertical="center" wrapText="1"/>
    </xf>
    <xf numFmtId="0" fontId="26" fillId="8" borderId="62" xfId="0" applyFont="1" applyFill="1" applyBorder="1" applyAlignment="1">
      <alignment horizontal="center" vertical="center" wrapText="1"/>
    </xf>
    <xf numFmtId="0" fontId="26" fillId="8" borderId="59" xfId="0" applyFont="1" applyFill="1" applyBorder="1" applyAlignment="1">
      <alignment horizontal="center" vertical="center" wrapText="1"/>
    </xf>
    <xf numFmtId="0" fontId="26" fillId="8" borderId="60" xfId="0" applyFont="1" applyFill="1" applyBorder="1" applyAlignment="1">
      <alignment horizontal="center" vertical="center" wrapText="1"/>
    </xf>
    <xf numFmtId="0" fontId="26" fillId="3" borderId="1" xfId="0" applyFont="1" applyFill="1" applyBorder="1" applyAlignment="1">
      <alignment horizontal="center" vertical="center" wrapText="1"/>
    </xf>
    <xf numFmtId="0" fontId="26" fillId="0" borderId="58" xfId="0" applyFont="1" applyFill="1" applyBorder="1" applyAlignment="1">
      <alignment horizontal="center" vertical="center" wrapText="1"/>
    </xf>
    <xf numFmtId="0" fontId="26" fillId="0" borderId="59" xfId="0" applyFont="1" applyFill="1" applyBorder="1" applyAlignment="1">
      <alignment horizontal="center" vertical="center" wrapText="1"/>
    </xf>
    <xf numFmtId="0" fontId="26" fillId="0" borderId="60" xfId="0" applyFont="1" applyFill="1" applyBorder="1" applyAlignment="1">
      <alignment horizontal="center" vertical="center" wrapText="1"/>
    </xf>
    <xf numFmtId="0" fontId="21" fillId="0" borderId="11" xfId="105" applyFont="1" applyFill="1" applyBorder="1" applyAlignment="1">
      <alignment horizontal="center" vertical="center" wrapText="1"/>
    </xf>
    <xf numFmtId="0" fontId="21" fillId="0" borderId="15" xfId="105" applyFont="1" applyFill="1" applyBorder="1" applyAlignment="1">
      <alignment horizontal="center" vertical="center" wrapText="1"/>
    </xf>
    <xf numFmtId="0" fontId="21" fillId="0" borderId="7" xfId="105" applyFont="1" applyFill="1" applyBorder="1" applyAlignment="1">
      <alignment horizontal="center" vertical="center" wrapText="1"/>
    </xf>
    <xf numFmtId="0" fontId="4" fillId="0" borderId="7" xfId="105" applyFont="1" applyBorder="1" applyAlignment="1">
      <alignment horizontal="center"/>
    </xf>
    <xf numFmtId="0" fontId="21" fillId="0" borderId="7" xfId="105" applyFont="1" applyBorder="1" applyAlignment="1">
      <alignment horizontal="center" vertical="center" wrapText="1"/>
    </xf>
    <xf numFmtId="0" fontId="22" fillId="0" borderId="8" xfId="18" applyFont="1" applyFill="1" applyBorder="1" applyAlignment="1">
      <alignment horizontal="center" vertical="center" wrapText="1"/>
    </xf>
    <xf numFmtId="0" fontId="22" fillId="0" borderId="10" xfId="18" applyFont="1" applyFill="1" applyBorder="1" applyAlignment="1">
      <alignment horizontal="center" vertical="center" wrapText="1"/>
    </xf>
    <xf numFmtId="0" fontId="31" fillId="0" borderId="7" xfId="18" applyFont="1" applyBorder="1" applyAlignment="1">
      <alignment horizontal="center" vertical="top"/>
    </xf>
    <xf numFmtId="0" fontId="21" fillId="0" borderId="0" xfId="18" applyFont="1" applyBorder="1" applyAlignment="1">
      <alignment horizontal="center" vertical="center" wrapText="1"/>
    </xf>
    <xf numFmtId="0" fontId="64" fillId="0" borderId="7" xfId="18" applyFont="1" applyBorder="1" applyAlignment="1">
      <alignment horizontal="center" vertical="center" wrapText="1"/>
    </xf>
    <xf numFmtId="0" fontId="22" fillId="0" borderId="7" xfId="18" applyFont="1" applyFill="1" applyBorder="1" applyAlignment="1">
      <alignment horizontal="center" vertical="center" wrapText="1"/>
    </xf>
    <xf numFmtId="0" fontId="31" fillId="0" borderId="7" xfId="18" applyFont="1" applyBorder="1" applyAlignment="1">
      <alignment horizontal="center" vertical="center"/>
    </xf>
    <xf numFmtId="4" fontId="50" fillId="0" borderId="51" xfId="8" applyNumberFormat="1" applyFont="1" applyBorder="1" applyAlignment="1">
      <alignment vertical="center"/>
    </xf>
    <xf numFmtId="4" fontId="50" fillId="0" borderId="53" xfId="8" applyNumberFormat="1" applyFont="1" applyBorder="1" applyAlignment="1">
      <alignment vertical="center"/>
    </xf>
    <xf numFmtId="0" fontId="69" fillId="0" borderId="0" xfId="1" applyFont="1" applyBorder="1" applyAlignment="1">
      <alignment horizontal="left" wrapText="1"/>
    </xf>
    <xf numFmtId="0" fontId="21" fillId="0" borderId="0" xfId="1" applyFont="1" applyFill="1" applyBorder="1" applyAlignment="1">
      <alignment horizontal="center" vertical="center" wrapText="1"/>
    </xf>
    <xf numFmtId="0" fontId="31" fillId="0" borderId="0" xfId="1" applyFont="1" applyFill="1" applyBorder="1" applyAlignment="1">
      <alignment horizontal="center" vertical="center" wrapText="1"/>
    </xf>
    <xf numFmtId="0" fontId="50" fillId="0" borderId="51" xfId="8" applyFont="1" applyBorder="1" applyAlignment="1">
      <alignment vertical="center"/>
    </xf>
    <xf numFmtId="0" fontId="50" fillId="0" borderId="53" xfId="8" applyFont="1" applyBorder="1" applyAlignment="1">
      <alignment vertical="center"/>
    </xf>
    <xf numFmtId="4" fontId="50" fillId="0" borderId="51" xfId="8" applyNumberFormat="1" applyFont="1" applyBorder="1" applyAlignment="1">
      <alignment horizontal="right" vertical="center"/>
    </xf>
    <xf numFmtId="4" fontId="50" fillId="0" borderId="53" xfId="8" applyNumberFormat="1" applyFont="1" applyBorder="1" applyAlignment="1">
      <alignment horizontal="right" vertical="center"/>
    </xf>
    <xf numFmtId="0" fontId="50" fillId="0" borderId="51" xfId="8" applyFont="1" applyBorder="1" applyAlignment="1">
      <alignment horizontal="center" vertical="center" wrapText="1"/>
    </xf>
    <xf numFmtId="0" fontId="50" fillId="0" borderId="54" xfId="8" applyFont="1" applyBorder="1" applyAlignment="1">
      <alignment horizontal="center" vertical="center" wrapText="1"/>
    </xf>
    <xf numFmtId="0" fontId="50" fillId="0" borderId="70" xfId="8" applyFont="1" applyBorder="1" applyAlignment="1">
      <alignment vertical="center" wrapText="1"/>
    </xf>
    <xf numFmtId="0" fontId="50" fillId="0" borderId="52" xfId="8" applyFont="1" applyBorder="1" applyAlignment="1">
      <alignment vertical="center" wrapText="1"/>
    </xf>
    <xf numFmtId="0" fontId="50" fillId="0" borderId="54" xfId="8" applyFont="1" applyBorder="1" applyAlignment="1">
      <alignment vertical="center" wrapText="1"/>
    </xf>
    <xf numFmtId="0" fontId="66" fillId="0" borderId="51" xfId="8" applyFont="1" applyBorder="1" applyAlignment="1">
      <alignment horizontal="center" vertical="center" wrapText="1"/>
    </xf>
    <xf numFmtId="0" fontId="66" fillId="0" borderId="53" xfId="8" applyFont="1" applyBorder="1" applyAlignment="1">
      <alignment horizontal="center" vertical="center" wrapText="1"/>
    </xf>
    <xf numFmtId="0" fontId="51" fillId="27" borderId="67" xfId="8" applyFont="1" applyFill="1" applyBorder="1" applyAlignment="1">
      <alignment horizontal="center" vertical="center"/>
    </xf>
    <xf numFmtId="0" fontId="51" fillId="27" borderId="39" xfId="8" applyFont="1" applyFill="1" applyBorder="1" applyAlignment="1">
      <alignment horizontal="center" vertical="center"/>
    </xf>
    <xf numFmtId="0" fontId="51" fillId="27" borderId="33" xfId="8" applyFont="1" applyFill="1" applyBorder="1" applyAlignment="1">
      <alignment horizontal="center" vertical="center"/>
    </xf>
    <xf numFmtId="0" fontId="51" fillId="27" borderId="68" xfId="8" applyFont="1" applyFill="1" applyBorder="1" applyAlignment="1">
      <alignment horizontal="center" vertical="center"/>
    </xf>
    <xf numFmtId="0" fontId="51" fillId="27" borderId="3" xfId="8" applyFont="1" applyFill="1" applyBorder="1" applyAlignment="1">
      <alignment horizontal="center" vertical="center"/>
    </xf>
    <xf numFmtId="0" fontId="51" fillId="27" borderId="5" xfId="8" applyFont="1" applyFill="1" applyBorder="1" applyAlignment="1">
      <alignment horizontal="center" vertical="center"/>
    </xf>
    <xf numFmtId="0" fontId="41" fillId="0" borderId="0" xfId="8" applyFont="1" applyAlignment="1">
      <alignment horizontal="center" vertical="center"/>
    </xf>
    <xf numFmtId="0" fontId="51" fillId="27" borderId="51" xfId="8" applyFont="1" applyFill="1" applyBorder="1" applyAlignment="1">
      <alignment horizontal="center" vertical="center" wrapText="1"/>
    </xf>
    <xf numFmtId="0" fontId="51" fillId="27" borderId="53" xfId="8" applyFont="1" applyFill="1" applyBorder="1" applyAlignment="1">
      <alignment horizontal="center" vertical="center" wrapText="1"/>
    </xf>
    <xf numFmtId="0" fontId="51" fillId="27" borderId="67" xfId="8" applyFont="1" applyFill="1" applyBorder="1" applyAlignment="1">
      <alignment horizontal="center" vertical="center" wrapText="1"/>
    </xf>
    <xf numFmtId="0" fontId="51" fillId="27" borderId="39" xfId="8" applyFont="1" applyFill="1" applyBorder="1" applyAlignment="1">
      <alignment horizontal="center" vertical="center" wrapText="1"/>
    </xf>
    <xf numFmtId="0" fontId="51" fillId="27" borderId="33" xfId="8" applyFont="1" applyFill="1" applyBorder="1" applyAlignment="1">
      <alignment horizontal="center" vertical="center" wrapText="1"/>
    </xf>
    <xf numFmtId="0" fontId="51" fillId="27" borderId="68" xfId="8" applyFont="1" applyFill="1" applyBorder="1" applyAlignment="1">
      <alignment horizontal="center" vertical="center" wrapText="1"/>
    </xf>
    <xf numFmtId="0" fontId="51" fillId="27" borderId="3" xfId="8" applyFont="1" applyFill="1" applyBorder="1" applyAlignment="1">
      <alignment horizontal="center" vertical="center" wrapText="1"/>
    </xf>
    <xf numFmtId="0" fontId="51" fillId="27" borderId="5" xfId="8" applyFont="1" applyFill="1" applyBorder="1" applyAlignment="1">
      <alignment horizontal="center" vertical="center" wrapText="1"/>
    </xf>
    <xf numFmtId="4" fontId="32" fillId="0" borderId="8" xfId="35" applyNumberFormat="1" applyFont="1" applyBorder="1" applyAlignment="1">
      <alignment horizontal="center" vertical="top" wrapText="1"/>
    </xf>
    <xf numFmtId="4" fontId="32" fillId="0" borderId="9" xfId="35" applyNumberFormat="1" applyFont="1" applyBorder="1" applyAlignment="1">
      <alignment horizontal="center" vertical="top" wrapText="1"/>
    </xf>
    <xf numFmtId="4" fontId="32" fillId="0" borderId="10" xfId="35" applyNumberFormat="1" applyFont="1" applyBorder="1" applyAlignment="1">
      <alignment horizontal="center" vertical="top" wrapText="1"/>
    </xf>
    <xf numFmtId="0" fontId="32" fillId="2" borderId="8" xfId="35" applyNumberFormat="1" applyFont="1" applyFill="1" applyBorder="1" applyAlignment="1">
      <alignment horizontal="center" vertical="top" wrapText="1"/>
    </xf>
    <xf numFmtId="0" fontId="32" fillId="2" borderId="9" xfId="35" applyNumberFormat="1" applyFont="1" applyFill="1" applyBorder="1" applyAlignment="1">
      <alignment horizontal="center" vertical="top" wrapText="1"/>
    </xf>
    <xf numFmtId="0" fontId="32" fillId="2" borderId="10" xfId="35" applyNumberFormat="1" applyFont="1" applyFill="1" applyBorder="1" applyAlignment="1">
      <alignment horizontal="center" vertical="top" wrapText="1"/>
    </xf>
    <xf numFmtId="3" fontId="41" fillId="2" borderId="8" xfId="35" applyNumberFormat="1" applyFont="1" applyFill="1" applyBorder="1" applyAlignment="1">
      <alignment horizontal="center" vertical="top" wrapText="1"/>
    </xf>
    <xf numFmtId="3" fontId="41" fillId="2" borderId="9" xfId="35" applyNumberFormat="1" applyFont="1" applyFill="1" applyBorder="1" applyAlignment="1">
      <alignment horizontal="center" vertical="top" wrapText="1"/>
    </xf>
    <xf numFmtId="3" fontId="41" fillId="2" borderId="10" xfId="35" applyNumberFormat="1" applyFont="1" applyFill="1" applyBorder="1" applyAlignment="1">
      <alignment horizontal="center" vertical="top" wrapText="1"/>
    </xf>
    <xf numFmtId="3" fontId="41" fillId="2" borderId="8" xfId="35" applyNumberFormat="1" applyFont="1" applyFill="1" applyBorder="1" applyAlignment="1">
      <alignment horizontal="center" vertical="center" wrapText="1"/>
    </xf>
    <xf numFmtId="3" fontId="41" fillId="2" borderId="9" xfId="35" applyNumberFormat="1" applyFont="1" applyFill="1" applyBorder="1" applyAlignment="1">
      <alignment horizontal="center" vertical="center" wrapText="1"/>
    </xf>
    <xf numFmtId="3" fontId="41" fillId="2" borderId="10" xfId="35" applyNumberFormat="1" applyFont="1" applyFill="1" applyBorder="1" applyAlignment="1">
      <alignment horizontal="center" vertical="center" wrapText="1"/>
    </xf>
    <xf numFmtId="4" fontId="28" fillId="0" borderId="7" xfId="35" applyNumberFormat="1" applyFont="1" applyFill="1" applyBorder="1" applyAlignment="1">
      <alignment horizontal="right" vertical="center" wrapText="1"/>
    </xf>
    <xf numFmtId="169" fontId="28" fillId="0" borderId="11" xfId="35" applyNumberFormat="1" applyFont="1" applyFill="1" applyBorder="1" applyAlignment="1">
      <alignment horizontal="center" vertical="top" wrapText="1"/>
    </xf>
    <xf numFmtId="169" fontId="28" fillId="0" borderId="13" xfId="35" applyNumberFormat="1" applyFont="1" applyFill="1" applyBorder="1" applyAlignment="1">
      <alignment horizontal="center" vertical="top" wrapText="1"/>
    </xf>
    <xf numFmtId="169" fontId="28" fillId="0" borderId="15" xfId="35" applyNumberFormat="1" applyFont="1" applyFill="1" applyBorder="1" applyAlignment="1">
      <alignment horizontal="center" vertical="top" wrapText="1"/>
    </xf>
    <xf numFmtId="4" fontId="28" fillId="0" borderId="11" xfId="35" applyNumberFormat="1" applyFont="1" applyFill="1" applyBorder="1" applyAlignment="1">
      <alignment horizontal="right" vertical="center" wrapText="1"/>
    </xf>
    <xf numFmtId="4" fontId="28" fillId="0" borderId="13" xfId="35" applyNumberFormat="1" applyFont="1" applyFill="1" applyBorder="1" applyAlignment="1">
      <alignment horizontal="right" vertical="center" wrapText="1"/>
    </xf>
    <xf numFmtId="4" fontId="28" fillId="0" borderId="15" xfId="35" applyNumberFormat="1" applyFont="1" applyFill="1" applyBorder="1" applyAlignment="1">
      <alignment horizontal="right" vertical="center" wrapText="1"/>
    </xf>
    <xf numFmtId="169" fontId="28" fillId="0" borderId="11" xfId="35" applyNumberFormat="1" applyFont="1" applyFill="1" applyBorder="1" applyAlignment="1">
      <alignment horizontal="right" vertical="center" wrapText="1"/>
    </xf>
    <xf numFmtId="169" fontId="28" fillId="0" borderId="13" xfId="35" applyNumberFormat="1" applyFont="1" applyFill="1" applyBorder="1" applyAlignment="1">
      <alignment horizontal="right" vertical="center" wrapText="1"/>
    </xf>
    <xf numFmtId="169" fontId="28" fillId="0" borderId="15" xfId="35" applyNumberFormat="1" applyFont="1" applyFill="1" applyBorder="1" applyAlignment="1">
      <alignment horizontal="right" vertical="center" wrapText="1"/>
    </xf>
    <xf numFmtId="0" fontId="28" fillId="0" borderId="11" xfId="35" applyFont="1" applyFill="1" applyBorder="1" applyAlignment="1">
      <alignment horizontal="center"/>
    </xf>
    <xf numFmtId="0" fontId="28" fillId="0" borderId="13" xfId="35" applyFont="1" applyFill="1" applyBorder="1" applyAlignment="1">
      <alignment horizontal="center"/>
    </xf>
    <xf numFmtId="0" fontId="28" fillId="0" borderId="15" xfId="35" applyFont="1" applyFill="1" applyBorder="1" applyAlignment="1">
      <alignment horizontal="center"/>
    </xf>
    <xf numFmtId="0" fontId="28" fillId="0" borderId="7" xfId="35" applyFont="1" applyFill="1" applyBorder="1" applyAlignment="1">
      <alignment horizontal="center"/>
    </xf>
    <xf numFmtId="3" fontId="30" fillId="0" borderId="7" xfId="35" applyNumberFormat="1" applyFont="1" applyFill="1" applyBorder="1" applyAlignment="1">
      <alignment horizontal="center" vertical="top" wrapText="1"/>
    </xf>
    <xf numFmtId="0" fontId="32" fillId="0" borderId="8" xfId="35" applyFont="1" applyFill="1" applyBorder="1" applyAlignment="1">
      <alignment horizontal="center" vertical="center"/>
    </xf>
    <xf numFmtId="0" fontId="32" fillId="0" borderId="10" xfId="35" applyFont="1" applyFill="1" applyBorder="1" applyAlignment="1">
      <alignment horizontal="center" vertical="center"/>
    </xf>
    <xf numFmtId="0" fontId="32" fillId="0" borderId="7" xfId="35" applyFont="1" applyFill="1" applyBorder="1" applyAlignment="1">
      <alignment horizontal="center" vertical="center"/>
    </xf>
    <xf numFmtId="3" fontId="41" fillId="2" borderId="12" xfId="35" applyNumberFormat="1" applyFont="1" applyFill="1" applyBorder="1" applyAlignment="1">
      <alignment horizontal="center" vertical="top" wrapText="1"/>
    </xf>
    <xf numFmtId="3" fontId="41" fillId="2" borderId="2" xfId="35" applyNumberFormat="1" applyFont="1" applyFill="1" applyBorder="1" applyAlignment="1">
      <alignment horizontal="center" vertical="top" wrapText="1"/>
    </xf>
    <xf numFmtId="0" fontId="72" fillId="0" borderId="2" xfId="107" applyBorder="1" applyAlignment="1"/>
    <xf numFmtId="0" fontId="32" fillId="2" borderId="16" xfId="35" applyNumberFormat="1" applyFont="1" applyFill="1" applyBorder="1" applyAlignment="1">
      <alignment horizontal="center" vertical="top" wrapText="1"/>
    </xf>
    <xf numFmtId="0" fontId="32" fillId="2" borderId="1" xfId="35" applyNumberFormat="1" applyFont="1" applyFill="1" applyBorder="1" applyAlignment="1">
      <alignment horizontal="center" vertical="top" wrapText="1"/>
    </xf>
    <xf numFmtId="0" fontId="72" fillId="0" borderId="1" xfId="107" applyBorder="1" applyAlignment="1"/>
    <xf numFmtId="0" fontId="32" fillId="0" borderId="7" xfId="35" applyFont="1" applyFill="1" applyBorder="1" applyAlignment="1">
      <alignment horizontal="center"/>
    </xf>
    <xf numFmtId="169" fontId="32" fillId="0" borderId="8" xfId="35" applyNumberFormat="1" applyFont="1" applyFill="1" applyBorder="1" applyAlignment="1">
      <alignment horizontal="center" vertical="top" wrapText="1"/>
    </xf>
    <xf numFmtId="169" fontId="32" fillId="0" borderId="9" xfId="35" applyNumberFormat="1" applyFont="1" applyFill="1" applyBorder="1" applyAlignment="1">
      <alignment horizontal="center" vertical="top" wrapText="1"/>
    </xf>
    <xf numFmtId="169" fontId="32" fillId="0" borderId="10" xfId="35" applyNumberFormat="1" applyFont="1" applyFill="1" applyBorder="1" applyAlignment="1">
      <alignment horizontal="center" vertical="top" wrapText="1"/>
    </xf>
    <xf numFmtId="169" fontId="32" fillId="0" borderId="7" xfId="35" applyNumberFormat="1" applyFont="1" applyFill="1" applyBorder="1" applyAlignment="1">
      <alignment horizontal="center" vertical="top" wrapText="1"/>
    </xf>
    <xf numFmtId="0" fontId="30" fillId="0" borderId="0" xfId="35" applyNumberFormat="1" applyFont="1" applyBorder="1" applyAlignment="1">
      <alignment horizontal="center" vertical="center" wrapText="1"/>
    </xf>
    <xf numFmtId="0" fontId="32" fillId="0" borderId="11" xfId="35" applyFont="1" applyBorder="1" applyAlignment="1">
      <alignment horizontal="center" vertical="center"/>
    </xf>
    <xf numFmtId="0" fontId="32" fillId="0" borderId="13" xfId="35" applyFont="1" applyBorder="1" applyAlignment="1">
      <alignment horizontal="center" vertical="center"/>
    </xf>
    <xf numFmtId="0" fontId="32" fillId="0" borderId="15" xfId="35" applyFont="1" applyBorder="1" applyAlignment="1">
      <alignment horizontal="center" vertical="center"/>
    </xf>
    <xf numFmtId="0" fontId="32" fillId="0" borderId="12" xfId="35" applyNumberFormat="1" applyFont="1" applyBorder="1" applyAlignment="1">
      <alignment horizontal="center" vertical="center" wrapText="1"/>
    </xf>
    <xf numFmtId="0" fontId="32" fillId="0" borderId="14" xfId="35" applyNumberFormat="1" applyFont="1" applyBorder="1" applyAlignment="1">
      <alignment horizontal="center" vertical="center" wrapText="1"/>
    </xf>
    <xf numFmtId="0" fontId="32" fillId="0" borderId="16" xfId="35" applyNumberFormat="1" applyFont="1" applyBorder="1" applyAlignment="1">
      <alignment horizontal="center" vertical="center" wrapText="1"/>
    </xf>
    <xf numFmtId="3" fontId="30" fillId="0" borderId="8" xfId="35" applyNumberFormat="1" applyFont="1" applyFill="1" applyBorder="1" applyAlignment="1">
      <alignment horizontal="center" vertical="top" wrapText="1"/>
    </xf>
    <xf numFmtId="3" fontId="30" fillId="0" borderId="10" xfId="35" applyNumberFormat="1" applyFont="1" applyFill="1" applyBorder="1" applyAlignment="1">
      <alignment horizontal="center" vertical="top" wrapText="1"/>
    </xf>
    <xf numFmtId="0" fontId="7" fillId="0" borderId="7" xfId="0" applyFont="1" applyFill="1" applyBorder="1" applyAlignment="1">
      <alignment horizontal="center" vertical="center" wrapText="1"/>
    </xf>
    <xf numFmtId="0" fontId="28" fillId="0" borderId="7" xfId="0" applyFont="1" applyFill="1" applyBorder="1" applyAlignment="1">
      <alignment horizontal="center" vertical="center" wrapText="1"/>
    </xf>
    <xf numFmtId="0" fontId="0" fillId="0" borderId="7" xfId="0" applyFill="1" applyBorder="1" applyAlignment="1">
      <alignment horizontal="center" vertical="center" wrapText="1"/>
    </xf>
    <xf numFmtId="0" fontId="36" fillId="0" borderId="7" xfId="0" applyFont="1" applyFill="1" applyBorder="1" applyAlignment="1">
      <alignment horizontal="center" vertical="center" wrapText="1"/>
    </xf>
    <xf numFmtId="0" fontId="28" fillId="0" borderId="7" xfId="0" applyFont="1" applyBorder="1" applyAlignment="1">
      <alignment horizontal="center" vertical="top" wrapText="1"/>
    </xf>
    <xf numFmtId="0" fontId="28" fillId="0" borderId="7" xfId="0" applyFont="1" applyBorder="1" applyAlignment="1">
      <alignment horizontal="center" vertical="center" wrapText="1"/>
    </xf>
    <xf numFmtId="0" fontId="73" fillId="31" borderId="0" xfId="0" applyFont="1" applyFill="1" applyBorder="1" applyAlignment="1">
      <alignment horizontal="center" wrapText="1"/>
    </xf>
    <xf numFmtId="0" fontId="73" fillId="31" borderId="1" xfId="0" applyFont="1" applyFill="1" applyBorder="1" applyAlignment="1">
      <alignment horizontal="center" wrapText="1"/>
    </xf>
    <xf numFmtId="0" fontId="73" fillId="31" borderId="3" xfId="0" applyFont="1" applyFill="1" applyBorder="1" applyAlignment="1">
      <alignment horizontal="center" wrapText="1"/>
    </xf>
    <xf numFmtId="0" fontId="0" fillId="0" borderId="11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26" fillId="0" borderId="11" xfId="0" applyFont="1" applyFill="1" applyBorder="1" applyAlignment="1">
      <alignment vertical="center" wrapText="1"/>
    </xf>
    <xf numFmtId="0" fontId="26" fillId="0" borderId="15" xfId="0" applyFont="1" applyFill="1" applyBorder="1" applyAlignment="1">
      <alignment vertical="center" wrapText="1"/>
    </xf>
    <xf numFmtId="0" fontId="26" fillId="0" borderId="11" xfId="0" applyFont="1" applyFill="1" applyBorder="1" applyAlignment="1">
      <alignment horizontal="left" vertical="center" wrapText="1"/>
    </xf>
    <xf numFmtId="0" fontId="26" fillId="0" borderId="15" xfId="0" applyFont="1" applyFill="1" applyBorder="1" applyAlignment="1">
      <alignment horizontal="left" vertical="center" wrapText="1"/>
    </xf>
    <xf numFmtId="0" fontId="26" fillId="0" borderId="12" xfId="0" applyFont="1" applyFill="1" applyBorder="1" applyAlignment="1">
      <alignment horizontal="left" vertical="center" wrapText="1"/>
    </xf>
    <xf numFmtId="0" fontId="26" fillId="0" borderId="14" xfId="0" applyFont="1" applyFill="1" applyBorder="1" applyAlignment="1">
      <alignment horizontal="left" vertical="center" wrapText="1"/>
    </xf>
    <xf numFmtId="0" fontId="26" fillId="0" borderId="16" xfId="0" applyFont="1" applyFill="1" applyBorder="1" applyAlignment="1">
      <alignment horizontal="left" vertical="center" wrapText="1"/>
    </xf>
    <xf numFmtId="0" fontId="26" fillId="0" borderId="6" xfId="0" applyFont="1" applyFill="1" applyBorder="1" applyAlignment="1">
      <alignment horizontal="center" vertical="center" wrapText="1"/>
    </xf>
    <xf numFmtId="0" fontId="31" fillId="0" borderId="7" xfId="0" applyFont="1" applyFill="1" applyBorder="1" applyAlignment="1">
      <alignment horizontal="left" vertical="center" wrapText="1"/>
    </xf>
    <xf numFmtId="0" fontId="26" fillId="7" borderId="45" xfId="0" applyFont="1" applyFill="1" applyBorder="1" applyAlignment="1">
      <alignment horizontal="center" vertical="center" wrapText="1"/>
    </xf>
    <xf numFmtId="0" fontId="26" fillId="7" borderId="2" xfId="0" applyFont="1" applyFill="1" applyBorder="1" applyAlignment="1">
      <alignment horizontal="center" vertical="center" wrapText="1"/>
    </xf>
    <xf numFmtId="0" fontId="26" fillId="3" borderId="42" xfId="0" applyFont="1" applyFill="1" applyBorder="1" applyAlignment="1">
      <alignment horizontal="center" vertical="center" wrapText="1"/>
    </xf>
    <xf numFmtId="0" fontId="26" fillId="6" borderId="45" xfId="0" applyFont="1" applyFill="1" applyBorder="1" applyAlignment="1">
      <alignment horizontal="center" vertical="center" wrapText="1"/>
    </xf>
    <xf numFmtId="0" fontId="26" fillId="6" borderId="21" xfId="0" applyFont="1" applyFill="1" applyBorder="1" applyAlignment="1">
      <alignment horizontal="center" vertical="center" wrapText="1"/>
    </xf>
    <xf numFmtId="0" fontId="26" fillId="8" borderId="17" xfId="0" applyFont="1" applyFill="1" applyBorder="1" applyAlignment="1">
      <alignment horizontal="center" vertical="center" wrapText="1"/>
    </xf>
    <xf numFmtId="0" fontId="26" fillId="8" borderId="11" xfId="0" applyFont="1" applyFill="1" applyBorder="1" applyAlignment="1">
      <alignment horizontal="center" vertical="center" wrapText="1"/>
    </xf>
    <xf numFmtId="0" fontId="26" fillId="8" borderId="7" xfId="0" applyFont="1" applyFill="1" applyBorder="1" applyAlignment="1">
      <alignment horizontal="center" vertical="center" wrapText="1"/>
    </xf>
    <xf numFmtId="0" fontId="26" fillId="3" borderId="37" xfId="0" applyFont="1" applyFill="1" applyBorder="1" applyAlignment="1">
      <alignment horizontal="center" vertical="center" wrapText="1"/>
    </xf>
    <xf numFmtId="0" fontId="31" fillId="0" borderId="48" xfId="0" applyFont="1" applyFill="1" applyBorder="1" applyAlignment="1">
      <alignment horizontal="left" vertical="center" wrapText="1"/>
    </xf>
    <xf numFmtId="0" fontId="31" fillId="0" borderId="44" xfId="0" applyFont="1" applyFill="1" applyBorder="1" applyAlignment="1">
      <alignment horizontal="left" vertical="center" wrapText="1"/>
    </xf>
    <xf numFmtId="169" fontId="28" fillId="0" borderId="7" xfId="35" applyNumberFormat="1" applyFont="1" applyFill="1" applyBorder="1" applyAlignment="1">
      <alignment horizontal="right" vertical="center" wrapText="1"/>
    </xf>
  </cellXfs>
  <cellStyles count="109">
    <cellStyle name="20% — акцент1" xfId="86"/>
    <cellStyle name="20% — акцент2" xfId="87"/>
    <cellStyle name="20% — акцент3" xfId="88"/>
    <cellStyle name="20% — акцент4" xfId="89"/>
    <cellStyle name="20% — акцент5" xfId="90"/>
    <cellStyle name="20% — акцент6" xfId="91"/>
    <cellStyle name="40% — акцент1" xfId="92"/>
    <cellStyle name="40% — акцент2" xfId="93"/>
    <cellStyle name="40% — акцент3" xfId="94"/>
    <cellStyle name="40% — акцент4" xfId="95"/>
    <cellStyle name="40% — акцент5" xfId="96"/>
    <cellStyle name="40% — акцент6" xfId="97"/>
    <cellStyle name="60% — акцент1" xfId="98"/>
    <cellStyle name="60% — акцент2" xfId="99"/>
    <cellStyle name="60% — акцент3" xfId="100"/>
    <cellStyle name="60% — акцент4" xfId="101"/>
    <cellStyle name="60% — акцент5" xfId="102"/>
    <cellStyle name="60% — акцент6" xfId="103"/>
    <cellStyle name="Excel Built-in Normal" xfId="2"/>
    <cellStyle name="Денежный 2" xfId="3"/>
    <cellStyle name="Обычный" xfId="0" builtinId="0"/>
    <cellStyle name="Обычный 10" xfId="4"/>
    <cellStyle name="Обычный 11" xfId="5"/>
    <cellStyle name="Обычный 12" xfId="6"/>
    <cellStyle name="Обычный 12 2" xfId="7"/>
    <cellStyle name="Обычный 13" xfId="8"/>
    <cellStyle name="Обычный 14" xfId="9"/>
    <cellStyle name="Обычный 15" xfId="10"/>
    <cellStyle name="Обычный 16" xfId="11"/>
    <cellStyle name="Обычный 17" xfId="12"/>
    <cellStyle name="Обычный 18" xfId="13"/>
    <cellStyle name="Обычный 19" xfId="82"/>
    <cellStyle name="Обычный 2" xfId="1"/>
    <cellStyle name="Обычный 2 2" xfId="14"/>
    <cellStyle name="Обычный 2 2 2" xfId="15"/>
    <cellStyle name="Обычный 2 2 2 2" xfId="16"/>
    <cellStyle name="Обычный 2 2 3" xfId="17"/>
    <cellStyle name="Обычный 2 2 3 2" xfId="18"/>
    <cellStyle name="Обычный 2 2 4" xfId="19"/>
    <cellStyle name="Обычный 2 2 5" xfId="20"/>
    <cellStyle name="Обычный 2 3" xfId="21"/>
    <cellStyle name="Обычный 2 3 2" xfId="22"/>
    <cellStyle name="Обычный 2 4" xfId="23"/>
    <cellStyle name="Обычный 20" xfId="104"/>
    <cellStyle name="Обычный 21" xfId="105"/>
    <cellStyle name="Обычный 22" xfId="107"/>
    <cellStyle name="Обычный 3" xfId="24"/>
    <cellStyle name="Обычный 3 2" xfId="25"/>
    <cellStyle name="Обычный 4" xfId="26"/>
    <cellStyle name="Обычный 4 2" xfId="27"/>
    <cellStyle name="Обычный 4 3" xfId="28"/>
    <cellStyle name="Обычный 4 3 2" xfId="29"/>
    <cellStyle name="Обычный 4 3 3" xfId="83"/>
    <cellStyle name="Обычный 4 4" xfId="30"/>
    <cellStyle name="Обычный 4 4 2" xfId="31"/>
    <cellStyle name="Обычный 4 5" xfId="84"/>
    <cellStyle name="Обычный 5" xfId="32"/>
    <cellStyle name="Обычный 5 2" xfId="33"/>
    <cellStyle name="Обычный 5 2 2" xfId="34"/>
    <cellStyle name="Обычный 5 2 3" xfId="35"/>
    <cellStyle name="Обычный 5 2 3 2" xfId="36"/>
    <cellStyle name="Обычный 5 3" xfId="37"/>
    <cellStyle name="Обычный 5 4" xfId="38"/>
    <cellStyle name="Обычный 6" xfId="39"/>
    <cellStyle name="Обычный 6 2" xfId="40"/>
    <cellStyle name="Обычный 7" xfId="41"/>
    <cellStyle name="Обычный 7 2" xfId="42"/>
    <cellStyle name="Обычный 8" xfId="43"/>
    <cellStyle name="Обычный 9" xfId="44"/>
    <cellStyle name="Обычный 9 2" xfId="45"/>
    <cellStyle name="Процентный 2" xfId="46"/>
    <cellStyle name="Процентный 2 2" xfId="47"/>
    <cellStyle name="Процентный 2 3" xfId="48"/>
    <cellStyle name="Процентный 3" xfId="49"/>
    <cellStyle name="Процентный 3 2" xfId="50"/>
    <cellStyle name="Процентный 3 2 2" xfId="51"/>
    <cellStyle name="Процентный 3 3" xfId="52"/>
    <cellStyle name="Процентный 4" xfId="53"/>
    <cellStyle name="Процентный 5" xfId="54"/>
    <cellStyle name="Процентный 5 2" xfId="55"/>
    <cellStyle name="Процентный 6" xfId="56"/>
    <cellStyle name="Процентный 7" xfId="106"/>
    <cellStyle name="Финансовый 10" xfId="57"/>
    <cellStyle name="Финансовый 10 2" xfId="58"/>
    <cellStyle name="Финансовый 11" xfId="59"/>
    <cellStyle name="Финансовый 12" xfId="60"/>
    <cellStyle name="Финансовый 13" xfId="61"/>
    <cellStyle name="Финансовый 13 2" xfId="62"/>
    <cellStyle name="Финансовый 14" xfId="63"/>
    <cellStyle name="Финансовый 15" xfId="64"/>
    <cellStyle name="Финансовый 16" xfId="65"/>
    <cellStyle name="Финансовый 17" xfId="66"/>
    <cellStyle name="Финансовый 18" xfId="85"/>
    <cellStyle name="Финансовый 19" xfId="108"/>
    <cellStyle name="Финансовый 2" xfId="67"/>
    <cellStyle name="Финансовый 2 2" xfId="68"/>
    <cellStyle name="Финансовый 2 3" xfId="69"/>
    <cellStyle name="Финансовый 2 4" xfId="70"/>
    <cellStyle name="Финансовый 2 4 2" xfId="71"/>
    <cellStyle name="Финансовый 3" xfId="72"/>
    <cellStyle name="Финансовый 3 2" xfId="73"/>
    <cellStyle name="Финансовый 4" xfId="74"/>
    <cellStyle name="Финансовый 5" xfId="75"/>
    <cellStyle name="Финансовый 6" xfId="76"/>
    <cellStyle name="Финансовый 6 2" xfId="77"/>
    <cellStyle name="Финансовый 7" xfId="78"/>
    <cellStyle name="Финансовый 8" xfId="79"/>
    <cellStyle name="Финансовый 8 2" xfId="80"/>
    <cellStyle name="Финансовый 9" xfId="81"/>
  </cellStyles>
  <dxfs count="0"/>
  <tableStyles count="0" defaultTableStyle="TableStyleMedium9" defaultPivotStyle="PivotStyleLight16"/>
  <colors>
    <mruColors>
      <color rgb="FFCCECFF"/>
      <color rgb="FFFFCCFF"/>
      <color rgb="FFCCFFCC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externalLink" Target="externalLinks/externalLink5.xml"/><Relationship Id="rId47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externalLink" Target="externalLinks/externalLink1.xml"/><Relationship Id="rId46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externalLink" Target="externalLinks/externalLink3.xml"/><Relationship Id="rId45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externalLink" Target="externalLinks/externalLink7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externalLink" Target="externalLinks/externalLink6.xml"/><Relationship Id="rId48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ok\public\Users\Mashkovceva\Downloads\&#1085;&#1086;&#1088;&#1084;&#1072;&#1090;&#1080;&#1074;&#1099;%20&#1085;&#1072;%202018&#1075;.%2019.07.2016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ok\public\&#1043;&#1083;&#1072;&#1074;&#1085;&#1099;&#1081;%20&#1073;&#1091;&#1093;&#1075;&#1072;&#1083;&#1090;&#1077;&#1088;\&#1041;&#1091;&#1093;&#1075;&#1072;&#1083;&#1090;&#1077;&#1088;&#1080;&#1103;\&#1045;&#1046;&#1045;&#1044;&#1053;.&#1054;&#1058;&#1063;&#1045;&#1058;%202018\20486&#1061;76450%20(&#1089;&#1091;&#1073;&#1089;&#1080;&#1076;&#1080;&#1080;)%2030%20&#1053;&#1054;&#1071;&#1041;&#1056;&#1068;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&#1059;&#1087;&#1088;&#1072;&#1074;&#1083;&#1077;&#1085;&#1080;&#1077;%20&#1101;&#1082;&#1086;&#1085;&#1086;&#1084;&#1080;&#1082;&#1080;%20&#1080;%20&#1092;&#1080;&#1085;&#1072;&#1085;&#1089;&#1086;&#1074;\2019%20&#1075;&#1086;&#1076;\&#1055;&#1060;&#1061;&#1044;\&#1055;&#1060;&#1061;&#1044;%2088%20&#1084;&#1083;&#1085;%20&#1089;&#1077;&#1085;&#1090;\&#1072;&#1085;&#1072;&#1083;&#1080;&#1079;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&#1059;&#1087;&#1088;&#1072;&#1074;&#1083;&#1077;&#1085;&#1080;&#1077;%20&#1101;&#1082;&#1086;&#1085;&#1086;&#1084;&#1080;&#1082;&#1080;%20&#1080;%20&#1092;&#1080;&#1085;&#1072;&#1085;&#1089;&#1086;&#1074;\2018%20&#1075;&#1086;&#1076;\&#1055;&#1051;&#1040;&#1053;-&#1060;&#1040;&#1050;&#1058;%202018\&#1041;&#1044;&#1044;&#1057;%202018%20&#1075;&#1086;&#1076;\&#1057;&#1072;&#1085;&#1082;&#1094;&#1080;&#1086;&#1085;&#1080;&#1088;&#1086;&#1074;&#1072;&#1085;&#1080;&#1077;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&#1059;&#1087;&#1088;&#1072;&#1074;&#1083;&#1077;&#1085;&#1080;&#1077;%20&#1101;&#1082;&#1086;&#1085;&#1086;&#1084;&#1080;&#1082;&#1080;%20&#1080;%20&#1092;&#1080;&#1085;&#1072;&#1085;&#1089;&#1086;&#1074;\2018%20&#1075;&#1086;&#1076;\&#1070;&#1078;&#1085;&#1099;&#1081;\&#1053;&#1086;&#1088;&#1084;&#1072;&#1090;&#1080;&#1074;&#1085;&#1099;&#1077;%20&#1079;&#1072;&#1090;&#1088;&#1072;&#1090;&#1099;%20&#1092;&#1080;&#1083;&#1080;&#1072;&#1083;%20&#1070;&#1078;&#1085;&#1099;&#1081;%2014%20000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9;&#1087;&#1088;&#1072;&#1074;&#1083;&#1077;&#1085;&#1080;&#1077;%20&#1101;&#1082;&#1086;&#1085;&#1086;&#1084;&#1080;&#1082;&#1080;%20&#1080;%20&#1092;&#1080;&#1085;&#1072;&#1085;&#1089;&#1086;&#1074;/2017%20&#1075;&#1086;&#1076;/&#1055;&#1060;&#1061;&#1044;%202017/&#1048;&#1079;&#1084;&#1077;&#1085;&#1077;&#1085;&#1080;&#1103;%20&#1074;%20&#1055;&#1060;&#1061;&#1044;%2009.03.17/&#1042;%20&#1052;&#1060;/&#1048;&#1079;&#1084;&#1077;&#1085;&#1077;&#1085;&#1080;&#1103;%20&#1086;&#1090;%2028.04.17/&#1055;&#1060;&#1061;&#1044;%202017%20&#1075;.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ok\public\&#1059;&#1087;&#1088;&#1072;&#1074;&#1083;&#1077;&#1085;&#1080;&#1077;%20&#1101;&#1082;&#1086;&#1085;&#1086;&#1084;&#1080;&#1082;&#1080;%20&#1080;%20&#1092;&#1080;&#1085;&#1072;&#1085;&#1089;&#1086;&#1074;\2017%20&#1075;&#1086;&#1076;\&#1055;&#1060;&#1061;&#1044;%202017\&#1048;&#1079;&#1084;&#1077;&#1085;&#1077;&#1085;&#1080;&#1103;%20&#1074;%20&#1055;&#1060;&#1061;&#1044;%2009.03.17\&#1042;%20&#1052;&#1060;\&#1048;&#1079;&#1084;&#1077;&#1085;&#1077;&#1085;&#1080;&#1103;%20&#1086;&#1090;%2028.04.17\&#1055;&#1060;&#1061;&#1044;%202017%20&#1075;.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иложение 74"/>
      <sheetName val="Свод-1"/>
      <sheetName val="норматив 2018 (35%) 39074"/>
      <sheetName val="норматив 2018 по утв НЗ"/>
      <sheetName val="норматив 2018 (3)"/>
      <sheetName val="норматив 2018 (4)"/>
      <sheetName val="норматив 2018 (35%) 39074 (2)"/>
      <sheetName val="норматив 2018 (35%)"/>
      <sheetName val="норматив 2019(35%) (2)"/>
      <sheetName val="норматив 2018 (30,2%)"/>
      <sheetName val="норматив 2018"/>
      <sheetName val="норматив 2017 (2)"/>
      <sheetName val="норматив 2018 (30,2%) 39074"/>
      <sheetName val="норматив 2018 (2)"/>
      <sheetName val=" норматив  2019 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екабрь"/>
      <sheetName val="январь 17"/>
      <sheetName val="февраль 17"/>
      <sheetName val="март 17"/>
      <sheetName val="апрель 17"/>
      <sheetName val="май 17"/>
      <sheetName val="июнь 2017"/>
      <sheetName val="июль 2017"/>
      <sheetName val="август 2017"/>
      <sheetName val="сентябрь 2017"/>
      <sheetName val="октябрь 2017"/>
      <sheetName val="ноябрь 2017"/>
      <sheetName val="декабрь 2017"/>
      <sheetName val="Январь 2018"/>
      <sheetName val="Февраль 2018"/>
      <sheetName val="Март 2018"/>
      <sheetName val="Апрель 2018"/>
      <sheetName val="май 2018"/>
      <sheetName val="июнь 2018"/>
      <sheetName val="июль 2018"/>
      <sheetName val="август 2018"/>
      <sheetName val="сентябрь 2018"/>
      <sheetName val="октябрь 2018"/>
      <sheetName val="ноябрь 2018"/>
      <sheetName val="декабрь 2018"/>
      <sheetName val="ЯНВАРЬ 2019"/>
      <sheetName val="Галант статус"/>
      <sheetName val="для Хлопова просрочка"/>
      <sheetName val="для Хлопова"/>
      <sheetName val="соглашение 201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>
        <row r="39">
          <cell r="M39">
            <v>21072590.979999892</v>
          </cell>
        </row>
      </sheetData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ул новый с дек."/>
      <sheetName val="перечень услуг"/>
      <sheetName val="показатели 1.4., 1.5."/>
      <sheetName val="3.  Таблица 1"/>
      <sheetName val="показатели II "/>
      <sheetName val="Часть 3"/>
      <sheetName val="Часть 4"/>
      <sheetName val="Часть 3 (2)"/>
      <sheetName val="6. Табл. 3,4"/>
      <sheetName val="Часть 4 (2)"/>
      <sheetName val="Часть 5"/>
      <sheetName val="Часть 6"/>
      <sheetName val="ПФХД 2019 с разбивкой "/>
      <sheetName val="ПФХД 2019 с разбивкой  (2)"/>
      <sheetName val="часть 3 вып южного"/>
      <sheetName val="ПФХД 2019 с разбивкой  (4)"/>
      <sheetName val="НЗ на ГЗ база 55150"/>
      <sheetName val="НЗ на ГЗ база 39074"/>
      <sheetName val="ПФХД 2019 с разб 9 мес"/>
      <sheetName val="ПФХД 2019 с разб 9 мес (2)"/>
      <sheetName val="ПФХД 2019 с разбивк55150 под со"/>
      <sheetName val="НЗ на ГЗ база 55150 (2)"/>
      <sheetName val="пояснительная "/>
      <sheetName val="Лист2"/>
      <sheetName val="анализ"/>
      <sheetName val="НЗ на ГЗ база 55150 финал)"/>
      <sheetName val="ПФХД 2019 с разбивкой  (3)"/>
      <sheetName val="Лист1"/>
      <sheetName val="пояснительная"/>
      <sheetName val="пояснительная (2)"/>
      <sheetName val="выписка Южный"/>
      <sheetName val="Санкционирование"/>
      <sheetName val="Лист2 (2)"/>
      <sheetName val="расчет норматив"/>
      <sheetName val="Доходы Проживание (2)"/>
      <sheetName val="НЗ на ГЗ база с деньгами Минздр"/>
      <sheetName val="СВОД ОСТАТКОВ 2018"/>
      <sheetName val="Часть 3 2019"/>
      <sheetName val="Часть 3 2020"/>
      <sheetName val="ПФХД с разбивкой  (2)"/>
      <sheetName val="НЗ на ГЗ с дорожкой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11">
          <cell r="E11">
            <v>2885172104.5799999</v>
          </cell>
          <cell r="F11">
            <v>1004999999.9999998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22">
          <cell r="AV22">
            <v>21072590.979999997</v>
          </cell>
        </row>
        <row r="25">
          <cell r="AV25">
            <v>12712935.3365745</v>
          </cell>
        </row>
        <row r="26">
          <cell r="AV26">
            <v>4311035.7434254978</v>
          </cell>
        </row>
        <row r="27">
          <cell r="AV27">
            <v>79091.530000000028</v>
          </cell>
        </row>
        <row r="37">
          <cell r="AV37">
            <v>1075176.6200000001</v>
          </cell>
        </row>
        <row r="38">
          <cell r="AV38">
            <v>209267.46000000002</v>
          </cell>
        </row>
        <row r="39">
          <cell r="AV39">
            <v>101642.56999999999</v>
          </cell>
        </row>
        <row r="47">
          <cell r="AV47">
            <v>385393.10000000003</v>
          </cell>
        </row>
        <row r="48">
          <cell r="AV48">
            <v>385393</v>
          </cell>
        </row>
        <row r="49">
          <cell r="AV49">
            <v>804094.59999999963</v>
          </cell>
        </row>
        <row r="54">
          <cell r="AV54">
            <v>9226.5200000004843</v>
          </cell>
        </row>
        <row r="58">
          <cell r="AV58">
            <v>213871.7200000002</v>
          </cell>
        </row>
        <row r="60">
          <cell r="AV60">
            <v>1034</v>
          </cell>
        </row>
        <row r="62">
          <cell r="AV62">
            <v>73247.479999999981</v>
          </cell>
        </row>
        <row r="65">
          <cell r="AV65">
            <v>1096574.299999997</v>
          </cell>
        </row>
      </sheetData>
      <sheetData sheetId="32">
        <row r="13">
          <cell r="F13">
            <v>3811205.169999999</v>
          </cell>
        </row>
      </sheetData>
      <sheetData sheetId="33">
        <row r="6">
          <cell r="Z6">
            <v>68563030.892986074</v>
          </cell>
          <cell r="AA6">
            <v>45080469.103314735</v>
          </cell>
        </row>
        <row r="8">
          <cell r="AC8">
            <v>170782400.0047738</v>
          </cell>
        </row>
        <row r="10">
          <cell r="AC10">
            <v>130723623.19</v>
          </cell>
        </row>
        <row r="11">
          <cell r="AC11">
            <v>39613200</v>
          </cell>
        </row>
        <row r="12">
          <cell r="AC12">
            <v>445576.81477379624</v>
          </cell>
        </row>
        <row r="32">
          <cell r="J32">
            <v>218669599.31117821</v>
          </cell>
        </row>
      </sheetData>
      <sheetData sheetId="34"/>
      <sheetData sheetId="35"/>
      <sheetData sheetId="36"/>
      <sheetData sheetId="37"/>
      <sheetData sheetId="38"/>
      <sheetData sheetId="39"/>
      <sheetData sheetId="40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DSheet"/>
      <sheetName val="бюджет"/>
      <sheetName val="Лист2"/>
      <sheetName val="Лист2 (2)"/>
    </sheetNames>
    <sheetDataSet>
      <sheetData sheetId="0"/>
      <sheetData sheetId="1">
        <row r="22">
          <cell r="L22">
            <v>54570040</v>
          </cell>
        </row>
        <row r="23">
          <cell r="L23">
            <v>16480143.460000001</v>
          </cell>
        </row>
        <row r="25">
          <cell r="H25">
            <v>387645.85</v>
          </cell>
        </row>
        <row r="43">
          <cell r="H43">
            <v>8030386.3200000003</v>
          </cell>
        </row>
        <row r="56">
          <cell r="H56">
            <v>5754113.2999999998</v>
          </cell>
        </row>
        <row r="181">
          <cell r="H181">
            <v>1954353.99</v>
          </cell>
        </row>
        <row r="286">
          <cell r="H286">
            <v>516742.56</v>
          </cell>
        </row>
        <row r="312">
          <cell r="H312">
            <v>17610049.41</v>
          </cell>
        </row>
      </sheetData>
      <sheetData sheetId="2"/>
      <sheetData sheetId="3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Южный "/>
      <sheetName val="Южный  (2)"/>
      <sheetName val="Лист2"/>
    </sheetNames>
    <sheetDataSet>
      <sheetData sheetId="0">
        <row r="6">
          <cell r="D6">
            <v>2906.4621005739136</v>
          </cell>
        </row>
        <row r="8">
          <cell r="D8">
            <v>1429.0514344308433</v>
          </cell>
        </row>
        <row r="10">
          <cell r="D10">
            <v>1088.8233211363306</v>
          </cell>
        </row>
        <row r="11">
          <cell r="D11">
            <v>328.824704</v>
          </cell>
        </row>
        <row r="12">
          <cell r="D12">
            <v>11.40340929451288</v>
          </cell>
        </row>
        <row r="13">
          <cell r="D13">
            <v>71.8733</v>
          </cell>
        </row>
        <row r="15">
          <cell r="D15">
            <v>71.8733</v>
          </cell>
        </row>
        <row r="18">
          <cell r="D18">
            <v>1405.5373661430704</v>
          </cell>
        </row>
        <row r="20">
          <cell r="D20">
            <v>12.70906272148456</v>
          </cell>
        </row>
        <row r="21">
          <cell r="D21">
            <v>154.03135498320268</v>
          </cell>
        </row>
        <row r="22">
          <cell r="D22">
            <v>131.14294867487868</v>
          </cell>
        </row>
        <row r="23">
          <cell r="D23">
            <v>92.808294285714297</v>
          </cell>
        </row>
        <row r="24">
          <cell r="D24">
            <v>1014.8457054777903</v>
          </cell>
        </row>
        <row r="26">
          <cell r="D26">
            <v>14.394319260918252</v>
          </cell>
        </row>
        <row r="27">
          <cell r="D27">
            <v>1000.4513862168719</v>
          </cell>
        </row>
      </sheetData>
      <sheetData sheetId="1"/>
      <sheetData sheetId="2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ул новый с дек."/>
      <sheetName val="перечень услуг"/>
      <sheetName val="показатели II на 09.03.17"/>
      <sheetName val="норматив 2017-2344"/>
      <sheetName val="норматив 2018-2630"/>
      <sheetName val="Налога на Имущество 17г"/>
      <sheetName val="свод бюджет"/>
      <sheetName val="ПФХД СВОД"/>
      <sheetName val="ПФХД с разбивкой"/>
      <sheetName val="ПФХД анализ изменений "/>
      <sheetName val="ПФХД внебюджет в разбивке"/>
      <sheetName val="ПФХД Южный свод"/>
      <sheetName val="остатки иные 2016"/>
      <sheetName val="налог"/>
      <sheetName val="Утвержденные сведения 13.04.17"/>
      <sheetName val="Услуга №1"/>
      <sheetName val="культ масс"/>
      <sheetName val="питание"/>
      <sheetName val="столовая южная +северная"/>
      <sheetName val="Южный"/>
      <sheetName val="факт внеб."/>
      <sheetName val="Лист1"/>
      <sheetName val="Пояснительная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41">
          <cell r="K41">
            <v>1510724.1684599998</v>
          </cell>
        </row>
        <row r="54">
          <cell r="K54">
            <v>1049223.4997400001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ул новый с дек."/>
      <sheetName val="перечень услуг"/>
      <sheetName val="показатели II на 09.03.17"/>
      <sheetName val="норматив 2017-2344"/>
      <sheetName val="норматив 2018-2630"/>
      <sheetName val="Налога на Имущество 17г"/>
      <sheetName val="свод бюджет"/>
      <sheetName val="ПФХД СВОД"/>
      <sheetName val="ПФХД с разбивкой"/>
      <sheetName val="ПФХД анализ изменений "/>
      <sheetName val="ПФХД внебюджет в разбивке"/>
      <sheetName val="ПФХД Южный свод"/>
      <sheetName val="остатки иные 2016"/>
      <sheetName val="налог"/>
      <sheetName val="Утвержденные сведения 13.04.17"/>
      <sheetName val="Услуга №1"/>
      <sheetName val="культ масс"/>
      <sheetName val="питание"/>
      <sheetName val="столовая южная +северная"/>
      <sheetName val="Южный"/>
      <sheetName val="факт внеб."/>
      <sheetName val="Лист1"/>
      <sheetName val="Пояснительная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41">
          <cell r="K41">
            <v>1510724.1684599998</v>
          </cell>
        </row>
        <row r="54">
          <cell r="K54">
            <v>1049223.4997400001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.xml"/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.xml"/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G27"/>
  <sheetViews>
    <sheetView tabSelected="1" view="pageBreakPreview" zoomScale="78" zoomScaleSheetLayoutView="78" workbookViewId="0">
      <selection activeCell="B22" sqref="B22"/>
    </sheetView>
  </sheetViews>
  <sheetFormatPr defaultColWidth="9.140625" defaultRowHeight="18.75" x14ac:dyDescent="0.3"/>
  <cols>
    <col min="1" max="1" width="52.140625" style="2" customWidth="1"/>
    <col min="2" max="2" width="50.140625" style="2" customWidth="1"/>
    <col min="3" max="3" width="14.85546875" style="2" customWidth="1"/>
    <col min="4" max="4" width="15.5703125" style="2" customWidth="1"/>
    <col min="5" max="16384" width="9.140625" style="2"/>
  </cols>
  <sheetData>
    <row r="1" spans="1:7" x14ac:dyDescent="0.3">
      <c r="A1" s="1321"/>
      <c r="B1" s="1322" t="s">
        <v>0</v>
      </c>
      <c r="C1" s="1322"/>
      <c r="D1" s="1322"/>
      <c r="E1" s="1"/>
      <c r="F1" s="1"/>
      <c r="G1" s="1"/>
    </row>
    <row r="2" spans="1:7" ht="15" customHeight="1" x14ac:dyDescent="0.3">
      <c r="A2" s="1321"/>
      <c r="B2" s="3"/>
      <c r="C2" s="4"/>
      <c r="D2" s="4"/>
      <c r="E2" s="4"/>
      <c r="F2" s="4"/>
      <c r="G2" s="4"/>
    </row>
    <row r="3" spans="1:7" ht="18" customHeight="1" x14ac:dyDescent="0.3">
      <c r="A3" s="1321"/>
      <c r="B3" s="1322" t="s">
        <v>1</v>
      </c>
      <c r="C3" s="1322"/>
      <c r="D3" s="1322"/>
      <c r="E3" s="1"/>
      <c r="F3" s="1"/>
      <c r="G3" s="1"/>
    </row>
    <row r="4" spans="1:7" x14ac:dyDescent="0.3">
      <c r="A4" s="1321"/>
      <c r="B4" s="1322" t="s">
        <v>2</v>
      </c>
      <c r="C4" s="1322"/>
      <c r="D4" s="1322"/>
      <c r="E4" s="1"/>
      <c r="F4" s="1"/>
      <c r="G4" s="1"/>
    </row>
    <row r="5" spans="1:7" ht="14.25" customHeight="1" x14ac:dyDescent="0.3">
      <c r="A5" s="1321"/>
      <c r="B5" s="5"/>
      <c r="C5" s="6"/>
      <c r="D5" s="6"/>
    </row>
    <row r="6" spans="1:7" ht="19.5" customHeight="1" x14ac:dyDescent="0.3">
      <c r="A6" s="1321"/>
      <c r="B6" s="1323" t="s">
        <v>3</v>
      </c>
      <c r="C6" s="1323"/>
      <c r="D6" s="1323"/>
    </row>
    <row r="7" spans="1:7" ht="16.5" customHeight="1" x14ac:dyDescent="0.3">
      <c r="A7" s="1321"/>
      <c r="B7" s="7"/>
      <c r="C7" s="8"/>
      <c r="D7" s="8"/>
    </row>
    <row r="8" spans="1:7" x14ac:dyDescent="0.3">
      <c r="A8" s="9"/>
      <c r="B8" s="10"/>
      <c r="C8" s="10"/>
      <c r="D8" s="11" t="s">
        <v>407</v>
      </c>
    </row>
    <row r="9" spans="1:7" x14ac:dyDescent="0.3">
      <c r="A9" s="9"/>
      <c r="B9" s="12" t="s">
        <v>5</v>
      </c>
      <c r="C9" s="12" t="s">
        <v>6</v>
      </c>
    </row>
    <row r="10" spans="1:7" x14ac:dyDescent="0.3">
      <c r="A10" s="9"/>
      <c r="C10" s="13" t="s">
        <v>7</v>
      </c>
    </row>
    <row r="11" spans="1:7" x14ac:dyDescent="0.3">
      <c r="A11" s="9"/>
      <c r="C11" s="13"/>
    </row>
    <row r="12" spans="1:7" x14ac:dyDescent="0.3">
      <c r="A12" s="9"/>
      <c r="C12" s="13"/>
    </row>
    <row r="13" spans="1:7" x14ac:dyDescent="0.3">
      <c r="A13" s="9"/>
      <c r="C13" s="13"/>
    </row>
    <row r="14" spans="1:7" ht="22.5" x14ac:dyDescent="0.3">
      <c r="A14" s="1320" t="s">
        <v>8</v>
      </c>
      <c r="B14" s="1320"/>
      <c r="E14" s="8"/>
      <c r="F14" s="8"/>
      <c r="G14" s="8"/>
    </row>
    <row r="15" spans="1:7" ht="20.25" x14ac:dyDescent="0.3">
      <c r="A15" s="1320" t="s">
        <v>583</v>
      </c>
      <c r="B15" s="1320"/>
      <c r="C15" s="4"/>
      <c r="D15" s="4"/>
      <c r="E15" s="4"/>
      <c r="F15" s="4"/>
      <c r="G15" s="4"/>
    </row>
    <row r="16" spans="1:7" x14ac:dyDescent="0.3">
      <c r="A16" s="9"/>
      <c r="F16" s="1"/>
      <c r="G16" s="1"/>
    </row>
    <row r="17" spans="1:4" ht="19.5" thickBot="1" x14ac:dyDescent="0.35">
      <c r="A17" s="7"/>
      <c r="B17" s="7"/>
      <c r="C17" s="7"/>
      <c r="D17" s="14" t="s">
        <v>9</v>
      </c>
    </row>
    <row r="18" spans="1:4" ht="38.25" thickBot="1" x14ac:dyDescent="0.35">
      <c r="A18" s="7"/>
      <c r="B18" s="7"/>
      <c r="C18" s="15" t="s">
        <v>10</v>
      </c>
      <c r="D18" s="16"/>
    </row>
    <row r="19" spans="1:4" ht="39.75" customHeight="1" thickBot="1" x14ac:dyDescent="0.35">
      <c r="A19" s="17" t="s">
        <v>11</v>
      </c>
      <c r="B19" s="7"/>
      <c r="C19" s="15" t="s">
        <v>12</v>
      </c>
      <c r="D19" s="16"/>
    </row>
    <row r="20" spans="1:4" ht="96" customHeight="1" thickBot="1" x14ac:dyDescent="0.35">
      <c r="A20" s="1033" t="s">
        <v>13</v>
      </c>
      <c r="B20" s="17" t="s">
        <v>14</v>
      </c>
      <c r="C20" s="15" t="s">
        <v>15</v>
      </c>
      <c r="D20" s="110" t="s">
        <v>35</v>
      </c>
    </row>
    <row r="21" spans="1:4" ht="75.75" thickBot="1" x14ac:dyDescent="0.35">
      <c r="A21" s="18" t="s">
        <v>16</v>
      </c>
      <c r="B21" s="7"/>
      <c r="C21" s="19"/>
      <c r="D21" s="16">
        <v>7645</v>
      </c>
    </row>
    <row r="22" spans="1:4" ht="38.25" thickBot="1" x14ac:dyDescent="0.35">
      <c r="A22" s="18" t="s">
        <v>17</v>
      </c>
      <c r="B22" s="7"/>
      <c r="C22" s="19"/>
      <c r="D22" s="16">
        <v>5009067866</v>
      </c>
    </row>
    <row r="23" spans="1:4" ht="33.75" customHeight="1" thickBot="1" x14ac:dyDescent="0.35">
      <c r="A23" s="18" t="s">
        <v>18</v>
      </c>
      <c r="B23" s="7"/>
      <c r="C23" s="19"/>
      <c r="D23" s="16">
        <v>500901001</v>
      </c>
    </row>
    <row r="24" spans="1:4" ht="38.25" thickBot="1" x14ac:dyDescent="0.35">
      <c r="A24" s="3" t="s">
        <v>19</v>
      </c>
      <c r="B24" s="17" t="s">
        <v>20</v>
      </c>
      <c r="C24" s="20" t="s">
        <v>21</v>
      </c>
      <c r="D24" s="110" t="s">
        <v>233</v>
      </c>
    </row>
    <row r="25" spans="1:4" ht="57" thickBot="1" x14ac:dyDescent="0.35">
      <c r="A25" s="18" t="s">
        <v>22</v>
      </c>
      <c r="B25" s="17" t="s">
        <v>23</v>
      </c>
      <c r="C25" s="15" t="s">
        <v>24</v>
      </c>
      <c r="D25" s="16">
        <v>46409000000</v>
      </c>
    </row>
    <row r="26" spans="1:4" ht="44.25" customHeight="1" thickBot="1" x14ac:dyDescent="0.35">
      <c r="A26" s="18" t="s">
        <v>25</v>
      </c>
      <c r="C26" s="15" t="s">
        <v>26</v>
      </c>
      <c r="D26" s="16">
        <v>383</v>
      </c>
    </row>
    <row r="27" spans="1:4" x14ac:dyDescent="0.3">
      <c r="A27" s="9"/>
    </row>
  </sheetData>
  <mergeCells count="7">
    <mergeCell ref="A15:B15"/>
    <mergeCell ref="A1:A7"/>
    <mergeCell ref="B1:D1"/>
    <mergeCell ref="B3:D3"/>
    <mergeCell ref="B4:D4"/>
    <mergeCell ref="B6:D6"/>
    <mergeCell ref="A14:B14"/>
  </mergeCells>
  <pageMargins left="0.7" right="0.7" top="1.01" bottom="0.75" header="0.52" footer="0.3"/>
  <pageSetup paperSize="9" scale="65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BR34"/>
  <sheetViews>
    <sheetView view="pageBreakPreview" zoomScale="130" zoomScaleNormal="100" zoomScaleSheetLayoutView="130" workbookViewId="0">
      <selection activeCell="CW17" sqref="CW17"/>
    </sheetView>
  </sheetViews>
  <sheetFormatPr defaultColWidth="0.85546875" defaultRowHeight="12" customHeight="1" x14ac:dyDescent="0.25"/>
  <cols>
    <col min="1" max="52" width="0.85546875" style="1041"/>
    <col min="53" max="70" width="1.140625" style="1041" customWidth="1"/>
    <col min="71" max="308" width="0.85546875" style="1041"/>
    <col min="309" max="326" width="1.140625" style="1041" customWidth="1"/>
    <col min="327" max="564" width="0.85546875" style="1041"/>
    <col min="565" max="582" width="1.140625" style="1041" customWidth="1"/>
    <col min="583" max="820" width="0.85546875" style="1041"/>
    <col min="821" max="838" width="1.140625" style="1041" customWidth="1"/>
    <col min="839" max="1076" width="0.85546875" style="1041"/>
    <col min="1077" max="1094" width="1.140625" style="1041" customWidth="1"/>
    <col min="1095" max="1332" width="0.85546875" style="1041"/>
    <col min="1333" max="1350" width="1.140625" style="1041" customWidth="1"/>
    <col min="1351" max="1588" width="0.85546875" style="1041"/>
    <col min="1589" max="1606" width="1.140625" style="1041" customWidth="1"/>
    <col min="1607" max="1844" width="0.85546875" style="1041"/>
    <col min="1845" max="1862" width="1.140625" style="1041" customWidth="1"/>
    <col min="1863" max="2100" width="0.85546875" style="1041"/>
    <col min="2101" max="2118" width="1.140625" style="1041" customWidth="1"/>
    <col min="2119" max="2356" width="0.85546875" style="1041"/>
    <col min="2357" max="2374" width="1.140625" style="1041" customWidth="1"/>
    <col min="2375" max="2612" width="0.85546875" style="1041"/>
    <col min="2613" max="2630" width="1.140625" style="1041" customWidth="1"/>
    <col min="2631" max="2868" width="0.85546875" style="1041"/>
    <col min="2869" max="2886" width="1.140625" style="1041" customWidth="1"/>
    <col min="2887" max="3124" width="0.85546875" style="1041"/>
    <col min="3125" max="3142" width="1.140625" style="1041" customWidth="1"/>
    <col min="3143" max="3380" width="0.85546875" style="1041"/>
    <col min="3381" max="3398" width="1.140625" style="1041" customWidth="1"/>
    <col min="3399" max="3636" width="0.85546875" style="1041"/>
    <col min="3637" max="3654" width="1.140625" style="1041" customWidth="1"/>
    <col min="3655" max="3892" width="0.85546875" style="1041"/>
    <col min="3893" max="3910" width="1.140625" style="1041" customWidth="1"/>
    <col min="3911" max="4148" width="0.85546875" style="1041"/>
    <col min="4149" max="4166" width="1.140625" style="1041" customWidth="1"/>
    <col min="4167" max="4404" width="0.85546875" style="1041"/>
    <col min="4405" max="4422" width="1.140625" style="1041" customWidth="1"/>
    <col min="4423" max="4660" width="0.85546875" style="1041"/>
    <col min="4661" max="4678" width="1.140625" style="1041" customWidth="1"/>
    <col min="4679" max="4916" width="0.85546875" style="1041"/>
    <col min="4917" max="4934" width="1.140625" style="1041" customWidth="1"/>
    <col min="4935" max="5172" width="0.85546875" style="1041"/>
    <col min="5173" max="5190" width="1.140625" style="1041" customWidth="1"/>
    <col min="5191" max="5428" width="0.85546875" style="1041"/>
    <col min="5429" max="5446" width="1.140625" style="1041" customWidth="1"/>
    <col min="5447" max="5684" width="0.85546875" style="1041"/>
    <col min="5685" max="5702" width="1.140625" style="1041" customWidth="1"/>
    <col min="5703" max="5940" width="0.85546875" style="1041"/>
    <col min="5941" max="5958" width="1.140625" style="1041" customWidth="1"/>
    <col min="5959" max="6196" width="0.85546875" style="1041"/>
    <col min="6197" max="6214" width="1.140625" style="1041" customWidth="1"/>
    <col min="6215" max="6452" width="0.85546875" style="1041"/>
    <col min="6453" max="6470" width="1.140625" style="1041" customWidth="1"/>
    <col min="6471" max="6708" width="0.85546875" style="1041"/>
    <col min="6709" max="6726" width="1.140625" style="1041" customWidth="1"/>
    <col min="6727" max="6964" width="0.85546875" style="1041"/>
    <col min="6965" max="6982" width="1.140625" style="1041" customWidth="1"/>
    <col min="6983" max="7220" width="0.85546875" style="1041"/>
    <col min="7221" max="7238" width="1.140625" style="1041" customWidth="1"/>
    <col min="7239" max="7476" width="0.85546875" style="1041"/>
    <col min="7477" max="7494" width="1.140625" style="1041" customWidth="1"/>
    <col min="7495" max="7732" width="0.85546875" style="1041"/>
    <col min="7733" max="7750" width="1.140625" style="1041" customWidth="1"/>
    <col min="7751" max="7988" width="0.85546875" style="1041"/>
    <col min="7989" max="8006" width="1.140625" style="1041" customWidth="1"/>
    <col min="8007" max="8244" width="0.85546875" style="1041"/>
    <col min="8245" max="8262" width="1.140625" style="1041" customWidth="1"/>
    <col min="8263" max="8500" width="0.85546875" style="1041"/>
    <col min="8501" max="8518" width="1.140625" style="1041" customWidth="1"/>
    <col min="8519" max="8756" width="0.85546875" style="1041"/>
    <col min="8757" max="8774" width="1.140625" style="1041" customWidth="1"/>
    <col min="8775" max="9012" width="0.85546875" style="1041"/>
    <col min="9013" max="9030" width="1.140625" style="1041" customWidth="1"/>
    <col min="9031" max="9268" width="0.85546875" style="1041"/>
    <col min="9269" max="9286" width="1.140625" style="1041" customWidth="1"/>
    <col min="9287" max="9524" width="0.85546875" style="1041"/>
    <col min="9525" max="9542" width="1.140625" style="1041" customWidth="1"/>
    <col min="9543" max="9780" width="0.85546875" style="1041"/>
    <col min="9781" max="9798" width="1.140625" style="1041" customWidth="1"/>
    <col min="9799" max="10036" width="0.85546875" style="1041"/>
    <col min="10037" max="10054" width="1.140625" style="1041" customWidth="1"/>
    <col min="10055" max="10292" width="0.85546875" style="1041"/>
    <col min="10293" max="10310" width="1.140625" style="1041" customWidth="1"/>
    <col min="10311" max="10548" width="0.85546875" style="1041"/>
    <col min="10549" max="10566" width="1.140625" style="1041" customWidth="1"/>
    <col min="10567" max="10804" width="0.85546875" style="1041"/>
    <col min="10805" max="10822" width="1.140625" style="1041" customWidth="1"/>
    <col min="10823" max="11060" width="0.85546875" style="1041"/>
    <col min="11061" max="11078" width="1.140625" style="1041" customWidth="1"/>
    <col min="11079" max="11316" width="0.85546875" style="1041"/>
    <col min="11317" max="11334" width="1.140625" style="1041" customWidth="1"/>
    <col min="11335" max="11572" width="0.85546875" style="1041"/>
    <col min="11573" max="11590" width="1.140625" style="1041" customWidth="1"/>
    <col min="11591" max="11828" width="0.85546875" style="1041"/>
    <col min="11829" max="11846" width="1.140625" style="1041" customWidth="1"/>
    <col min="11847" max="12084" width="0.85546875" style="1041"/>
    <col min="12085" max="12102" width="1.140625" style="1041" customWidth="1"/>
    <col min="12103" max="12340" width="0.85546875" style="1041"/>
    <col min="12341" max="12358" width="1.140625" style="1041" customWidth="1"/>
    <col min="12359" max="12596" width="0.85546875" style="1041"/>
    <col min="12597" max="12614" width="1.140625" style="1041" customWidth="1"/>
    <col min="12615" max="12852" width="0.85546875" style="1041"/>
    <col min="12853" max="12870" width="1.140625" style="1041" customWidth="1"/>
    <col min="12871" max="13108" width="0.85546875" style="1041"/>
    <col min="13109" max="13126" width="1.140625" style="1041" customWidth="1"/>
    <col min="13127" max="13364" width="0.85546875" style="1041"/>
    <col min="13365" max="13382" width="1.140625" style="1041" customWidth="1"/>
    <col min="13383" max="13620" width="0.85546875" style="1041"/>
    <col min="13621" max="13638" width="1.140625" style="1041" customWidth="1"/>
    <col min="13639" max="13876" width="0.85546875" style="1041"/>
    <col min="13877" max="13894" width="1.140625" style="1041" customWidth="1"/>
    <col min="13895" max="14132" width="0.85546875" style="1041"/>
    <col min="14133" max="14150" width="1.140625" style="1041" customWidth="1"/>
    <col min="14151" max="14388" width="0.85546875" style="1041"/>
    <col min="14389" max="14406" width="1.140625" style="1041" customWidth="1"/>
    <col min="14407" max="14644" width="0.85546875" style="1041"/>
    <col min="14645" max="14662" width="1.140625" style="1041" customWidth="1"/>
    <col min="14663" max="14900" width="0.85546875" style="1041"/>
    <col min="14901" max="14918" width="1.140625" style="1041" customWidth="1"/>
    <col min="14919" max="15156" width="0.85546875" style="1041"/>
    <col min="15157" max="15174" width="1.140625" style="1041" customWidth="1"/>
    <col min="15175" max="15412" width="0.85546875" style="1041"/>
    <col min="15413" max="15430" width="1.140625" style="1041" customWidth="1"/>
    <col min="15431" max="15668" width="0.85546875" style="1041"/>
    <col min="15669" max="15686" width="1.140625" style="1041" customWidth="1"/>
    <col min="15687" max="15924" width="0.85546875" style="1041"/>
    <col min="15925" max="15942" width="1.140625" style="1041" customWidth="1"/>
    <col min="15943" max="16180" width="0.85546875" style="1041"/>
    <col min="16181" max="16198" width="1.140625" style="1041" customWidth="1"/>
    <col min="16199" max="16384" width="0.85546875" style="1041"/>
  </cols>
  <sheetData>
    <row r="1" spans="1:70" ht="3" customHeight="1" x14ac:dyDescent="0.25"/>
    <row r="2" spans="1:70" s="1042" customFormat="1" ht="14.25" x14ac:dyDescent="0.2">
      <c r="A2" s="1351" t="s">
        <v>950</v>
      </c>
      <c r="B2" s="1351"/>
      <c r="C2" s="1351"/>
      <c r="D2" s="1351"/>
      <c r="E2" s="1351"/>
      <c r="F2" s="1351"/>
      <c r="G2" s="1351"/>
      <c r="H2" s="1351"/>
      <c r="I2" s="1351"/>
      <c r="J2" s="1351"/>
      <c r="K2" s="1351"/>
      <c r="L2" s="1351"/>
      <c r="M2" s="1351"/>
      <c r="N2" s="1351"/>
      <c r="O2" s="1351"/>
      <c r="P2" s="1351"/>
      <c r="Q2" s="1351"/>
      <c r="R2" s="1351"/>
      <c r="S2" s="1351"/>
      <c r="T2" s="1351"/>
      <c r="U2" s="1351"/>
      <c r="V2" s="1351"/>
      <c r="W2" s="1351"/>
      <c r="X2" s="1351"/>
      <c r="Y2" s="1351"/>
      <c r="Z2" s="1351"/>
      <c r="AA2" s="1351"/>
      <c r="AB2" s="1351"/>
      <c r="AC2" s="1351"/>
      <c r="AD2" s="1351"/>
      <c r="AE2" s="1351"/>
      <c r="AF2" s="1351"/>
      <c r="AG2" s="1351"/>
      <c r="AH2" s="1351"/>
      <c r="AI2" s="1351"/>
      <c r="AJ2" s="1351"/>
      <c r="AK2" s="1351"/>
      <c r="AL2" s="1351"/>
      <c r="AM2" s="1351"/>
      <c r="AN2" s="1351"/>
      <c r="AO2" s="1351"/>
      <c r="AP2" s="1351"/>
      <c r="AQ2" s="1351"/>
      <c r="AR2" s="1351"/>
      <c r="AS2" s="1351"/>
      <c r="AT2" s="1351"/>
      <c r="AU2" s="1351"/>
      <c r="AV2" s="1351"/>
      <c r="AW2" s="1351"/>
      <c r="AX2" s="1351"/>
      <c r="AY2" s="1351"/>
      <c r="AZ2" s="1351"/>
      <c r="BA2" s="1351"/>
      <c r="BB2" s="1351"/>
      <c r="BC2" s="1351"/>
      <c r="BD2" s="1351"/>
      <c r="BE2" s="1351"/>
      <c r="BF2" s="1351"/>
      <c r="BG2" s="1351"/>
      <c r="BH2" s="1351"/>
      <c r="BI2" s="1351"/>
      <c r="BJ2" s="1351"/>
      <c r="BK2" s="1351"/>
      <c r="BL2" s="1351"/>
      <c r="BM2" s="1351"/>
      <c r="BN2" s="1351"/>
      <c r="BO2" s="1351"/>
      <c r="BP2" s="1351"/>
      <c r="BQ2" s="1351"/>
      <c r="BR2" s="1351"/>
    </row>
    <row r="3" spans="1:70" s="1042" customFormat="1" ht="33.75" customHeight="1" x14ac:dyDescent="0.2">
      <c r="A3" s="1393" t="s">
        <v>964</v>
      </c>
      <c r="B3" s="1393"/>
      <c r="C3" s="1393"/>
      <c r="D3" s="1393"/>
      <c r="E3" s="1393"/>
      <c r="F3" s="1393"/>
      <c r="G3" s="1393"/>
      <c r="H3" s="1393"/>
      <c r="I3" s="1393"/>
      <c r="J3" s="1393"/>
      <c r="K3" s="1393"/>
      <c r="L3" s="1393"/>
      <c r="M3" s="1393"/>
      <c r="N3" s="1393"/>
      <c r="O3" s="1393"/>
      <c r="P3" s="1393"/>
      <c r="Q3" s="1393"/>
      <c r="R3" s="1393"/>
      <c r="S3" s="1393"/>
      <c r="T3" s="1393"/>
      <c r="U3" s="1393"/>
      <c r="V3" s="1393"/>
      <c r="W3" s="1393"/>
      <c r="X3" s="1393"/>
      <c r="Y3" s="1393"/>
      <c r="Z3" s="1393"/>
      <c r="AA3" s="1393"/>
      <c r="AB3" s="1393"/>
      <c r="AC3" s="1393"/>
      <c r="AD3" s="1393"/>
      <c r="AE3" s="1393"/>
      <c r="AF3" s="1393"/>
      <c r="AG3" s="1393"/>
      <c r="AH3" s="1393"/>
      <c r="AI3" s="1393"/>
      <c r="AJ3" s="1393"/>
      <c r="AK3" s="1393"/>
      <c r="AL3" s="1393"/>
      <c r="AM3" s="1393"/>
      <c r="AN3" s="1393"/>
      <c r="AO3" s="1393"/>
      <c r="AP3" s="1393"/>
      <c r="AQ3" s="1393"/>
      <c r="AR3" s="1393"/>
      <c r="AS3" s="1393"/>
      <c r="AT3" s="1393"/>
      <c r="AU3" s="1393"/>
      <c r="AV3" s="1393"/>
      <c r="AW3" s="1393"/>
      <c r="AX3" s="1393"/>
      <c r="AY3" s="1393"/>
      <c r="AZ3" s="1393"/>
      <c r="BA3" s="1393"/>
      <c r="BB3" s="1393"/>
      <c r="BC3" s="1393"/>
      <c r="BD3" s="1393"/>
      <c r="BE3" s="1393"/>
      <c r="BF3" s="1393"/>
      <c r="BG3" s="1393"/>
      <c r="BH3" s="1393"/>
      <c r="BI3" s="1393"/>
      <c r="BJ3" s="1393"/>
      <c r="BK3" s="1393"/>
      <c r="BL3" s="1393"/>
      <c r="BM3" s="1393"/>
      <c r="BN3" s="1393"/>
      <c r="BO3" s="1393"/>
      <c r="BP3" s="1393"/>
      <c r="BQ3" s="1393"/>
      <c r="BR3" s="1393"/>
    </row>
    <row r="4" spans="1:70" s="1042" customFormat="1" ht="14.25" x14ac:dyDescent="0.2">
      <c r="A4" s="1351" t="s">
        <v>951</v>
      </c>
      <c r="B4" s="1351"/>
      <c r="C4" s="1351"/>
      <c r="D4" s="1351"/>
      <c r="E4" s="1351"/>
      <c r="F4" s="1351"/>
      <c r="G4" s="1351"/>
      <c r="H4" s="1351"/>
      <c r="I4" s="1351"/>
      <c r="J4" s="1351"/>
      <c r="K4" s="1351"/>
      <c r="L4" s="1351"/>
      <c r="M4" s="1351"/>
      <c r="N4" s="1351"/>
      <c r="O4" s="1351"/>
      <c r="P4" s="1351"/>
      <c r="Q4" s="1351"/>
      <c r="R4" s="1351"/>
      <c r="S4" s="1351"/>
      <c r="T4" s="1351"/>
      <c r="U4" s="1351"/>
      <c r="V4" s="1351"/>
      <c r="W4" s="1351"/>
      <c r="X4" s="1351"/>
      <c r="Y4" s="1351"/>
      <c r="Z4" s="1351"/>
      <c r="AA4" s="1351"/>
      <c r="AB4" s="1351"/>
      <c r="AC4" s="1351"/>
      <c r="AD4" s="1351"/>
      <c r="AE4" s="1351"/>
      <c r="AF4" s="1351"/>
      <c r="AG4" s="1351"/>
      <c r="AH4" s="1351"/>
      <c r="AI4" s="1351"/>
      <c r="AJ4" s="1351"/>
      <c r="AK4" s="1351"/>
      <c r="AL4" s="1351"/>
      <c r="AM4" s="1351"/>
      <c r="AN4" s="1351"/>
      <c r="AO4" s="1351"/>
      <c r="AP4" s="1351"/>
      <c r="AQ4" s="1351"/>
      <c r="AR4" s="1351"/>
      <c r="AS4" s="1351"/>
      <c r="AT4" s="1351"/>
      <c r="AU4" s="1351"/>
      <c r="AV4" s="1351"/>
      <c r="AW4" s="1351"/>
      <c r="AX4" s="1351"/>
      <c r="AY4" s="1351"/>
      <c r="AZ4" s="1351"/>
      <c r="BA4" s="1351"/>
      <c r="BB4" s="1351"/>
      <c r="BC4" s="1351"/>
      <c r="BD4" s="1351"/>
      <c r="BE4" s="1351"/>
      <c r="BF4" s="1351"/>
      <c r="BG4" s="1351"/>
      <c r="BH4" s="1351"/>
      <c r="BI4" s="1351"/>
      <c r="BJ4" s="1351"/>
      <c r="BK4" s="1351"/>
      <c r="BL4" s="1351"/>
      <c r="BM4" s="1351"/>
      <c r="BN4" s="1351"/>
      <c r="BO4" s="1351"/>
      <c r="BP4" s="1351"/>
      <c r="BQ4" s="1351"/>
      <c r="BR4" s="1351"/>
    </row>
    <row r="5" spans="1:70" s="1042" customFormat="1" ht="14.25" x14ac:dyDescent="0.2">
      <c r="A5" s="1394" t="s">
        <v>952</v>
      </c>
      <c r="B5" s="1394"/>
      <c r="C5" s="1394"/>
      <c r="D5" s="1394"/>
      <c r="E5" s="1394"/>
      <c r="F5" s="1394"/>
      <c r="G5" s="1394"/>
      <c r="H5" s="1394"/>
      <c r="I5" s="1394"/>
      <c r="J5" s="1394"/>
      <c r="K5" s="1394"/>
      <c r="L5" s="1394"/>
      <c r="M5" s="1394"/>
      <c r="N5" s="1394"/>
      <c r="O5" s="1394"/>
      <c r="P5" s="1394"/>
      <c r="Q5" s="1394"/>
      <c r="R5" s="1394"/>
      <c r="S5" s="1394"/>
      <c r="T5" s="1394"/>
      <c r="U5" s="1394"/>
      <c r="V5" s="1394"/>
      <c r="W5" s="1394"/>
      <c r="X5" s="1394"/>
      <c r="Y5" s="1394"/>
      <c r="Z5" s="1394"/>
      <c r="AA5" s="1394"/>
      <c r="AB5" s="1394"/>
      <c r="AC5" s="1394"/>
      <c r="AD5" s="1394"/>
      <c r="AE5" s="1394"/>
      <c r="AF5" s="1394"/>
      <c r="AG5" s="1394"/>
      <c r="AH5" s="1394"/>
      <c r="AI5" s="1394"/>
      <c r="AJ5" s="1394"/>
      <c r="AK5" s="1394"/>
      <c r="AL5" s="1394"/>
      <c r="AM5" s="1394"/>
      <c r="AN5" s="1394"/>
      <c r="AO5" s="1394"/>
      <c r="AP5" s="1394"/>
      <c r="AQ5" s="1394"/>
      <c r="AR5" s="1394"/>
      <c r="AS5" s="1394"/>
      <c r="AT5" s="1394"/>
      <c r="AU5" s="1394"/>
      <c r="AV5" s="1394"/>
      <c r="AW5" s="1394"/>
      <c r="AX5" s="1394"/>
      <c r="AY5" s="1394"/>
      <c r="AZ5" s="1394"/>
      <c r="BA5" s="1394"/>
      <c r="BB5" s="1394"/>
      <c r="BC5" s="1394"/>
      <c r="BD5" s="1394"/>
      <c r="BE5" s="1394"/>
      <c r="BF5" s="1394"/>
      <c r="BG5" s="1394"/>
      <c r="BH5" s="1394"/>
      <c r="BI5" s="1394"/>
      <c r="BJ5" s="1394"/>
      <c r="BK5" s="1394"/>
      <c r="BL5" s="1394"/>
      <c r="BM5" s="1394"/>
      <c r="BN5" s="1394"/>
      <c r="BO5" s="1394"/>
      <c r="BP5" s="1394"/>
      <c r="BQ5" s="1394"/>
      <c r="BR5" s="1394"/>
    </row>
    <row r="6" spans="1:70" ht="10.5" customHeight="1" x14ac:dyDescent="0.25"/>
    <row r="7" spans="1:70" ht="55.5" customHeight="1" x14ac:dyDescent="0.25">
      <c r="A7" s="1395" t="s">
        <v>88</v>
      </c>
      <c r="B7" s="1396"/>
      <c r="C7" s="1396"/>
      <c r="D7" s="1396"/>
      <c r="E7" s="1396"/>
      <c r="F7" s="1396"/>
      <c r="G7" s="1396"/>
      <c r="H7" s="1396"/>
      <c r="I7" s="1396"/>
      <c r="J7" s="1396"/>
      <c r="K7" s="1396"/>
      <c r="L7" s="1396"/>
      <c r="M7" s="1396"/>
      <c r="N7" s="1396"/>
      <c r="O7" s="1396"/>
      <c r="P7" s="1396"/>
      <c r="Q7" s="1396"/>
      <c r="R7" s="1396"/>
      <c r="S7" s="1396"/>
      <c r="T7" s="1396"/>
      <c r="U7" s="1396"/>
      <c r="V7" s="1396"/>
      <c r="W7" s="1396"/>
      <c r="X7" s="1396"/>
      <c r="Y7" s="1396"/>
      <c r="Z7" s="1396"/>
      <c r="AA7" s="1396"/>
      <c r="AB7" s="1396"/>
      <c r="AC7" s="1396"/>
      <c r="AD7" s="1396"/>
      <c r="AE7" s="1396"/>
      <c r="AF7" s="1396"/>
      <c r="AG7" s="1396"/>
      <c r="AH7" s="1396"/>
      <c r="AI7" s="1396"/>
      <c r="AJ7" s="1396"/>
      <c r="AK7" s="1396"/>
      <c r="AL7" s="1396"/>
      <c r="AM7" s="1396"/>
      <c r="AN7" s="1396"/>
      <c r="AO7" s="1397"/>
      <c r="AP7" s="1395" t="s">
        <v>133</v>
      </c>
      <c r="AQ7" s="1396"/>
      <c r="AR7" s="1396"/>
      <c r="AS7" s="1396"/>
      <c r="AT7" s="1396"/>
      <c r="AU7" s="1396"/>
      <c r="AV7" s="1396"/>
      <c r="AW7" s="1396"/>
      <c r="AX7" s="1396"/>
      <c r="AY7" s="1396"/>
      <c r="AZ7" s="1397"/>
      <c r="BA7" s="1395" t="s">
        <v>953</v>
      </c>
      <c r="BB7" s="1396"/>
      <c r="BC7" s="1396"/>
      <c r="BD7" s="1396"/>
      <c r="BE7" s="1396"/>
      <c r="BF7" s="1396"/>
      <c r="BG7" s="1396"/>
      <c r="BH7" s="1396"/>
      <c r="BI7" s="1396"/>
      <c r="BJ7" s="1396"/>
      <c r="BK7" s="1396"/>
      <c r="BL7" s="1396"/>
      <c r="BM7" s="1396"/>
      <c r="BN7" s="1396"/>
      <c r="BO7" s="1396"/>
      <c r="BP7" s="1396"/>
      <c r="BQ7" s="1396"/>
      <c r="BR7" s="1397"/>
    </row>
    <row r="8" spans="1:70" s="1047" customFormat="1" ht="12.75" x14ac:dyDescent="0.2">
      <c r="A8" s="1398">
        <v>1</v>
      </c>
      <c r="B8" s="1398"/>
      <c r="C8" s="1398"/>
      <c r="D8" s="1398"/>
      <c r="E8" s="1398"/>
      <c r="F8" s="1398"/>
      <c r="G8" s="1398"/>
      <c r="H8" s="1398"/>
      <c r="I8" s="1398"/>
      <c r="J8" s="1398"/>
      <c r="K8" s="1398"/>
      <c r="L8" s="1398"/>
      <c r="M8" s="1398"/>
      <c r="N8" s="1398"/>
      <c r="O8" s="1398"/>
      <c r="P8" s="1398"/>
      <c r="Q8" s="1398"/>
      <c r="R8" s="1398"/>
      <c r="S8" s="1398"/>
      <c r="T8" s="1398"/>
      <c r="U8" s="1398"/>
      <c r="V8" s="1398"/>
      <c r="W8" s="1398"/>
      <c r="X8" s="1398"/>
      <c r="Y8" s="1398"/>
      <c r="Z8" s="1398"/>
      <c r="AA8" s="1398"/>
      <c r="AB8" s="1398"/>
      <c r="AC8" s="1398"/>
      <c r="AD8" s="1398"/>
      <c r="AE8" s="1398"/>
      <c r="AF8" s="1398"/>
      <c r="AG8" s="1398"/>
      <c r="AH8" s="1398"/>
      <c r="AI8" s="1398"/>
      <c r="AJ8" s="1398"/>
      <c r="AK8" s="1398"/>
      <c r="AL8" s="1398"/>
      <c r="AM8" s="1398"/>
      <c r="AN8" s="1398"/>
      <c r="AO8" s="1398"/>
      <c r="AP8" s="1398">
        <v>2</v>
      </c>
      <c r="AQ8" s="1398"/>
      <c r="AR8" s="1398"/>
      <c r="AS8" s="1398"/>
      <c r="AT8" s="1398"/>
      <c r="AU8" s="1398"/>
      <c r="AV8" s="1398"/>
      <c r="AW8" s="1398"/>
      <c r="AX8" s="1398"/>
      <c r="AY8" s="1398"/>
      <c r="AZ8" s="1398"/>
      <c r="BA8" s="1398">
        <v>3</v>
      </c>
      <c r="BB8" s="1398"/>
      <c r="BC8" s="1398"/>
      <c r="BD8" s="1398"/>
      <c r="BE8" s="1398"/>
      <c r="BF8" s="1398"/>
      <c r="BG8" s="1398"/>
      <c r="BH8" s="1398"/>
      <c r="BI8" s="1398"/>
      <c r="BJ8" s="1398"/>
      <c r="BK8" s="1398"/>
      <c r="BL8" s="1398"/>
      <c r="BM8" s="1398"/>
      <c r="BN8" s="1398"/>
      <c r="BO8" s="1398"/>
      <c r="BP8" s="1398"/>
      <c r="BQ8" s="1398"/>
      <c r="BR8" s="1398"/>
    </row>
    <row r="9" spans="1:70" ht="15" customHeight="1" x14ac:dyDescent="0.25">
      <c r="A9" s="1399" t="s">
        <v>194</v>
      </c>
      <c r="B9" s="1400"/>
      <c r="C9" s="1400"/>
      <c r="D9" s="1400"/>
      <c r="E9" s="1400"/>
      <c r="F9" s="1400"/>
      <c r="G9" s="1400"/>
      <c r="H9" s="1400"/>
      <c r="I9" s="1400"/>
      <c r="J9" s="1400"/>
      <c r="K9" s="1400"/>
      <c r="L9" s="1400"/>
      <c r="M9" s="1400"/>
      <c r="N9" s="1400"/>
      <c r="O9" s="1400"/>
      <c r="P9" s="1400"/>
      <c r="Q9" s="1400"/>
      <c r="R9" s="1400"/>
      <c r="S9" s="1400"/>
      <c r="T9" s="1400"/>
      <c r="U9" s="1400"/>
      <c r="V9" s="1400"/>
      <c r="W9" s="1400"/>
      <c r="X9" s="1400"/>
      <c r="Y9" s="1400"/>
      <c r="Z9" s="1400"/>
      <c r="AA9" s="1400"/>
      <c r="AB9" s="1400"/>
      <c r="AC9" s="1400"/>
      <c r="AD9" s="1400"/>
      <c r="AE9" s="1400"/>
      <c r="AF9" s="1400"/>
      <c r="AG9" s="1400"/>
      <c r="AH9" s="1400"/>
      <c r="AI9" s="1400"/>
      <c r="AJ9" s="1400"/>
      <c r="AK9" s="1400"/>
      <c r="AL9" s="1400"/>
      <c r="AM9" s="1400"/>
      <c r="AN9" s="1400"/>
      <c r="AO9" s="1401"/>
      <c r="AP9" s="1402" t="s">
        <v>246</v>
      </c>
      <c r="AQ9" s="1402"/>
      <c r="AR9" s="1402"/>
      <c r="AS9" s="1402"/>
      <c r="AT9" s="1402"/>
      <c r="AU9" s="1402"/>
      <c r="AV9" s="1402"/>
      <c r="AW9" s="1402"/>
      <c r="AX9" s="1402"/>
      <c r="AY9" s="1402"/>
      <c r="AZ9" s="1402"/>
      <c r="BA9" s="1403">
        <v>5998798.0199999996</v>
      </c>
      <c r="BB9" s="1403"/>
      <c r="BC9" s="1403"/>
      <c r="BD9" s="1403"/>
      <c r="BE9" s="1403"/>
      <c r="BF9" s="1403"/>
      <c r="BG9" s="1403"/>
      <c r="BH9" s="1403"/>
      <c r="BI9" s="1403"/>
      <c r="BJ9" s="1403"/>
      <c r="BK9" s="1403"/>
      <c r="BL9" s="1403"/>
      <c r="BM9" s="1403"/>
      <c r="BN9" s="1403"/>
      <c r="BO9" s="1403"/>
      <c r="BP9" s="1403"/>
      <c r="BQ9" s="1403"/>
      <c r="BR9" s="1403"/>
    </row>
    <row r="10" spans="1:70" ht="15" customHeight="1" x14ac:dyDescent="0.25">
      <c r="A10" s="1399" t="s">
        <v>195</v>
      </c>
      <c r="B10" s="1400"/>
      <c r="C10" s="1400"/>
      <c r="D10" s="1400"/>
      <c r="E10" s="1400"/>
      <c r="F10" s="1400"/>
      <c r="G10" s="1400"/>
      <c r="H10" s="1400"/>
      <c r="I10" s="1400"/>
      <c r="J10" s="1400"/>
      <c r="K10" s="1400"/>
      <c r="L10" s="1400"/>
      <c r="M10" s="1400"/>
      <c r="N10" s="1400"/>
      <c r="O10" s="1400"/>
      <c r="P10" s="1400"/>
      <c r="Q10" s="1400"/>
      <c r="R10" s="1400"/>
      <c r="S10" s="1400"/>
      <c r="T10" s="1400"/>
      <c r="U10" s="1400"/>
      <c r="V10" s="1400"/>
      <c r="W10" s="1400"/>
      <c r="X10" s="1400"/>
      <c r="Y10" s="1400"/>
      <c r="Z10" s="1400"/>
      <c r="AA10" s="1400"/>
      <c r="AB10" s="1400"/>
      <c r="AC10" s="1400"/>
      <c r="AD10" s="1400"/>
      <c r="AE10" s="1400"/>
      <c r="AF10" s="1400"/>
      <c r="AG10" s="1400"/>
      <c r="AH10" s="1400"/>
      <c r="AI10" s="1400"/>
      <c r="AJ10" s="1400"/>
      <c r="AK10" s="1400"/>
      <c r="AL10" s="1400"/>
      <c r="AM10" s="1400"/>
      <c r="AN10" s="1400"/>
      <c r="AO10" s="1401"/>
      <c r="AP10" s="1402" t="s">
        <v>247</v>
      </c>
      <c r="AQ10" s="1402"/>
      <c r="AR10" s="1402"/>
      <c r="AS10" s="1402"/>
      <c r="AT10" s="1402"/>
      <c r="AU10" s="1402"/>
      <c r="AV10" s="1402"/>
      <c r="AW10" s="1402"/>
      <c r="AX10" s="1402"/>
      <c r="AY10" s="1402"/>
      <c r="AZ10" s="1402"/>
      <c r="BA10" s="1403">
        <v>5935532.9100000001</v>
      </c>
      <c r="BB10" s="1403"/>
      <c r="BC10" s="1403"/>
      <c r="BD10" s="1403"/>
      <c r="BE10" s="1403"/>
      <c r="BF10" s="1403"/>
      <c r="BG10" s="1403"/>
      <c r="BH10" s="1403"/>
      <c r="BI10" s="1403"/>
      <c r="BJ10" s="1403"/>
      <c r="BK10" s="1403"/>
      <c r="BL10" s="1403"/>
      <c r="BM10" s="1403"/>
      <c r="BN10" s="1403"/>
      <c r="BO10" s="1403"/>
      <c r="BP10" s="1403"/>
      <c r="BQ10" s="1403"/>
      <c r="BR10" s="1403"/>
    </row>
    <row r="11" spans="1:70" ht="15" customHeight="1" x14ac:dyDescent="0.25">
      <c r="A11" s="1399" t="s">
        <v>248</v>
      </c>
      <c r="B11" s="1400"/>
      <c r="C11" s="1400"/>
      <c r="D11" s="1400"/>
      <c r="E11" s="1400"/>
      <c r="F11" s="1400"/>
      <c r="G11" s="1400"/>
      <c r="H11" s="1400"/>
      <c r="I11" s="1400"/>
      <c r="J11" s="1400"/>
      <c r="K11" s="1400"/>
      <c r="L11" s="1400"/>
      <c r="M11" s="1400"/>
      <c r="N11" s="1400"/>
      <c r="O11" s="1400"/>
      <c r="P11" s="1400"/>
      <c r="Q11" s="1400"/>
      <c r="R11" s="1400"/>
      <c r="S11" s="1400"/>
      <c r="T11" s="1400"/>
      <c r="U11" s="1400"/>
      <c r="V11" s="1400"/>
      <c r="W11" s="1400"/>
      <c r="X11" s="1400"/>
      <c r="Y11" s="1400"/>
      <c r="Z11" s="1400"/>
      <c r="AA11" s="1400"/>
      <c r="AB11" s="1400"/>
      <c r="AC11" s="1400"/>
      <c r="AD11" s="1400"/>
      <c r="AE11" s="1400"/>
      <c r="AF11" s="1400"/>
      <c r="AG11" s="1400"/>
      <c r="AH11" s="1400"/>
      <c r="AI11" s="1400"/>
      <c r="AJ11" s="1400"/>
      <c r="AK11" s="1400"/>
      <c r="AL11" s="1400"/>
      <c r="AM11" s="1400"/>
      <c r="AN11" s="1400"/>
      <c r="AO11" s="1401"/>
      <c r="AP11" s="1402" t="s">
        <v>249</v>
      </c>
      <c r="AQ11" s="1402"/>
      <c r="AR11" s="1402"/>
      <c r="AS11" s="1402"/>
      <c r="AT11" s="1402"/>
      <c r="AU11" s="1402"/>
      <c r="AV11" s="1402"/>
      <c r="AW11" s="1402"/>
      <c r="AX11" s="1402"/>
      <c r="AY11" s="1402"/>
      <c r="AZ11" s="1402"/>
      <c r="BA11" s="1403">
        <v>57422318.159999996</v>
      </c>
      <c r="BB11" s="1403"/>
      <c r="BC11" s="1403"/>
      <c r="BD11" s="1403"/>
      <c r="BE11" s="1403"/>
      <c r="BF11" s="1403"/>
      <c r="BG11" s="1403"/>
      <c r="BH11" s="1403"/>
      <c r="BI11" s="1403"/>
      <c r="BJ11" s="1403"/>
      <c r="BK11" s="1403"/>
      <c r="BL11" s="1403"/>
      <c r="BM11" s="1403"/>
      <c r="BN11" s="1403"/>
      <c r="BO11" s="1403"/>
      <c r="BP11" s="1403"/>
      <c r="BQ11" s="1403"/>
      <c r="BR11" s="1403"/>
    </row>
    <row r="12" spans="1:70" ht="15" customHeight="1" x14ac:dyDescent="0.25">
      <c r="A12" s="1399" t="s">
        <v>250</v>
      </c>
      <c r="B12" s="1400"/>
      <c r="C12" s="1400"/>
      <c r="D12" s="1400"/>
      <c r="E12" s="1400"/>
      <c r="F12" s="1400"/>
      <c r="G12" s="1400"/>
      <c r="H12" s="1400"/>
      <c r="I12" s="1400"/>
      <c r="J12" s="1400"/>
      <c r="K12" s="1400"/>
      <c r="L12" s="1400"/>
      <c r="M12" s="1400"/>
      <c r="N12" s="1400"/>
      <c r="O12" s="1400"/>
      <c r="P12" s="1400"/>
      <c r="Q12" s="1400"/>
      <c r="R12" s="1400"/>
      <c r="S12" s="1400"/>
      <c r="T12" s="1400"/>
      <c r="U12" s="1400"/>
      <c r="V12" s="1400"/>
      <c r="W12" s="1400"/>
      <c r="X12" s="1400"/>
      <c r="Y12" s="1400"/>
      <c r="Z12" s="1400"/>
      <c r="AA12" s="1400"/>
      <c r="AB12" s="1400"/>
      <c r="AC12" s="1400"/>
      <c r="AD12" s="1400"/>
      <c r="AE12" s="1400"/>
      <c r="AF12" s="1400"/>
      <c r="AG12" s="1400"/>
      <c r="AH12" s="1400"/>
      <c r="AI12" s="1400"/>
      <c r="AJ12" s="1400"/>
      <c r="AK12" s="1400"/>
      <c r="AL12" s="1400"/>
      <c r="AM12" s="1400"/>
      <c r="AN12" s="1400"/>
      <c r="AO12" s="1401"/>
      <c r="AP12" s="1402" t="s">
        <v>251</v>
      </c>
      <c r="AQ12" s="1402"/>
      <c r="AR12" s="1402"/>
      <c r="AS12" s="1402"/>
      <c r="AT12" s="1402"/>
      <c r="AU12" s="1402"/>
      <c r="AV12" s="1402"/>
      <c r="AW12" s="1402"/>
      <c r="AX12" s="1402"/>
      <c r="AY12" s="1402"/>
      <c r="AZ12" s="1402"/>
      <c r="BA12" s="1403">
        <v>57485583.270000003</v>
      </c>
      <c r="BB12" s="1403"/>
      <c r="BC12" s="1403"/>
      <c r="BD12" s="1403"/>
      <c r="BE12" s="1403"/>
      <c r="BF12" s="1403"/>
      <c r="BG12" s="1403"/>
      <c r="BH12" s="1403"/>
      <c r="BI12" s="1403"/>
      <c r="BJ12" s="1403"/>
      <c r="BK12" s="1403"/>
      <c r="BL12" s="1403"/>
      <c r="BM12" s="1403"/>
      <c r="BN12" s="1403"/>
      <c r="BO12" s="1403"/>
      <c r="BP12" s="1403"/>
      <c r="BQ12" s="1403"/>
      <c r="BR12" s="1403"/>
    </row>
    <row r="14" spans="1:70" ht="3" customHeight="1" x14ac:dyDescent="0.25"/>
    <row r="15" spans="1:70" s="1042" customFormat="1" ht="14.25" x14ac:dyDescent="0.2">
      <c r="A15" s="1351" t="s">
        <v>954</v>
      </c>
      <c r="B15" s="1351"/>
      <c r="C15" s="1351"/>
      <c r="D15" s="1351"/>
      <c r="E15" s="1351"/>
      <c r="F15" s="1351"/>
      <c r="G15" s="1351"/>
      <c r="H15" s="1351"/>
      <c r="I15" s="1351"/>
      <c r="J15" s="1351"/>
      <c r="K15" s="1351"/>
      <c r="L15" s="1351"/>
      <c r="M15" s="1351"/>
      <c r="N15" s="1351"/>
      <c r="O15" s="1351"/>
      <c r="P15" s="1351"/>
      <c r="Q15" s="1351"/>
      <c r="R15" s="1351"/>
      <c r="S15" s="1351"/>
      <c r="T15" s="1351"/>
      <c r="U15" s="1351"/>
      <c r="V15" s="1351"/>
      <c r="W15" s="1351"/>
      <c r="X15" s="1351"/>
      <c r="Y15" s="1351"/>
      <c r="Z15" s="1351"/>
      <c r="AA15" s="1351"/>
      <c r="AB15" s="1351"/>
      <c r="AC15" s="1351"/>
      <c r="AD15" s="1351"/>
      <c r="AE15" s="1351"/>
      <c r="AF15" s="1351"/>
      <c r="AG15" s="1351"/>
      <c r="AH15" s="1351"/>
      <c r="AI15" s="1351"/>
      <c r="AJ15" s="1351"/>
      <c r="AK15" s="1351"/>
      <c r="AL15" s="1351"/>
      <c r="AM15" s="1351"/>
      <c r="AN15" s="1351"/>
      <c r="AO15" s="1351"/>
      <c r="AP15" s="1351"/>
      <c r="AQ15" s="1351"/>
      <c r="AR15" s="1351"/>
      <c r="AS15" s="1351"/>
      <c r="AT15" s="1351"/>
      <c r="AU15" s="1351"/>
      <c r="AV15" s="1351"/>
      <c r="AW15" s="1351"/>
      <c r="AX15" s="1351"/>
      <c r="AY15" s="1351"/>
      <c r="AZ15" s="1351"/>
      <c r="BA15" s="1351"/>
      <c r="BB15" s="1351"/>
      <c r="BC15" s="1351"/>
      <c r="BD15" s="1351"/>
      <c r="BE15" s="1351"/>
      <c r="BF15" s="1351"/>
      <c r="BG15" s="1351"/>
      <c r="BH15" s="1351"/>
      <c r="BI15" s="1351"/>
      <c r="BJ15" s="1351"/>
      <c r="BK15" s="1351"/>
      <c r="BL15" s="1351"/>
      <c r="BM15" s="1351"/>
      <c r="BN15" s="1351"/>
      <c r="BO15" s="1351"/>
      <c r="BP15" s="1351"/>
      <c r="BQ15" s="1351"/>
      <c r="BR15" s="1351"/>
    </row>
    <row r="16" spans="1:70" ht="14.25" customHeight="1" x14ac:dyDescent="0.25">
      <c r="A16" s="1351" t="s">
        <v>927</v>
      </c>
      <c r="B16" s="1351"/>
      <c r="C16" s="1351"/>
      <c r="D16" s="1351"/>
      <c r="E16" s="1351"/>
      <c r="F16" s="1351"/>
      <c r="G16" s="1351"/>
      <c r="H16" s="1351"/>
      <c r="I16" s="1351"/>
      <c r="J16" s="1351"/>
      <c r="K16" s="1351"/>
      <c r="L16" s="1351"/>
      <c r="M16" s="1351"/>
      <c r="N16" s="1351"/>
      <c r="O16" s="1351"/>
      <c r="P16" s="1351"/>
      <c r="Q16" s="1351"/>
      <c r="R16" s="1351"/>
      <c r="S16" s="1351"/>
      <c r="T16" s="1351"/>
      <c r="U16" s="1351"/>
      <c r="V16" s="1351"/>
      <c r="W16" s="1351"/>
      <c r="X16" s="1351"/>
      <c r="Y16" s="1351"/>
      <c r="Z16" s="1351"/>
      <c r="AA16" s="1351"/>
      <c r="AB16" s="1351"/>
      <c r="AC16" s="1351"/>
      <c r="AD16" s="1351"/>
      <c r="AE16" s="1351"/>
      <c r="AF16" s="1351"/>
      <c r="AG16" s="1351"/>
      <c r="AH16" s="1351"/>
      <c r="AI16" s="1351"/>
      <c r="AJ16" s="1351"/>
      <c r="AK16" s="1351"/>
      <c r="AL16" s="1351"/>
      <c r="AM16" s="1351"/>
      <c r="AN16" s="1351"/>
      <c r="AO16" s="1351"/>
      <c r="AP16" s="1351"/>
      <c r="AQ16" s="1351"/>
      <c r="AR16" s="1351"/>
      <c r="AS16" s="1351"/>
      <c r="AT16" s="1351"/>
      <c r="AU16" s="1351"/>
      <c r="AV16" s="1351"/>
      <c r="AW16" s="1351"/>
      <c r="AX16" s="1351"/>
      <c r="AY16" s="1351"/>
      <c r="AZ16" s="1351"/>
      <c r="BA16" s="1351"/>
      <c r="BB16" s="1351"/>
      <c r="BC16" s="1351"/>
      <c r="BD16" s="1351"/>
      <c r="BE16" s="1351"/>
      <c r="BF16" s="1351"/>
      <c r="BG16" s="1351"/>
      <c r="BH16" s="1351"/>
      <c r="BI16" s="1351"/>
      <c r="BJ16" s="1351"/>
      <c r="BK16" s="1351"/>
      <c r="BL16" s="1351"/>
      <c r="BM16" s="1351"/>
      <c r="BN16" s="1351"/>
      <c r="BO16" s="1351"/>
      <c r="BP16" s="1351"/>
      <c r="BQ16" s="1351"/>
      <c r="BR16" s="1351"/>
    </row>
    <row r="17" spans="1:70" ht="44.25" customHeight="1" x14ac:dyDescent="0.25">
      <c r="A17" s="1395" t="s">
        <v>88</v>
      </c>
      <c r="B17" s="1396"/>
      <c r="C17" s="1396"/>
      <c r="D17" s="1396"/>
      <c r="E17" s="1396"/>
      <c r="F17" s="1396"/>
      <c r="G17" s="1396"/>
      <c r="H17" s="1396"/>
      <c r="I17" s="1396"/>
      <c r="J17" s="1396"/>
      <c r="K17" s="1396"/>
      <c r="L17" s="1396"/>
      <c r="M17" s="1396"/>
      <c r="N17" s="1396"/>
      <c r="O17" s="1396"/>
      <c r="P17" s="1396"/>
      <c r="Q17" s="1396"/>
      <c r="R17" s="1396"/>
      <c r="S17" s="1396"/>
      <c r="T17" s="1396"/>
      <c r="U17" s="1396"/>
      <c r="V17" s="1396"/>
      <c r="W17" s="1396"/>
      <c r="X17" s="1396"/>
      <c r="Y17" s="1396"/>
      <c r="Z17" s="1396"/>
      <c r="AA17" s="1396"/>
      <c r="AB17" s="1396"/>
      <c r="AC17" s="1396"/>
      <c r="AD17" s="1396"/>
      <c r="AE17" s="1396"/>
      <c r="AF17" s="1396"/>
      <c r="AG17" s="1396"/>
      <c r="AH17" s="1396"/>
      <c r="AI17" s="1396"/>
      <c r="AJ17" s="1396"/>
      <c r="AK17" s="1396"/>
      <c r="AL17" s="1396"/>
      <c r="AM17" s="1396"/>
      <c r="AN17" s="1396"/>
      <c r="AO17" s="1397"/>
      <c r="AP17" s="1395" t="s">
        <v>133</v>
      </c>
      <c r="AQ17" s="1396"/>
      <c r="AR17" s="1396"/>
      <c r="AS17" s="1396"/>
      <c r="AT17" s="1396"/>
      <c r="AU17" s="1396"/>
      <c r="AV17" s="1396"/>
      <c r="AW17" s="1396"/>
      <c r="AX17" s="1396"/>
      <c r="AY17" s="1396"/>
      <c r="AZ17" s="1397"/>
      <c r="BA17" s="1395" t="s">
        <v>955</v>
      </c>
      <c r="BB17" s="1396"/>
      <c r="BC17" s="1396"/>
      <c r="BD17" s="1396"/>
      <c r="BE17" s="1396"/>
      <c r="BF17" s="1396"/>
      <c r="BG17" s="1396"/>
      <c r="BH17" s="1396"/>
      <c r="BI17" s="1396"/>
      <c r="BJ17" s="1396"/>
      <c r="BK17" s="1396"/>
      <c r="BL17" s="1396"/>
      <c r="BM17" s="1396"/>
      <c r="BN17" s="1396"/>
      <c r="BO17" s="1396"/>
      <c r="BP17" s="1396"/>
      <c r="BQ17" s="1396"/>
      <c r="BR17" s="1397"/>
    </row>
    <row r="18" spans="1:70" s="1047" customFormat="1" ht="12.75" x14ac:dyDescent="0.2">
      <c r="A18" s="1398">
        <v>1</v>
      </c>
      <c r="B18" s="1398"/>
      <c r="C18" s="1398"/>
      <c r="D18" s="1398"/>
      <c r="E18" s="1398"/>
      <c r="F18" s="1398"/>
      <c r="G18" s="1398"/>
      <c r="H18" s="1398"/>
      <c r="I18" s="1398"/>
      <c r="J18" s="1398"/>
      <c r="K18" s="1398"/>
      <c r="L18" s="1398"/>
      <c r="M18" s="1398"/>
      <c r="N18" s="1398"/>
      <c r="O18" s="1398"/>
      <c r="P18" s="1398"/>
      <c r="Q18" s="1398"/>
      <c r="R18" s="1398"/>
      <c r="S18" s="1398"/>
      <c r="T18" s="1398"/>
      <c r="U18" s="1398"/>
      <c r="V18" s="1398"/>
      <c r="W18" s="1398"/>
      <c r="X18" s="1398"/>
      <c r="Y18" s="1398"/>
      <c r="Z18" s="1398"/>
      <c r="AA18" s="1398"/>
      <c r="AB18" s="1398"/>
      <c r="AC18" s="1398"/>
      <c r="AD18" s="1398"/>
      <c r="AE18" s="1398"/>
      <c r="AF18" s="1398"/>
      <c r="AG18" s="1398"/>
      <c r="AH18" s="1398"/>
      <c r="AI18" s="1398"/>
      <c r="AJ18" s="1398"/>
      <c r="AK18" s="1398"/>
      <c r="AL18" s="1398"/>
      <c r="AM18" s="1398"/>
      <c r="AN18" s="1398"/>
      <c r="AO18" s="1398"/>
      <c r="AP18" s="1398">
        <v>2</v>
      </c>
      <c r="AQ18" s="1398"/>
      <c r="AR18" s="1398"/>
      <c r="AS18" s="1398"/>
      <c r="AT18" s="1398"/>
      <c r="AU18" s="1398"/>
      <c r="AV18" s="1398"/>
      <c r="AW18" s="1398"/>
      <c r="AX18" s="1398"/>
      <c r="AY18" s="1398"/>
      <c r="AZ18" s="1398"/>
      <c r="BA18" s="1398">
        <v>3</v>
      </c>
      <c r="BB18" s="1398"/>
      <c r="BC18" s="1398"/>
      <c r="BD18" s="1398"/>
      <c r="BE18" s="1398"/>
      <c r="BF18" s="1398"/>
      <c r="BG18" s="1398"/>
      <c r="BH18" s="1398"/>
      <c r="BI18" s="1398"/>
      <c r="BJ18" s="1398"/>
      <c r="BK18" s="1398"/>
      <c r="BL18" s="1398"/>
      <c r="BM18" s="1398"/>
      <c r="BN18" s="1398"/>
      <c r="BO18" s="1398"/>
      <c r="BP18" s="1398"/>
      <c r="BQ18" s="1398"/>
      <c r="BR18" s="1398"/>
    </row>
    <row r="19" spans="1:70" ht="15" customHeight="1" x14ac:dyDescent="0.25">
      <c r="A19" s="1399" t="s">
        <v>217</v>
      </c>
      <c r="B19" s="1400"/>
      <c r="C19" s="1400"/>
      <c r="D19" s="1400"/>
      <c r="E19" s="1400"/>
      <c r="F19" s="1400"/>
      <c r="G19" s="1400"/>
      <c r="H19" s="1400"/>
      <c r="I19" s="1400"/>
      <c r="J19" s="1400"/>
      <c r="K19" s="1400"/>
      <c r="L19" s="1400"/>
      <c r="M19" s="1400"/>
      <c r="N19" s="1400"/>
      <c r="O19" s="1400"/>
      <c r="P19" s="1400"/>
      <c r="Q19" s="1400"/>
      <c r="R19" s="1400"/>
      <c r="S19" s="1400"/>
      <c r="T19" s="1400"/>
      <c r="U19" s="1400"/>
      <c r="V19" s="1400"/>
      <c r="W19" s="1400"/>
      <c r="X19" s="1400"/>
      <c r="Y19" s="1400"/>
      <c r="Z19" s="1400"/>
      <c r="AA19" s="1400"/>
      <c r="AB19" s="1400"/>
      <c r="AC19" s="1400"/>
      <c r="AD19" s="1400"/>
      <c r="AE19" s="1400"/>
      <c r="AF19" s="1400"/>
      <c r="AG19" s="1400"/>
      <c r="AH19" s="1400"/>
      <c r="AI19" s="1400"/>
      <c r="AJ19" s="1400"/>
      <c r="AK19" s="1400"/>
      <c r="AL19" s="1400"/>
      <c r="AM19" s="1400"/>
      <c r="AN19" s="1400"/>
      <c r="AO19" s="1401"/>
      <c r="AP19" s="1402" t="s">
        <v>246</v>
      </c>
      <c r="AQ19" s="1402"/>
      <c r="AR19" s="1402"/>
      <c r="AS19" s="1402"/>
      <c r="AT19" s="1402"/>
      <c r="AU19" s="1402"/>
      <c r="AV19" s="1402"/>
      <c r="AW19" s="1402"/>
      <c r="AX19" s="1402"/>
      <c r="AY19" s="1402"/>
      <c r="AZ19" s="1402"/>
      <c r="BA19" s="1403">
        <v>0</v>
      </c>
      <c r="BB19" s="1403"/>
      <c r="BC19" s="1403"/>
      <c r="BD19" s="1403"/>
      <c r="BE19" s="1403"/>
      <c r="BF19" s="1403"/>
      <c r="BG19" s="1403"/>
      <c r="BH19" s="1403"/>
      <c r="BI19" s="1403"/>
      <c r="BJ19" s="1403"/>
      <c r="BK19" s="1403"/>
      <c r="BL19" s="1403"/>
      <c r="BM19" s="1403"/>
      <c r="BN19" s="1403"/>
      <c r="BO19" s="1403"/>
      <c r="BP19" s="1403"/>
      <c r="BQ19" s="1403"/>
      <c r="BR19" s="1403"/>
    </row>
    <row r="20" spans="1:70" ht="73.5" customHeight="1" x14ac:dyDescent="0.25">
      <c r="A20" s="1399" t="s">
        <v>956</v>
      </c>
      <c r="B20" s="1400"/>
      <c r="C20" s="1400"/>
      <c r="D20" s="1400"/>
      <c r="E20" s="1400"/>
      <c r="F20" s="1400"/>
      <c r="G20" s="1400"/>
      <c r="H20" s="1400"/>
      <c r="I20" s="1400"/>
      <c r="J20" s="1400"/>
      <c r="K20" s="1400"/>
      <c r="L20" s="1400"/>
      <c r="M20" s="1400"/>
      <c r="N20" s="1400"/>
      <c r="O20" s="1400"/>
      <c r="P20" s="1400"/>
      <c r="Q20" s="1400"/>
      <c r="R20" s="1400"/>
      <c r="S20" s="1400"/>
      <c r="T20" s="1400"/>
      <c r="U20" s="1400"/>
      <c r="V20" s="1400"/>
      <c r="W20" s="1400"/>
      <c r="X20" s="1400"/>
      <c r="Y20" s="1400"/>
      <c r="Z20" s="1400"/>
      <c r="AA20" s="1400"/>
      <c r="AB20" s="1400"/>
      <c r="AC20" s="1400"/>
      <c r="AD20" s="1400"/>
      <c r="AE20" s="1400"/>
      <c r="AF20" s="1400"/>
      <c r="AG20" s="1400"/>
      <c r="AH20" s="1400"/>
      <c r="AI20" s="1400"/>
      <c r="AJ20" s="1400"/>
      <c r="AK20" s="1400"/>
      <c r="AL20" s="1400"/>
      <c r="AM20" s="1400"/>
      <c r="AN20" s="1400"/>
      <c r="AO20" s="1401"/>
      <c r="AP20" s="1402" t="s">
        <v>247</v>
      </c>
      <c r="AQ20" s="1402"/>
      <c r="AR20" s="1402"/>
      <c r="AS20" s="1402"/>
      <c r="AT20" s="1402"/>
      <c r="AU20" s="1402"/>
      <c r="AV20" s="1402"/>
      <c r="AW20" s="1402"/>
      <c r="AX20" s="1402"/>
      <c r="AY20" s="1402"/>
      <c r="AZ20" s="1402"/>
      <c r="BA20" s="1403">
        <v>0</v>
      </c>
      <c r="BB20" s="1403"/>
      <c r="BC20" s="1403"/>
      <c r="BD20" s="1403"/>
      <c r="BE20" s="1403"/>
      <c r="BF20" s="1403"/>
      <c r="BG20" s="1403"/>
      <c r="BH20" s="1403"/>
      <c r="BI20" s="1403"/>
      <c r="BJ20" s="1403"/>
      <c r="BK20" s="1403"/>
      <c r="BL20" s="1403"/>
      <c r="BM20" s="1403"/>
      <c r="BN20" s="1403"/>
      <c r="BO20" s="1403"/>
      <c r="BP20" s="1403"/>
      <c r="BQ20" s="1403"/>
      <c r="BR20" s="1403"/>
    </row>
    <row r="21" spans="1:70" ht="31.5" customHeight="1" x14ac:dyDescent="0.25">
      <c r="A21" s="1399" t="s">
        <v>219</v>
      </c>
      <c r="B21" s="1400"/>
      <c r="C21" s="1400"/>
      <c r="D21" s="1400"/>
      <c r="E21" s="1400"/>
      <c r="F21" s="1400"/>
      <c r="G21" s="1400"/>
      <c r="H21" s="1400"/>
      <c r="I21" s="1400"/>
      <c r="J21" s="1400"/>
      <c r="K21" s="1400"/>
      <c r="L21" s="1400"/>
      <c r="M21" s="1400"/>
      <c r="N21" s="1400"/>
      <c r="O21" s="1400"/>
      <c r="P21" s="1400"/>
      <c r="Q21" s="1400"/>
      <c r="R21" s="1400"/>
      <c r="S21" s="1400"/>
      <c r="T21" s="1400"/>
      <c r="U21" s="1400"/>
      <c r="V21" s="1400"/>
      <c r="W21" s="1400"/>
      <c r="X21" s="1400"/>
      <c r="Y21" s="1400"/>
      <c r="Z21" s="1400"/>
      <c r="AA21" s="1400"/>
      <c r="AB21" s="1400"/>
      <c r="AC21" s="1400"/>
      <c r="AD21" s="1400"/>
      <c r="AE21" s="1400"/>
      <c r="AF21" s="1400"/>
      <c r="AG21" s="1400"/>
      <c r="AH21" s="1400"/>
      <c r="AI21" s="1400"/>
      <c r="AJ21" s="1400"/>
      <c r="AK21" s="1400"/>
      <c r="AL21" s="1400"/>
      <c r="AM21" s="1400"/>
      <c r="AN21" s="1400"/>
      <c r="AO21" s="1401"/>
      <c r="AP21" s="1402" t="s">
        <v>249</v>
      </c>
      <c r="AQ21" s="1402"/>
      <c r="AR21" s="1402"/>
      <c r="AS21" s="1402"/>
      <c r="AT21" s="1402"/>
      <c r="AU21" s="1402"/>
      <c r="AV21" s="1402"/>
      <c r="AW21" s="1402"/>
      <c r="AX21" s="1402"/>
      <c r="AY21" s="1402"/>
      <c r="AZ21" s="1402"/>
      <c r="BA21" s="1403">
        <v>0</v>
      </c>
      <c r="BB21" s="1403"/>
      <c r="BC21" s="1403"/>
      <c r="BD21" s="1403"/>
      <c r="BE21" s="1403"/>
      <c r="BF21" s="1403"/>
      <c r="BG21" s="1403"/>
      <c r="BH21" s="1403"/>
      <c r="BI21" s="1403"/>
      <c r="BJ21" s="1403"/>
      <c r="BK21" s="1403"/>
      <c r="BL21" s="1403"/>
      <c r="BM21" s="1403"/>
      <c r="BN21" s="1403"/>
      <c r="BO21" s="1403"/>
      <c r="BP21" s="1403"/>
      <c r="BQ21" s="1403"/>
      <c r="BR21" s="1403"/>
    </row>
    <row r="23" spans="1:70" ht="27.75" customHeight="1" x14ac:dyDescent="0.25">
      <c r="A23" s="1405" t="s">
        <v>995</v>
      </c>
      <c r="B23" s="1405"/>
      <c r="C23" s="1405"/>
      <c r="D23" s="1405"/>
      <c r="E23" s="1405"/>
      <c r="F23" s="1405"/>
      <c r="G23" s="1405"/>
      <c r="H23" s="1405"/>
      <c r="I23" s="1405"/>
      <c r="J23" s="1405"/>
      <c r="K23" s="1405"/>
      <c r="L23" s="1405"/>
      <c r="M23" s="1405"/>
      <c r="N23" s="1405"/>
      <c r="O23" s="1405"/>
      <c r="P23" s="1405"/>
      <c r="Q23" s="1405"/>
      <c r="R23" s="1405"/>
      <c r="S23" s="1405"/>
      <c r="T23" s="1405"/>
      <c r="U23" s="1405"/>
      <c r="V23" s="1405"/>
      <c r="W23" s="1405"/>
      <c r="X23" s="1405"/>
      <c r="Y23" s="1405"/>
      <c r="Z23" s="1405"/>
      <c r="AA23" s="1405"/>
      <c r="AB23" s="1405"/>
      <c r="AC23" s="1405"/>
      <c r="AD23" s="1405"/>
      <c r="AE23" s="1405"/>
      <c r="AF23" s="1405"/>
      <c r="AG23" s="1405"/>
      <c r="AH23" s="1405"/>
      <c r="AI23" s="1405"/>
      <c r="AJ23" s="1405"/>
      <c r="AK23" s="1405"/>
      <c r="AL23" s="1405"/>
      <c r="AM23" s="1405"/>
      <c r="AN23" s="1405"/>
      <c r="AO23" s="1405"/>
      <c r="AP23" s="1406"/>
      <c r="AQ23" s="1406"/>
      <c r="AR23" s="1406"/>
      <c r="AS23" s="1406"/>
      <c r="AT23" s="1406"/>
      <c r="AU23" s="1406"/>
      <c r="AV23" s="1406"/>
      <c r="AW23" s="1406"/>
      <c r="AX23" s="1406"/>
      <c r="AY23" s="1406"/>
      <c r="AZ23" s="1406"/>
      <c r="BA23" s="1407" t="s">
        <v>994</v>
      </c>
      <c r="BB23" s="1407"/>
      <c r="BC23" s="1407"/>
      <c r="BD23" s="1407"/>
      <c r="BE23" s="1407"/>
      <c r="BF23" s="1407"/>
      <c r="BG23" s="1407"/>
      <c r="BH23" s="1407"/>
      <c r="BI23" s="1407"/>
      <c r="BJ23" s="1407"/>
      <c r="BK23" s="1407"/>
      <c r="BL23" s="1407"/>
      <c r="BM23" s="1407"/>
      <c r="BN23" s="1407"/>
      <c r="BO23" s="1407"/>
      <c r="BP23" s="1407"/>
      <c r="BQ23" s="1407"/>
      <c r="BR23" s="1407"/>
    </row>
    <row r="24" spans="1:70" ht="12" customHeight="1" x14ac:dyDescent="0.25">
      <c r="AP24" s="1394" t="s">
        <v>959</v>
      </c>
      <c r="AQ24" s="1394"/>
      <c r="AR24" s="1394"/>
      <c r="AS24" s="1394"/>
      <c r="AT24" s="1394"/>
      <c r="AU24" s="1394"/>
      <c r="AV24" s="1394"/>
      <c r="AW24" s="1394"/>
      <c r="AX24" s="1394"/>
      <c r="AY24" s="1394"/>
      <c r="AZ24" s="1394"/>
      <c r="BA24" s="1404" t="s">
        <v>960</v>
      </c>
      <c r="BB24" s="1404"/>
      <c r="BC24" s="1404"/>
      <c r="BD24" s="1404"/>
      <c r="BE24" s="1404"/>
      <c r="BF24" s="1404"/>
      <c r="BG24" s="1404"/>
      <c r="BH24" s="1404"/>
      <c r="BI24" s="1404"/>
      <c r="BJ24" s="1404"/>
      <c r="BK24" s="1404"/>
      <c r="BL24" s="1404"/>
      <c r="BM24" s="1404"/>
      <c r="BN24" s="1404"/>
      <c r="BO24" s="1404"/>
      <c r="BP24" s="1404"/>
      <c r="BQ24" s="1404"/>
      <c r="BR24" s="1404"/>
    </row>
    <row r="25" spans="1:70" ht="12" customHeight="1" x14ac:dyDescent="0.25">
      <c r="AP25" s="1048"/>
      <c r="AQ25" s="1048"/>
      <c r="AR25" s="1048"/>
      <c r="AS25" s="1048"/>
      <c r="AT25" s="1048"/>
      <c r="AU25" s="1048"/>
      <c r="AV25" s="1048"/>
      <c r="AW25" s="1048"/>
      <c r="AX25" s="1048"/>
      <c r="AY25" s="1048"/>
      <c r="AZ25" s="1048"/>
      <c r="BA25" s="1049"/>
      <c r="BB25" s="1049"/>
      <c r="BC25" s="1049"/>
      <c r="BD25" s="1049"/>
      <c r="BE25" s="1049"/>
      <c r="BF25" s="1049"/>
      <c r="BG25" s="1049"/>
      <c r="BH25" s="1049"/>
      <c r="BI25" s="1049"/>
      <c r="BJ25" s="1049"/>
      <c r="BK25" s="1049"/>
      <c r="BL25" s="1049"/>
      <c r="BM25" s="1049"/>
      <c r="BN25" s="1049"/>
      <c r="BO25" s="1049"/>
      <c r="BP25" s="1049"/>
      <c r="BQ25" s="1049"/>
      <c r="BR25" s="1049"/>
    </row>
    <row r="26" spans="1:70" ht="30" customHeight="1" x14ac:dyDescent="0.25">
      <c r="A26" s="1405" t="s">
        <v>480</v>
      </c>
      <c r="B26" s="1405"/>
      <c r="C26" s="1405"/>
      <c r="D26" s="1405"/>
      <c r="E26" s="1405"/>
      <c r="F26" s="1405"/>
      <c r="G26" s="1405"/>
      <c r="H26" s="1405"/>
      <c r="I26" s="1405"/>
      <c r="J26" s="1405"/>
      <c r="K26" s="1405"/>
      <c r="L26" s="1405"/>
      <c r="M26" s="1405"/>
      <c r="N26" s="1405"/>
      <c r="O26" s="1405"/>
      <c r="P26" s="1405"/>
      <c r="Q26" s="1405"/>
      <c r="R26" s="1405"/>
      <c r="S26" s="1405"/>
      <c r="T26" s="1405"/>
      <c r="U26" s="1405"/>
      <c r="V26" s="1405"/>
      <c r="W26" s="1405"/>
      <c r="X26" s="1405"/>
      <c r="Y26" s="1405"/>
      <c r="Z26" s="1405"/>
      <c r="AA26" s="1405"/>
      <c r="AB26" s="1405"/>
      <c r="AC26" s="1405"/>
      <c r="AD26" s="1405"/>
      <c r="AE26" s="1405"/>
      <c r="AF26" s="1405"/>
      <c r="AG26" s="1405"/>
      <c r="AH26" s="1405"/>
      <c r="AI26" s="1405"/>
      <c r="AJ26" s="1405"/>
      <c r="AK26" s="1405"/>
      <c r="AL26" s="1405"/>
      <c r="AM26" s="1405"/>
      <c r="AN26" s="1405"/>
      <c r="AO26" s="1405"/>
      <c r="AP26" s="1406"/>
      <c r="AQ26" s="1406"/>
      <c r="AR26" s="1406"/>
      <c r="AS26" s="1406"/>
      <c r="AT26" s="1406"/>
      <c r="AU26" s="1406"/>
      <c r="AV26" s="1406"/>
      <c r="AW26" s="1406"/>
      <c r="AX26" s="1406"/>
      <c r="AY26" s="1406"/>
      <c r="AZ26" s="1406"/>
      <c r="BA26" s="1407" t="s">
        <v>974</v>
      </c>
      <c r="BB26" s="1407"/>
      <c r="BC26" s="1407"/>
      <c r="BD26" s="1407"/>
      <c r="BE26" s="1407"/>
      <c r="BF26" s="1407"/>
      <c r="BG26" s="1407"/>
      <c r="BH26" s="1407"/>
      <c r="BI26" s="1407"/>
      <c r="BJ26" s="1407"/>
      <c r="BK26" s="1407"/>
      <c r="BL26" s="1407"/>
      <c r="BM26" s="1407"/>
      <c r="BN26" s="1407"/>
      <c r="BO26" s="1407"/>
      <c r="BP26" s="1407"/>
      <c r="BQ26" s="1407"/>
      <c r="BR26" s="1407"/>
    </row>
    <row r="27" spans="1:70" ht="12" customHeight="1" x14ac:dyDescent="0.25">
      <c r="AP27" s="1394" t="s">
        <v>959</v>
      </c>
      <c r="AQ27" s="1394"/>
      <c r="AR27" s="1394"/>
      <c r="AS27" s="1394"/>
      <c r="AT27" s="1394"/>
      <c r="AU27" s="1394"/>
      <c r="AV27" s="1394"/>
      <c r="AW27" s="1394"/>
      <c r="AX27" s="1394"/>
      <c r="AY27" s="1394"/>
      <c r="AZ27" s="1394"/>
      <c r="BA27" s="1404" t="s">
        <v>960</v>
      </c>
      <c r="BB27" s="1404"/>
      <c r="BC27" s="1404"/>
      <c r="BD27" s="1404"/>
      <c r="BE27" s="1404"/>
      <c r="BF27" s="1404"/>
      <c r="BG27" s="1404"/>
      <c r="BH27" s="1404"/>
      <c r="BI27" s="1404"/>
      <c r="BJ27" s="1404"/>
      <c r="BK27" s="1404"/>
      <c r="BL27" s="1404"/>
      <c r="BM27" s="1404"/>
      <c r="BN27" s="1404"/>
      <c r="BO27" s="1404"/>
      <c r="BP27" s="1404"/>
      <c r="BQ27" s="1404"/>
      <c r="BR27" s="1404"/>
    </row>
    <row r="28" spans="1:70" ht="12" customHeight="1" x14ac:dyDescent="0.25">
      <c r="AP28" s="1048"/>
      <c r="AQ28" s="1048"/>
      <c r="AR28" s="1048"/>
      <c r="AS28" s="1048"/>
      <c r="AT28" s="1048"/>
      <c r="AU28" s="1048"/>
      <c r="AV28" s="1048"/>
      <c r="AW28" s="1048"/>
      <c r="AX28" s="1048"/>
      <c r="AY28" s="1048"/>
      <c r="AZ28" s="1048"/>
      <c r="BA28" s="1049"/>
      <c r="BB28" s="1049"/>
      <c r="BC28" s="1049"/>
      <c r="BD28" s="1049"/>
      <c r="BE28" s="1049"/>
      <c r="BF28" s="1049"/>
      <c r="BG28" s="1049"/>
      <c r="BH28" s="1049"/>
      <c r="BI28" s="1049"/>
      <c r="BJ28" s="1049"/>
      <c r="BK28" s="1049"/>
      <c r="BL28" s="1049"/>
      <c r="BM28" s="1049"/>
      <c r="BN28" s="1049"/>
      <c r="BO28" s="1049"/>
      <c r="BP28" s="1049"/>
      <c r="BQ28" s="1049"/>
      <c r="BR28" s="1049"/>
    </row>
    <row r="29" spans="1:70" ht="18.75" customHeight="1" x14ac:dyDescent="0.25">
      <c r="A29" s="1405" t="s">
        <v>967</v>
      </c>
      <c r="B29" s="1405"/>
      <c r="C29" s="1405"/>
      <c r="D29" s="1405"/>
      <c r="E29" s="1405"/>
      <c r="F29" s="1405"/>
      <c r="G29" s="1405"/>
      <c r="H29" s="1405"/>
      <c r="I29" s="1405"/>
      <c r="J29" s="1405"/>
      <c r="K29" s="1405"/>
      <c r="L29" s="1405"/>
      <c r="M29" s="1405"/>
      <c r="N29" s="1405"/>
      <c r="O29" s="1405"/>
      <c r="P29" s="1405"/>
      <c r="Q29" s="1405"/>
      <c r="R29" s="1405"/>
      <c r="S29" s="1405"/>
      <c r="T29" s="1405"/>
      <c r="U29" s="1405"/>
      <c r="V29" s="1405"/>
      <c r="W29" s="1405"/>
      <c r="X29" s="1405"/>
      <c r="Y29" s="1405"/>
      <c r="Z29" s="1405"/>
      <c r="AA29" s="1405"/>
      <c r="AB29" s="1405"/>
      <c r="AC29" s="1405"/>
      <c r="AD29" s="1405"/>
      <c r="AE29" s="1405"/>
      <c r="AF29" s="1405"/>
      <c r="AG29" s="1405"/>
      <c r="AH29" s="1405"/>
      <c r="AI29" s="1405"/>
      <c r="AJ29" s="1405"/>
      <c r="AK29" s="1405"/>
      <c r="AL29" s="1405"/>
      <c r="AM29" s="1405"/>
      <c r="AN29" s="1405"/>
      <c r="AO29" s="1405"/>
      <c r="AP29" s="1406"/>
      <c r="AQ29" s="1406"/>
      <c r="AR29" s="1406"/>
      <c r="AS29" s="1406"/>
      <c r="AT29" s="1406"/>
      <c r="AU29" s="1406"/>
      <c r="AV29" s="1406"/>
      <c r="AW29" s="1406"/>
      <c r="AX29" s="1406"/>
      <c r="AY29" s="1406"/>
      <c r="AZ29" s="1406"/>
      <c r="BA29" s="1407" t="s">
        <v>445</v>
      </c>
      <c r="BB29" s="1407"/>
      <c r="BC29" s="1407"/>
      <c r="BD29" s="1407"/>
      <c r="BE29" s="1407"/>
      <c r="BF29" s="1407"/>
      <c r="BG29" s="1407"/>
      <c r="BH29" s="1407"/>
      <c r="BI29" s="1407"/>
      <c r="BJ29" s="1407"/>
      <c r="BK29" s="1407"/>
      <c r="BL29" s="1407"/>
      <c r="BM29" s="1407"/>
      <c r="BN29" s="1407"/>
      <c r="BO29" s="1407"/>
      <c r="BP29" s="1407"/>
      <c r="BQ29" s="1407"/>
      <c r="BR29" s="1407"/>
    </row>
    <row r="30" spans="1:70" ht="12" customHeight="1" x14ac:dyDescent="0.25">
      <c r="AP30" s="1394" t="s">
        <v>959</v>
      </c>
      <c r="AQ30" s="1394"/>
      <c r="AR30" s="1394"/>
      <c r="AS30" s="1394"/>
      <c r="AT30" s="1394"/>
      <c r="AU30" s="1394"/>
      <c r="AV30" s="1394"/>
      <c r="AW30" s="1394"/>
      <c r="AX30" s="1394"/>
      <c r="AY30" s="1394"/>
      <c r="AZ30" s="1394"/>
      <c r="BA30" s="1404" t="s">
        <v>960</v>
      </c>
      <c r="BB30" s="1404"/>
      <c r="BC30" s="1404"/>
      <c r="BD30" s="1404"/>
      <c r="BE30" s="1404"/>
      <c r="BF30" s="1404"/>
      <c r="BG30" s="1404"/>
      <c r="BH30" s="1404"/>
      <c r="BI30" s="1404"/>
      <c r="BJ30" s="1404"/>
      <c r="BK30" s="1404"/>
      <c r="BL30" s="1404"/>
      <c r="BM30" s="1404"/>
      <c r="BN30" s="1404"/>
      <c r="BO30" s="1404"/>
      <c r="BP30" s="1404"/>
      <c r="BQ30" s="1404"/>
      <c r="BR30" s="1404"/>
    </row>
    <row r="31" spans="1:70" ht="12" customHeight="1" x14ac:dyDescent="0.25">
      <c r="AP31" s="1048"/>
      <c r="AQ31" s="1048"/>
      <c r="AR31" s="1048"/>
      <c r="AS31" s="1048"/>
      <c r="AT31" s="1048"/>
      <c r="AU31" s="1048"/>
      <c r="AV31" s="1048"/>
      <c r="AW31" s="1048"/>
      <c r="AX31" s="1048"/>
      <c r="AY31" s="1048"/>
      <c r="AZ31" s="1048"/>
      <c r="BA31" s="1049"/>
      <c r="BB31" s="1049"/>
      <c r="BC31" s="1049"/>
      <c r="BD31" s="1049"/>
      <c r="BE31" s="1049"/>
      <c r="BF31" s="1049"/>
      <c r="BG31" s="1049"/>
      <c r="BH31" s="1049"/>
      <c r="BI31" s="1049"/>
      <c r="BJ31" s="1049"/>
      <c r="BK31" s="1049"/>
      <c r="BL31" s="1049"/>
      <c r="BM31" s="1049"/>
      <c r="BN31" s="1049"/>
      <c r="BO31" s="1049"/>
      <c r="BP31" s="1049"/>
      <c r="BQ31" s="1049"/>
      <c r="BR31" s="1049"/>
    </row>
    <row r="32" spans="1:70" ht="12" customHeight="1" x14ac:dyDescent="0.25">
      <c r="A32" s="1405" t="s">
        <v>961</v>
      </c>
      <c r="B32" s="1405"/>
      <c r="C32" s="1405"/>
      <c r="D32" s="1405"/>
      <c r="E32" s="1405"/>
      <c r="F32" s="1405"/>
      <c r="G32" s="1405"/>
      <c r="H32" s="1405"/>
      <c r="I32" s="1405"/>
      <c r="J32" s="1405"/>
      <c r="K32" s="1405"/>
      <c r="L32" s="1405"/>
      <c r="M32" s="1405"/>
      <c r="N32" s="1405"/>
      <c r="O32" s="1405"/>
      <c r="P32" s="1405"/>
      <c r="Q32" s="1405"/>
      <c r="R32" s="1405"/>
      <c r="S32" s="1405"/>
      <c r="T32" s="1405"/>
      <c r="U32" s="1405"/>
      <c r="V32" s="1405"/>
      <c r="W32" s="1405"/>
      <c r="X32" s="1405"/>
      <c r="Y32" s="1405"/>
      <c r="Z32" s="1405"/>
      <c r="AA32" s="1405"/>
      <c r="AB32" s="1405"/>
      <c r="AC32" s="1405"/>
      <c r="AD32" s="1405"/>
      <c r="AE32" s="1405"/>
      <c r="AF32" s="1405"/>
      <c r="AG32" s="1405"/>
      <c r="AH32" s="1405"/>
      <c r="AI32" s="1405"/>
      <c r="AJ32" s="1405"/>
      <c r="AK32" s="1405"/>
      <c r="AL32" s="1405"/>
      <c r="AM32" s="1405"/>
      <c r="AN32" s="1405"/>
      <c r="AO32" s="1405"/>
      <c r="AP32" s="1406"/>
      <c r="AQ32" s="1406"/>
      <c r="AR32" s="1406"/>
      <c r="AS32" s="1406"/>
      <c r="AT32" s="1406"/>
      <c r="AU32" s="1406"/>
      <c r="AV32" s="1406"/>
      <c r="AW32" s="1406"/>
      <c r="AX32" s="1406"/>
      <c r="AY32" s="1406"/>
      <c r="AZ32" s="1406"/>
      <c r="BA32" s="1407" t="s">
        <v>445</v>
      </c>
      <c r="BB32" s="1407"/>
      <c r="BC32" s="1407"/>
      <c r="BD32" s="1407"/>
      <c r="BE32" s="1407"/>
      <c r="BF32" s="1407"/>
      <c r="BG32" s="1407"/>
      <c r="BH32" s="1407"/>
      <c r="BI32" s="1407"/>
      <c r="BJ32" s="1407"/>
      <c r="BK32" s="1407"/>
      <c r="BL32" s="1407"/>
      <c r="BM32" s="1407"/>
      <c r="BN32" s="1407"/>
      <c r="BO32" s="1407"/>
      <c r="BP32" s="1407"/>
      <c r="BQ32" s="1407"/>
      <c r="BR32" s="1407"/>
    </row>
    <row r="33" spans="1:70" ht="12" customHeight="1" x14ac:dyDescent="0.25">
      <c r="A33" s="1405" t="s">
        <v>962</v>
      </c>
      <c r="B33" s="1405"/>
      <c r="C33" s="1405"/>
      <c r="D33" s="1405"/>
      <c r="E33" s="1405"/>
      <c r="F33" s="1405"/>
      <c r="G33" s="1405"/>
      <c r="H33" s="1405"/>
      <c r="I33" s="1405"/>
      <c r="J33" s="1405"/>
      <c r="K33" s="1405"/>
      <c r="L33" s="1405"/>
      <c r="M33" s="1405"/>
      <c r="N33" s="1405"/>
      <c r="O33" s="1405"/>
      <c r="P33" s="1405"/>
      <c r="Q33" s="1405"/>
      <c r="R33" s="1405"/>
      <c r="S33" s="1405"/>
      <c r="T33" s="1405"/>
      <c r="U33" s="1405"/>
      <c r="V33" s="1405"/>
      <c r="W33" s="1405"/>
      <c r="X33" s="1405"/>
      <c r="Y33" s="1405"/>
      <c r="Z33" s="1405"/>
      <c r="AA33" s="1405"/>
      <c r="AB33" s="1405"/>
      <c r="AC33" s="1405"/>
      <c r="AD33" s="1405"/>
      <c r="AE33" s="1405"/>
      <c r="AF33" s="1405"/>
      <c r="AG33" s="1405"/>
      <c r="AH33" s="1405"/>
      <c r="AI33" s="1405"/>
      <c r="AJ33" s="1405"/>
      <c r="AK33" s="1405"/>
      <c r="AL33" s="1405"/>
      <c r="AM33" s="1405"/>
      <c r="AN33" s="1405"/>
      <c r="AO33" s="1405"/>
      <c r="AP33" s="1394" t="s">
        <v>959</v>
      </c>
      <c r="AQ33" s="1394"/>
      <c r="AR33" s="1394"/>
      <c r="AS33" s="1394"/>
      <c r="AT33" s="1394"/>
      <c r="AU33" s="1394"/>
      <c r="AV33" s="1394"/>
      <c r="AW33" s="1394"/>
      <c r="AX33" s="1394"/>
      <c r="AY33" s="1394"/>
      <c r="AZ33" s="1394"/>
      <c r="BA33" s="1404" t="s">
        <v>960</v>
      </c>
      <c r="BB33" s="1404"/>
      <c r="BC33" s="1404"/>
      <c r="BD33" s="1404"/>
      <c r="BE33" s="1404"/>
      <c r="BF33" s="1404"/>
      <c r="BG33" s="1404"/>
      <c r="BH33" s="1404"/>
      <c r="BI33" s="1404"/>
      <c r="BJ33" s="1404"/>
      <c r="BK33" s="1404"/>
      <c r="BL33" s="1404"/>
      <c r="BM33" s="1404"/>
      <c r="BN33" s="1404"/>
      <c r="BO33" s="1404"/>
      <c r="BP33" s="1404"/>
      <c r="BQ33" s="1404"/>
      <c r="BR33" s="1404"/>
    </row>
    <row r="34" spans="1:70" ht="15.75" hidden="1" customHeight="1" x14ac:dyDescent="0.25">
      <c r="A34" s="1405" t="s">
        <v>963</v>
      </c>
      <c r="B34" s="1405"/>
      <c r="C34" s="1405"/>
      <c r="D34" s="1405"/>
      <c r="E34" s="1405"/>
      <c r="F34" s="1405"/>
      <c r="G34" s="1405"/>
      <c r="H34" s="1405"/>
      <c r="I34" s="1405"/>
      <c r="J34" s="1405"/>
      <c r="K34" s="1405"/>
      <c r="L34" s="1405"/>
      <c r="M34" s="1405"/>
      <c r="N34" s="1405"/>
      <c r="O34" s="1405"/>
      <c r="P34" s="1405"/>
      <c r="Q34" s="1405"/>
      <c r="R34" s="1405"/>
      <c r="S34" s="1405"/>
      <c r="T34" s="1405"/>
      <c r="U34" s="1405"/>
      <c r="V34" s="1405"/>
      <c r="W34" s="1405"/>
      <c r="X34" s="1405"/>
      <c r="Y34" s="1405"/>
      <c r="Z34" s="1405"/>
      <c r="AA34" s="1405"/>
      <c r="AB34" s="1405"/>
      <c r="AC34" s="1405"/>
      <c r="AD34" s="1405"/>
      <c r="AE34" s="1405"/>
      <c r="AF34" s="1405"/>
      <c r="AG34" s="1405"/>
      <c r="AH34" s="1405"/>
      <c r="AI34" s="1405"/>
      <c r="AJ34" s="1405"/>
      <c r="AK34" s="1405"/>
      <c r="AL34" s="1405"/>
      <c r="AM34" s="1405"/>
      <c r="AN34" s="1405"/>
      <c r="AO34" s="1405"/>
    </row>
  </sheetData>
  <mergeCells count="61">
    <mergeCell ref="A34:AO34"/>
    <mergeCell ref="A32:AO32"/>
    <mergeCell ref="AP32:AZ32"/>
    <mergeCell ref="BA32:BR32"/>
    <mergeCell ref="A33:AO33"/>
    <mergeCell ref="AP33:AZ33"/>
    <mergeCell ref="BA33:BR33"/>
    <mergeCell ref="AP30:AZ30"/>
    <mergeCell ref="BA30:BR30"/>
    <mergeCell ref="A23:AO23"/>
    <mergeCell ref="AP23:AZ23"/>
    <mergeCell ref="BA23:BR23"/>
    <mergeCell ref="AP24:AZ24"/>
    <mergeCell ref="BA24:BR24"/>
    <mergeCell ref="A26:AO26"/>
    <mergeCell ref="AP26:AZ26"/>
    <mergeCell ref="BA26:BR26"/>
    <mergeCell ref="AP27:AZ27"/>
    <mergeCell ref="BA27:BR27"/>
    <mergeCell ref="A29:AO29"/>
    <mergeCell ref="AP29:AZ29"/>
    <mergeCell ref="BA29:BR29"/>
    <mergeCell ref="A20:AO20"/>
    <mergeCell ref="AP20:AZ20"/>
    <mergeCell ref="BA20:BR20"/>
    <mergeCell ref="A21:AO21"/>
    <mergeCell ref="AP21:AZ21"/>
    <mergeCell ref="BA21:BR21"/>
    <mergeCell ref="A18:AO18"/>
    <mergeCell ref="AP18:AZ18"/>
    <mergeCell ref="BA18:BR18"/>
    <mergeCell ref="A19:AO19"/>
    <mergeCell ref="AP19:AZ19"/>
    <mergeCell ref="BA19:BR19"/>
    <mergeCell ref="A17:AO17"/>
    <mergeCell ref="AP17:AZ17"/>
    <mergeCell ref="BA17:BR17"/>
    <mergeCell ref="A10:AO10"/>
    <mergeCell ref="AP10:AZ10"/>
    <mergeCell ref="BA10:BR10"/>
    <mergeCell ref="A11:AO11"/>
    <mergeCell ref="AP11:AZ11"/>
    <mergeCell ref="BA11:BR11"/>
    <mergeCell ref="A12:AO12"/>
    <mergeCell ref="AP12:AZ12"/>
    <mergeCell ref="BA12:BR12"/>
    <mergeCell ref="A15:BR15"/>
    <mergeCell ref="A16:BR16"/>
    <mergeCell ref="A8:AO8"/>
    <mergeCell ref="AP8:AZ8"/>
    <mergeCell ref="BA8:BR8"/>
    <mergeCell ref="A9:AO9"/>
    <mergeCell ref="AP9:AZ9"/>
    <mergeCell ref="BA9:BR9"/>
    <mergeCell ref="A2:BR2"/>
    <mergeCell ref="A3:BR3"/>
    <mergeCell ref="A4:BR4"/>
    <mergeCell ref="A5:BR5"/>
    <mergeCell ref="A7:AO7"/>
    <mergeCell ref="AP7:AZ7"/>
    <mergeCell ref="BA7:BR7"/>
  </mergeCells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39"/>
  <sheetViews>
    <sheetView workbookViewId="0">
      <selection activeCell="D18" sqref="D18:E18"/>
    </sheetView>
  </sheetViews>
  <sheetFormatPr defaultRowHeight="15" x14ac:dyDescent="0.25"/>
  <cols>
    <col min="1" max="1" width="52" style="56" customWidth="1"/>
    <col min="2" max="2" width="13.28515625" style="56" customWidth="1"/>
    <col min="3" max="3" width="20.140625" style="56" customWidth="1"/>
    <col min="4" max="4" width="16.28515625" style="56" customWidth="1"/>
    <col min="5" max="5" width="13.85546875" style="56" customWidth="1"/>
    <col min="6" max="6" width="16.28515625" style="56" customWidth="1"/>
    <col min="7" max="7" width="34.5703125" style="56" customWidth="1"/>
    <col min="8" max="16384" width="9.140625" style="56"/>
  </cols>
  <sheetData>
    <row r="1" spans="1:8" ht="15.75" x14ac:dyDescent="0.25">
      <c r="A1" s="74" t="s">
        <v>214</v>
      </c>
    </row>
    <row r="2" spans="1:8" ht="15.75" x14ac:dyDescent="0.25">
      <c r="A2" s="74" t="s">
        <v>215</v>
      </c>
    </row>
    <row r="3" spans="1:8" ht="15.75" x14ac:dyDescent="0.25">
      <c r="A3" s="58"/>
    </row>
    <row r="4" spans="1:8" ht="15.75" x14ac:dyDescent="0.25">
      <c r="A4" s="72" t="s">
        <v>88</v>
      </c>
      <c r="B4" s="72" t="s">
        <v>133</v>
      </c>
      <c r="C4" s="72" t="s">
        <v>216</v>
      </c>
    </row>
    <row r="5" spans="1:8" ht="15.75" x14ac:dyDescent="0.25">
      <c r="A5" s="72">
        <v>1</v>
      </c>
      <c r="B5" s="72">
        <v>2</v>
      </c>
      <c r="C5" s="72">
        <v>3</v>
      </c>
    </row>
    <row r="6" spans="1:8" ht="15.75" x14ac:dyDescent="0.25">
      <c r="A6" s="60" t="s">
        <v>217</v>
      </c>
      <c r="B6" s="272">
        <v>10</v>
      </c>
      <c r="C6" s="273">
        <v>0</v>
      </c>
    </row>
    <row r="7" spans="1:8" ht="78.75" x14ac:dyDescent="0.25">
      <c r="A7" s="60" t="s">
        <v>218</v>
      </c>
      <c r="B7" s="272">
        <v>20</v>
      </c>
      <c r="C7" s="273">
        <v>0</v>
      </c>
    </row>
    <row r="8" spans="1:8" ht="31.5" x14ac:dyDescent="0.25">
      <c r="A8" s="60" t="s">
        <v>219</v>
      </c>
      <c r="B8" s="272">
        <v>30</v>
      </c>
      <c r="C8" s="272" t="s">
        <v>149</v>
      </c>
    </row>
    <row r="9" spans="1:8" ht="15.75" x14ac:dyDescent="0.25">
      <c r="A9" s="58"/>
    </row>
    <row r="10" spans="1:8" s="12" customFormat="1" ht="15.75" x14ac:dyDescent="0.25">
      <c r="A10" s="65"/>
      <c r="B10" s="29"/>
      <c r="C10" s="71"/>
      <c r="D10" s="29"/>
      <c r="E10" s="29"/>
      <c r="F10" s="69"/>
      <c r="H10" s="75"/>
    </row>
    <row r="11" spans="1:8" s="12" customFormat="1" ht="15.75" x14ac:dyDescent="0.25">
      <c r="A11" s="65" t="s">
        <v>236</v>
      </c>
      <c r="B11" s="119"/>
      <c r="C11" s="120"/>
      <c r="D11" s="1410" t="s">
        <v>361</v>
      </c>
      <c r="E11" s="1410"/>
      <c r="H11" s="75"/>
    </row>
    <row r="12" spans="1:8" s="12" customFormat="1" ht="18.75" x14ac:dyDescent="0.25">
      <c r="A12" s="29"/>
      <c r="B12" s="29"/>
      <c r="C12" s="71"/>
      <c r="D12" s="70" t="s">
        <v>220</v>
      </c>
      <c r="E12" s="70"/>
      <c r="H12" s="75"/>
    </row>
    <row r="13" spans="1:8" s="12" customFormat="1" ht="15.75" x14ac:dyDescent="0.25">
      <c r="A13" s="29"/>
      <c r="B13" s="29"/>
      <c r="C13" s="71"/>
      <c r="D13" s="29"/>
      <c r="E13" s="29"/>
      <c r="H13" s="75"/>
    </row>
    <row r="14" spans="1:8" s="12" customFormat="1" ht="15.75" x14ac:dyDescent="0.25">
      <c r="A14" s="29" t="s">
        <v>480</v>
      </c>
      <c r="B14" s="119"/>
      <c r="C14" s="120"/>
      <c r="D14" s="1410" t="s">
        <v>481</v>
      </c>
      <c r="E14" s="1410"/>
      <c r="H14" s="75"/>
    </row>
    <row r="15" spans="1:8" s="12" customFormat="1" ht="18.75" x14ac:dyDescent="0.25">
      <c r="A15" s="29"/>
      <c r="B15" s="29"/>
      <c r="C15" s="71"/>
      <c r="D15" s="1411" t="s">
        <v>196</v>
      </c>
      <c r="E15" s="1411"/>
      <c r="H15" s="75"/>
    </row>
    <row r="16" spans="1:8" s="12" customFormat="1" ht="18.75" x14ac:dyDescent="0.25">
      <c r="A16" s="29"/>
      <c r="B16" s="29"/>
      <c r="C16" s="71"/>
      <c r="D16" s="1024"/>
      <c r="E16" s="1024"/>
      <c r="H16" s="75"/>
    </row>
    <row r="17" spans="1:8" s="12" customFormat="1" ht="15.75" x14ac:dyDescent="0.25">
      <c r="A17" s="29" t="s">
        <v>925</v>
      </c>
      <c r="B17" s="119"/>
      <c r="C17" s="120"/>
      <c r="D17" s="1410" t="s">
        <v>926</v>
      </c>
      <c r="E17" s="1410"/>
      <c r="H17" s="75"/>
    </row>
    <row r="18" spans="1:8" s="12" customFormat="1" ht="18.75" x14ac:dyDescent="0.25">
      <c r="A18" s="29"/>
      <c r="B18" s="29"/>
      <c r="C18" s="71"/>
      <c r="D18" s="1411" t="s">
        <v>196</v>
      </c>
      <c r="E18" s="1411"/>
      <c r="H18" s="75"/>
    </row>
    <row r="19" spans="1:8" s="12" customFormat="1" ht="18.75" x14ac:dyDescent="0.25">
      <c r="A19" s="29"/>
      <c r="B19" s="29"/>
      <c r="C19" s="71"/>
      <c r="D19" s="1024"/>
      <c r="E19" s="1024"/>
      <c r="H19" s="75"/>
    </row>
    <row r="20" spans="1:8" s="12" customFormat="1" ht="15.75" x14ac:dyDescent="0.25">
      <c r="A20" s="65"/>
      <c r="B20" s="29"/>
      <c r="C20" s="71"/>
      <c r="D20" s="29"/>
      <c r="E20" s="29"/>
      <c r="H20" s="75"/>
    </row>
    <row r="21" spans="1:8" s="2" customFormat="1" ht="19.5" x14ac:dyDescent="0.3">
      <c r="A21" s="80" t="s">
        <v>221</v>
      </c>
      <c r="B21" s="76"/>
      <c r="C21" s="77"/>
      <c r="D21" s="1411"/>
      <c r="E21" s="1411"/>
      <c r="H21" s="79"/>
    </row>
    <row r="22" spans="1:8" s="2" customFormat="1" ht="22.5" x14ac:dyDescent="0.3">
      <c r="B22" s="76"/>
      <c r="C22" s="77"/>
      <c r="D22" s="78"/>
      <c r="E22" s="78"/>
      <c r="H22" s="79"/>
    </row>
    <row r="23" spans="1:8" s="2" customFormat="1" ht="22.5" x14ac:dyDescent="0.3">
      <c r="A23" s="80" t="s">
        <v>222</v>
      </c>
      <c r="B23" s="76"/>
      <c r="C23" s="77"/>
      <c r="D23" s="78"/>
      <c r="E23" s="78"/>
      <c r="H23" s="79"/>
    </row>
    <row r="24" spans="1:8" ht="33.75" customHeight="1" x14ac:dyDescent="0.25">
      <c r="A24" s="80"/>
      <c r="B24" s="80"/>
      <c r="C24" s="1413"/>
      <c r="D24" s="1413"/>
      <c r="E24" s="1413"/>
    </row>
    <row r="25" spans="1:8" s="82" customFormat="1" ht="15" customHeight="1" x14ac:dyDescent="0.2">
      <c r="A25" s="81"/>
      <c r="B25" s="81"/>
      <c r="C25" s="1412"/>
      <c r="D25" s="1412"/>
      <c r="E25" s="1412"/>
    </row>
    <row r="26" spans="1:8" x14ac:dyDescent="0.25">
      <c r="A26" s="81"/>
      <c r="B26" s="81"/>
    </row>
    <row r="27" spans="1:8" ht="48" customHeight="1" x14ac:dyDescent="0.25">
      <c r="A27" s="80"/>
      <c r="B27" s="80"/>
      <c r="C27" s="1413"/>
      <c r="D27" s="1413"/>
      <c r="E27" s="1413"/>
    </row>
    <row r="28" spans="1:8" ht="15" customHeight="1" x14ac:dyDescent="0.25">
      <c r="A28" s="1408"/>
      <c r="B28" s="1408"/>
      <c r="C28" s="1412"/>
      <c r="D28" s="1412"/>
      <c r="E28" s="1412"/>
    </row>
    <row r="29" spans="1:8" x14ac:dyDescent="0.25">
      <c r="A29" s="1408"/>
      <c r="B29" s="1408"/>
    </row>
    <row r="30" spans="1:8" ht="31.5" customHeight="1" x14ac:dyDescent="0.25">
      <c r="A30" s="80"/>
      <c r="B30" s="80"/>
      <c r="C30" s="1413"/>
      <c r="D30" s="1413"/>
      <c r="E30" s="1413"/>
    </row>
    <row r="31" spans="1:8" ht="15" customHeight="1" x14ac:dyDescent="0.25">
      <c r="A31" s="80"/>
      <c r="B31" s="80"/>
      <c r="C31" s="1412"/>
      <c r="D31" s="1412"/>
      <c r="E31" s="1412"/>
    </row>
    <row r="32" spans="1:8" x14ac:dyDescent="0.25">
      <c r="A32" s="1408"/>
      <c r="B32" s="1408"/>
    </row>
    <row r="33" spans="1:7" x14ac:dyDescent="0.25">
      <c r="A33" s="1408"/>
      <c r="B33" s="1408"/>
    </row>
    <row r="34" spans="1:7" ht="15" customHeight="1" x14ac:dyDescent="0.25">
      <c r="B34" s="80"/>
      <c r="C34" s="1409"/>
      <c r="D34" s="1409"/>
      <c r="E34" s="1409"/>
    </row>
    <row r="35" spans="1:7" ht="15" customHeight="1" x14ac:dyDescent="0.25">
      <c r="B35" s="80"/>
      <c r="C35" s="1412"/>
      <c r="D35" s="1412"/>
      <c r="E35" s="1412"/>
    </row>
    <row r="36" spans="1:7" ht="15.75" x14ac:dyDescent="0.25">
      <c r="A36" s="80"/>
      <c r="B36" s="80"/>
      <c r="C36" s="80"/>
      <c r="D36" s="80"/>
    </row>
    <row r="37" spans="1:7" ht="15.75" x14ac:dyDescent="0.25">
      <c r="B37" s="83"/>
      <c r="C37" s="83"/>
      <c r="D37" s="83"/>
      <c r="E37" s="83"/>
      <c r="F37" s="83"/>
      <c r="G37" s="83"/>
    </row>
    <row r="38" spans="1:7" ht="15" customHeight="1" x14ac:dyDescent="0.25">
      <c r="B38" s="80"/>
      <c r="C38" s="80"/>
      <c r="D38" s="80"/>
      <c r="E38" s="80"/>
      <c r="F38" s="80"/>
      <c r="G38" s="83"/>
    </row>
    <row r="39" spans="1:7" ht="15.75" x14ac:dyDescent="0.25">
      <c r="A39" s="58"/>
    </row>
  </sheetData>
  <mergeCells count="18">
    <mergeCell ref="C35:E35"/>
    <mergeCell ref="D21:E21"/>
    <mergeCell ref="C24:E24"/>
    <mergeCell ref="C25:E25"/>
    <mergeCell ref="C27:E27"/>
    <mergeCell ref="C30:E30"/>
    <mergeCell ref="C31:E31"/>
    <mergeCell ref="C28:E28"/>
    <mergeCell ref="A32:A33"/>
    <mergeCell ref="B32:B33"/>
    <mergeCell ref="C34:E34"/>
    <mergeCell ref="D11:E11"/>
    <mergeCell ref="D14:E14"/>
    <mergeCell ref="D15:E15"/>
    <mergeCell ref="A28:A29"/>
    <mergeCell ref="B28:B29"/>
    <mergeCell ref="D17:E17"/>
    <mergeCell ref="D18:E18"/>
  </mergeCells>
  <pageMargins left="0.70866141732283472" right="0.70866141732283472" top="0.74803149606299213" bottom="0.74803149606299213" header="0.31496062992125984" footer="0.31496062992125984"/>
  <pageSetup paperSize="9" scale="77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0000"/>
    <pageSetUpPr fitToPage="1"/>
  </sheetPr>
  <dimension ref="A1:BW122"/>
  <sheetViews>
    <sheetView showZeros="0" zoomScale="70" zoomScaleNormal="70" zoomScaleSheetLayoutView="100" workbookViewId="0">
      <pane xSplit="3" ySplit="10" topLeftCell="D68" activePane="bottomRight" state="frozen"/>
      <selection pane="topRight" activeCell="D1" sqref="D1"/>
      <selection pane="bottomLeft" activeCell="A10" sqref="A10"/>
      <selection pane="bottomRight" activeCell="AB69" sqref="AB69"/>
    </sheetView>
  </sheetViews>
  <sheetFormatPr defaultColWidth="9.140625" defaultRowHeight="18.75" x14ac:dyDescent="0.3"/>
  <cols>
    <col min="1" max="1" width="45" style="117" customWidth="1"/>
    <col min="2" max="2" width="9" style="117" customWidth="1"/>
    <col min="3" max="3" width="17.85546875" style="124" customWidth="1"/>
    <col min="4" max="6" width="18.42578125" style="117" customWidth="1"/>
    <col min="7" max="10" width="18.85546875" style="155" customWidth="1"/>
    <col min="11" max="16" width="18.28515625" style="155" customWidth="1"/>
    <col min="17" max="17" width="20.28515625" style="152" customWidth="1"/>
    <col min="18" max="19" width="24.140625" style="152" customWidth="1"/>
    <col min="20" max="25" width="20.28515625" style="152" customWidth="1"/>
    <col min="26" max="26" width="20.28515625" style="152" hidden="1" customWidth="1"/>
    <col min="27" max="35" width="20.28515625" style="152" customWidth="1"/>
    <col min="36" max="36" width="16.7109375" style="117" customWidth="1"/>
    <col min="37" max="37" width="16.7109375" style="125" customWidth="1"/>
    <col min="38" max="38" width="18.7109375" style="125" hidden="1" customWidth="1"/>
    <col min="39" max="39" width="23.5703125" style="125" customWidth="1"/>
    <col min="40" max="40" width="17.42578125" style="125" hidden="1" customWidth="1"/>
    <col min="41" max="41" width="17.5703125" style="117" hidden="1" customWidth="1"/>
    <col min="42" max="42" width="17.5703125" style="117" customWidth="1"/>
    <col min="43" max="44" width="17.5703125" style="117" hidden="1" customWidth="1"/>
    <col min="45" max="45" width="17.5703125" style="117" customWidth="1"/>
    <col min="46" max="46" width="17.5703125" style="117" hidden="1" customWidth="1"/>
    <col min="47" max="48" width="18" style="117" hidden="1" customWidth="1"/>
    <col min="49" max="49" width="18" style="117" customWidth="1"/>
    <col min="50" max="50" width="18" style="117" hidden="1" customWidth="1"/>
    <col min="51" max="51" width="9.5703125" style="117" hidden="1" customWidth="1"/>
    <col min="52" max="52" width="22.42578125" style="117" hidden="1" customWidth="1"/>
    <col min="53" max="53" width="17.140625" style="117" hidden="1" customWidth="1"/>
    <col min="54" max="54" width="15.140625" style="117" hidden="1" customWidth="1"/>
    <col min="55" max="55" width="18.140625" style="117" hidden="1" customWidth="1"/>
    <col min="56" max="56" width="18.85546875" style="117" hidden="1" customWidth="1"/>
    <col min="57" max="57" width="19.85546875" style="117" hidden="1" customWidth="1"/>
    <col min="58" max="58" width="15.140625" style="117" hidden="1" customWidth="1"/>
    <col min="59" max="59" width="22.85546875" style="117" hidden="1" customWidth="1"/>
    <col min="60" max="60" width="20.28515625" style="117" hidden="1" customWidth="1"/>
    <col min="61" max="62" width="21" style="117" hidden="1" customWidth="1"/>
    <col min="63" max="64" width="15.140625" style="117" hidden="1" customWidth="1"/>
    <col min="65" max="67" width="22" style="531" hidden="1" customWidth="1"/>
    <col min="68" max="68" width="21.140625" style="531" hidden="1" customWidth="1"/>
    <col min="69" max="69" width="21.140625" style="602" hidden="1" customWidth="1"/>
    <col min="70" max="70" width="20" style="117" hidden="1" customWidth="1"/>
    <col min="71" max="71" width="18" style="117" hidden="1" customWidth="1"/>
    <col min="72" max="72" width="21.7109375" style="117" hidden="1" customWidth="1"/>
    <col min="73" max="73" width="14.42578125" style="117" hidden="1" customWidth="1"/>
    <col min="74" max="74" width="13.5703125" style="117" hidden="1" customWidth="1"/>
    <col min="75" max="75" width="15" style="117" hidden="1" customWidth="1"/>
    <col min="76" max="77" width="0" style="117" hidden="1" customWidth="1"/>
    <col min="78" max="16384" width="9.140625" style="117"/>
  </cols>
  <sheetData>
    <row r="1" spans="1:75" x14ac:dyDescent="0.3">
      <c r="A1" s="123" t="s">
        <v>131</v>
      </c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1"/>
      <c r="R1" s="111"/>
      <c r="S1" s="111"/>
      <c r="T1" s="111"/>
      <c r="U1" s="111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</row>
    <row r="2" spans="1:75" x14ac:dyDescent="0.3">
      <c r="A2" s="126" t="s">
        <v>132</v>
      </c>
      <c r="G2" s="117"/>
      <c r="H2" s="117"/>
      <c r="I2" s="117"/>
      <c r="J2" s="117"/>
      <c r="K2" s="117"/>
      <c r="L2" s="117"/>
      <c r="M2" s="117"/>
      <c r="N2" s="117"/>
      <c r="O2" s="117"/>
      <c r="P2" s="117"/>
      <c r="Q2" s="111"/>
      <c r="R2" s="111"/>
      <c r="S2" s="111"/>
      <c r="T2" s="111"/>
      <c r="U2" s="111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Z2" s="127" t="s">
        <v>240</v>
      </c>
      <c r="BA2" s="127" t="s">
        <v>241</v>
      </c>
    </row>
    <row r="3" spans="1:75" ht="19.5" thickBot="1" x14ac:dyDescent="0.35">
      <c r="A3" s="126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1"/>
      <c r="R3" s="111"/>
      <c r="S3" s="111"/>
      <c r="T3" s="111"/>
      <c r="U3" s="111"/>
      <c r="V3" s="117"/>
      <c r="W3" s="117"/>
      <c r="X3" s="117"/>
      <c r="Y3" s="117"/>
      <c r="Z3" s="117"/>
      <c r="AA3" s="117"/>
      <c r="AB3" s="117"/>
      <c r="AC3" s="117"/>
      <c r="AD3" s="117"/>
      <c r="AE3" s="117"/>
      <c r="AF3" s="117"/>
      <c r="AG3" s="117"/>
      <c r="AH3" s="117"/>
      <c r="AI3" s="117"/>
      <c r="AZ3" s="1055"/>
      <c r="BA3" s="1055"/>
    </row>
    <row r="4" spans="1:75" hidden="1" x14ac:dyDescent="0.3">
      <c r="A4" s="126"/>
      <c r="E4" s="111">
        <f>E23-E11+E76</f>
        <v>419446106.56499994</v>
      </c>
      <c r="F4" s="111"/>
      <c r="G4" s="117"/>
      <c r="H4" s="111">
        <f>'расчет норматив'!J32</f>
        <v>218669599.31117821</v>
      </c>
      <c r="I4" s="111">
        <f>H11-H23</f>
        <v>-21072590.980000019</v>
      </c>
      <c r="J4" s="117"/>
      <c r="K4" s="117"/>
      <c r="L4" s="111">
        <f>'расчет норматив'!Z6+'ПФХД 2019 с разбивкой '!L75</f>
        <v>73111481.352986082</v>
      </c>
      <c r="M4" s="117"/>
      <c r="N4" s="117"/>
      <c r="O4" s="117" t="b">
        <f>O11='расчет норматив'!AA6</f>
        <v>0</v>
      </c>
      <c r="P4" s="117"/>
      <c r="Q4" s="111">
        <f>Q11-Q23</f>
        <v>-388193676.15000033</v>
      </c>
      <c r="R4" s="111">
        <f>Q4+Q75</f>
        <v>205614792.36999965</v>
      </c>
      <c r="S4" s="111"/>
      <c r="T4" s="111"/>
      <c r="U4" s="111"/>
      <c r="V4" s="128"/>
      <c r="W4" s="128"/>
      <c r="X4" s="117"/>
      <c r="Y4" s="128"/>
      <c r="Z4" s="128"/>
      <c r="AA4" s="117"/>
      <c r="AB4" s="117"/>
      <c r="AC4" s="117"/>
      <c r="AD4" s="117"/>
      <c r="AE4" s="117"/>
      <c r="AF4" s="117"/>
      <c r="AG4" s="117"/>
      <c r="AH4" s="117"/>
      <c r="AI4" s="117"/>
      <c r="AO4" s="111"/>
      <c r="AP4" s="111"/>
      <c r="AQ4" s="111"/>
    </row>
    <row r="5" spans="1:75" ht="19.5" hidden="1" thickBot="1" x14ac:dyDescent="0.35">
      <c r="A5" s="129"/>
      <c r="G5" s="117"/>
      <c r="H5" s="117"/>
      <c r="I5" s="117"/>
      <c r="J5" s="117"/>
      <c r="K5" s="117"/>
      <c r="L5" s="117"/>
      <c r="M5" s="111">
        <f>K11+N11</f>
        <v>113643500</v>
      </c>
      <c r="N5" s="117">
        <f>M5/2906.41</f>
        <v>39100.987128450564</v>
      </c>
      <c r="O5" s="111">
        <f>L11+O11</f>
        <v>113643500</v>
      </c>
      <c r="P5" s="117"/>
      <c r="Q5" s="117"/>
      <c r="R5" s="117"/>
      <c r="S5" s="117"/>
      <c r="T5" s="117"/>
      <c r="U5" s="117"/>
      <c r="V5" s="117"/>
      <c r="W5" s="117"/>
      <c r="X5" s="117"/>
      <c r="Y5" s="117"/>
      <c r="Z5" s="117"/>
      <c r="AA5" s="117"/>
      <c r="AB5" s="117"/>
      <c r="AC5" s="117"/>
      <c r="AD5" s="117"/>
      <c r="AE5" s="117"/>
      <c r="AF5" s="117"/>
      <c r="AG5" s="117"/>
      <c r="AH5" s="117"/>
      <c r="AI5" s="117"/>
      <c r="AO5" s="111"/>
      <c r="AP5" s="111"/>
      <c r="AQ5" s="111"/>
    </row>
    <row r="6" spans="1:75" ht="19.5" customHeight="1" thickBot="1" x14ac:dyDescent="0.35">
      <c r="A6" s="1453" t="s">
        <v>88</v>
      </c>
      <c r="B6" s="1439" t="s">
        <v>133</v>
      </c>
      <c r="C6" s="1440" t="s">
        <v>134</v>
      </c>
      <c r="D6" s="1460" t="s">
        <v>135</v>
      </c>
      <c r="E6" s="1461"/>
      <c r="F6" s="1461"/>
      <c r="G6" s="1461"/>
      <c r="H6" s="1461"/>
      <c r="I6" s="1461"/>
      <c r="J6" s="1461"/>
      <c r="K6" s="1461"/>
      <c r="L6" s="1461"/>
      <c r="M6" s="1461"/>
      <c r="N6" s="1461"/>
      <c r="O6" s="1461"/>
      <c r="P6" s="1461"/>
      <c r="Q6" s="1461"/>
      <c r="R6" s="1461"/>
      <c r="S6" s="1461"/>
      <c r="T6" s="1461"/>
      <c r="U6" s="1461"/>
      <c r="V6" s="1461"/>
      <c r="W6" s="1461"/>
      <c r="X6" s="1461"/>
      <c r="Y6" s="1461"/>
      <c r="Z6" s="1461"/>
      <c r="AA6" s="1461"/>
      <c r="AB6" s="1461"/>
      <c r="AC6" s="1461"/>
      <c r="AD6" s="1461"/>
      <c r="AE6" s="1461"/>
      <c r="AF6" s="1461"/>
      <c r="AG6" s="1461"/>
      <c r="AH6" s="1461"/>
      <c r="AI6" s="1461"/>
      <c r="AJ6" s="1461"/>
      <c r="AK6" s="1461"/>
      <c r="AL6" s="1461"/>
      <c r="AM6" s="1461"/>
      <c r="AN6" s="1461"/>
      <c r="AO6" s="1461"/>
      <c r="AP6" s="1461"/>
      <c r="AQ6" s="1461"/>
      <c r="AR6" s="1461"/>
      <c r="AS6" s="1461"/>
      <c r="AT6" s="1461"/>
      <c r="AU6" s="1461"/>
      <c r="AV6" s="1461"/>
      <c r="AW6" s="1461"/>
      <c r="AX6" s="1462"/>
    </row>
    <row r="7" spans="1:75" ht="15.75" customHeight="1" thickBot="1" x14ac:dyDescent="0.35">
      <c r="A7" s="1454"/>
      <c r="B7" s="1383"/>
      <c r="C7" s="1441"/>
      <c r="D7" s="1442" t="s">
        <v>136</v>
      </c>
      <c r="E7" s="1439" t="s">
        <v>402</v>
      </c>
      <c r="F7" s="1440" t="s">
        <v>395</v>
      </c>
      <c r="G7" s="1460" t="s">
        <v>137</v>
      </c>
      <c r="H7" s="1461"/>
      <c r="I7" s="1461"/>
      <c r="J7" s="1461"/>
      <c r="K7" s="1461"/>
      <c r="L7" s="1461"/>
      <c r="M7" s="1461"/>
      <c r="N7" s="1461"/>
      <c r="O7" s="1461"/>
      <c r="P7" s="1461"/>
      <c r="Q7" s="1461"/>
      <c r="R7" s="1461"/>
      <c r="S7" s="1461"/>
      <c r="T7" s="1461"/>
      <c r="U7" s="1461"/>
      <c r="V7" s="1461"/>
      <c r="W7" s="1461"/>
      <c r="X7" s="1461"/>
      <c r="Y7" s="1461"/>
      <c r="Z7" s="1461"/>
      <c r="AA7" s="1461"/>
      <c r="AB7" s="1461"/>
      <c r="AC7" s="1461"/>
      <c r="AD7" s="1461"/>
      <c r="AE7" s="1461"/>
      <c r="AF7" s="1461"/>
      <c r="AG7" s="1461"/>
      <c r="AH7" s="1461"/>
      <c r="AI7" s="1461"/>
      <c r="AJ7" s="1461"/>
      <c r="AK7" s="1461"/>
      <c r="AL7" s="1461"/>
      <c r="AM7" s="1461"/>
      <c r="AN7" s="1461"/>
      <c r="AO7" s="1461"/>
      <c r="AP7" s="1461"/>
      <c r="AQ7" s="1461"/>
      <c r="AR7" s="1461"/>
      <c r="AS7" s="1461"/>
      <c r="AT7" s="1461"/>
      <c r="AU7" s="1461"/>
      <c r="AV7" s="1461"/>
      <c r="AW7" s="1461"/>
      <c r="AX7" s="1462"/>
    </row>
    <row r="8" spans="1:75" ht="96" customHeight="1" thickBot="1" x14ac:dyDescent="0.35">
      <c r="A8" s="1454"/>
      <c r="B8" s="1383"/>
      <c r="C8" s="1441"/>
      <c r="D8" s="1443"/>
      <c r="E8" s="1383"/>
      <c r="F8" s="1441"/>
      <c r="G8" s="1427" t="s">
        <v>138</v>
      </c>
      <c r="H8" s="1434" t="s">
        <v>397</v>
      </c>
      <c r="I8" s="1437" t="s">
        <v>395</v>
      </c>
      <c r="J8" s="1433" t="s">
        <v>363</v>
      </c>
      <c r="K8" s="1433"/>
      <c r="L8" s="1433"/>
      <c r="M8" s="1433"/>
      <c r="N8" s="1433"/>
      <c r="O8" s="1433"/>
      <c r="P8" s="1433"/>
      <c r="Q8" s="1429" t="s">
        <v>140</v>
      </c>
      <c r="R8" s="1436" t="s">
        <v>403</v>
      </c>
      <c r="S8" s="1444" t="s">
        <v>395</v>
      </c>
      <c r="T8" s="1431" t="s">
        <v>360</v>
      </c>
      <c r="U8" s="1425" t="s">
        <v>359</v>
      </c>
      <c r="V8" s="1449" t="s">
        <v>405</v>
      </c>
      <c r="W8" s="1451" t="s">
        <v>395</v>
      </c>
      <c r="X8" s="1455" t="s">
        <v>253</v>
      </c>
      <c r="Y8" s="1449" t="s">
        <v>965</v>
      </c>
      <c r="Z8" s="1451" t="s">
        <v>966</v>
      </c>
      <c r="AA8" s="1425" t="s">
        <v>142</v>
      </c>
      <c r="AB8" s="1449" t="s">
        <v>404</v>
      </c>
      <c r="AC8" s="1451" t="s">
        <v>395</v>
      </c>
      <c r="AD8" s="1448" t="s">
        <v>488</v>
      </c>
      <c r="AE8" s="1449" t="s">
        <v>489</v>
      </c>
      <c r="AF8" s="1451" t="s">
        <v>395</v>
      </c>
      <c r="AG8" s="1448" t="s">
        <v>490</v>
      </c>
      <c r="AH8" s="1449" t="s">
        <v>645</v>
      </c>
      <c r="AI8" s="1451" t="s">
        <v>395</v>
      </c>
      <c r="AJ8" s="1465" t="s">
        <v>143</v>
      </c>
      <c r="AK8" s="1467" t="s">
        <v>144</v>
      </c>
      <c r="AL8" s="1457" t="s">
        <v>145</v>
      </c>
      <c r="AM8" s="1458"/>
      <c r="AN8" s="1458"/>
      <c r="AO8" s="1458"/>
      <c r="AP8" s="1458"/>
      <c r="AQ8" s="1458"/>
      <c r="AR8" s="1458"/>
      <c r="AS8" s="1458"/>
      <c r="AT8" s="1458"/>
      <c r="AU8" s="1458"/>
      <c r="AV8" s="1458"/>
      <c r="AW8" s="1458"/>
      <c r="AX8" s="1459"/>
      <c r="BG8" s="1463" t="s">
        <v>506</v>
      </c>
      <c r="BH8" s="1464"/>
      <c r="BI8" s="1463" t="s">
        <v>197</v>
      </c>
      <c r="BJ8" s="1464"/>
      <c r="BQ8" s="1463" t="s">
        <v>506</v>
      </c>
      <c r="BR8" s="1464"/>
      <c r="BS8" s="1463" t="s">
        <v>197</v>
      </c>
      <c r="BT8" s="1464"/>
    </row>
    <row r="9" spans="1:75" ht="114.75" customHeight="1" x14ac:dyDescent="0.3">
      <c r="A9" s="1454"/>
      <c r="B9" s="1383"/>
      <c r="C9" s="1441"/>
      <c r="D9" s="1443"/>
      <c r="E9" s="1383"/>
      <c r="F9" s="1441"/>
      <c r="G9" s="1428"/>
      <c r="H9" s="1435"/>
      <c r="I9" s="1438"/>
      <c r="J9" s="885" t="s">
        <v>235</v>
      </c>
      <c r="K9" s="311" t="s">
        <v>365</v>
      </c>
      <c r="L9" s="289" t="s">
        <v>398</v>
      </c>
      <c r="M9" s="290" t="s">
        <v>395</v>
      </c>
      <c r="N9" s="288" t="s">
        <v>366</v>
      </c>
      <c r="O9" s="311" t="s">
        <v>399</v>
      </c>
      <c r="P9" s="363" t="s">
        <v>396</v>
      </c>
      <c r="Q9" s="1430"/>
      <c r="R9" s="1426"/>
      <c r="S9" s="1445"/>
      <c r="T9" s="1432"/>
      <c r="U9" s="1426"/>
      <c r="V9" s="1450"/>
      <c r="W9" s="1452"/>
      <c r="X9" s="1456"/>
      <c r="Y9" s="1450"/>
      <c r="Z9" s="1452"/>
      <c r="AA9" s="1426"/>
      <c r="AB9" s="1450"/>
      <c r="AC9" s="1452"/>
      <c r="AD9" s="1430"/>
      <c r="AE9" s="1450"/>
      <c r="AF9" s="1452"/>
      <c r="AG9" s="1430"/>
      <c r="AH9" s="1450"/>
      <c r="AI9" s="1452"/>
      <c r="AJ9" s="1466"/>
      <c r="AK9" s="1468"/>
      <c r="AL9" s="329" t="s">
        <v>364</v>
      </c>
      <c r="AM9" s="330" t="s">
        <v>406</v>
      </c>
      <c r="AN9" s="1011" t="s">
        <v>395</v>
      </c>
      <c r="AO9" s="329" t="s">
        <v>139</v>
      </c>
      <c r="AP9" s="330" t="s">
        <v>401</v>
      </c>
      <c r="AQ9" s="1015" t="s">
        <v>395</v>
      </c>
      <c r="AR9" s="389" t="s">
        <v>146</v>
      </c>
      <c r="AS9" s="330" t="s">
        <v>400</v>
      </c>
      <c r="AT9" s="331" t="s">
        <v>395</v>
      </c>
      <c r="AU9" s="537" t="s">
        <v>147</v>
      </c>
      <c r="AV9" s="389" t="s">
        <v>915</v>
      </c>
      <c r="AW9" s="330" t="s">
        <v>916</v>
      </c>
      <c r="AX9" s="331" t="s">
        <v>395</v>
      </c>
      <c r="BC9" s="608" t="s">
        <v>507</v>
      </c>
      <c r="BD9" s="627" t="s">
        <v>508</v>
      </c>
      <c r="BE9" s="627" t="s">
        <v>395</v>
      </c>
      <c r="BF9" s="627" t="s">
        <v>509</v>
      </c>
      <c r="BG9" s="612" t="s">
        <v>505</v>
      </c>
      <c r="BH9" s="613" t="s">
        <v>395</v>
      </c>
      <c r="BI9" s="612" t="s">
        <v>505</v>
      </c>
      <c r="BJ9" s="613" t="s">
        <v>395</v>
      </c>
      <c r="BM9" s="608" t="s">
        <v>507</v>
      </c>
      <c r="BN9" s="627" t="s">
        <v>508</v>
      </c>
      <c r="BO9" s="627" t="s">
        <v>395</v>
      </c>
      <c r="BP9" s="627" t="s">
        <v>509</v>
      </c>
      <c r="BQ9" s="612" t="s">
        <v>505</v>
      </c>
      <c r="BR9" s="613" t="s">
        <v>395</v>
      </c>
      <c r="BS9" s="612" t="s">
        <v>505</v>
      </c>
      <c r="BT9" s="613" t="s">
        <v>395</v>
      </c>
    </row>
    <row r="10" spans="1:75" x14ac:dyDescent="0.3">
      <c r="A10" s="408">
        <v>1</v>
      </c>
      <c r="B10" s="975">
        <v>2</v>
      </c>
      <c r="C10" s="977">
        <v>3</v>
      </c>
      <c r="D10" s="429">
        <v>4</v>
      </c>
      <c r="E10" s="975"/>
      <c r="F10" s="409"/>
      <c r="G10" s="282">
        <v>5</v>
      </c>
      <c r="H10" s="156"/>
      <c r="I10" s="666"/>
      <c r="J10" s="886"/>
      <c r="K10" s="282"/>
      <c r="L10" s="156"/>
      <c r="M10" s="292"/>
      <c r="N10" s="291"/>
      <c r="O10" s="282"/>
      <c r="P10" s="364"/>
      <c r="Q10" s="275">
        <v>6</v>
      </c>
      <c r="R10" s="306"/>
      <c r="S10" s="371"/>
      <c r="T10" s="524"/>
      <c r="U10" s="522"/>
      <c r="V10" s="385"/>
      <c r="W10" s="387"/>
      <c r="X10" s="378"/>
      <c r="Y10" s="385"/>
      <c r="Z10" s="387"/>
      <c r="AA10" s="522"/>
      <c r="AB10" s="385"/>
      <c r="AC10" s="387"/>
      <c r="AD10" s="386"/>
      <c r="AE10" s="385"/>
      <c r="AF10" s="387"/>
      <c r="AG10" s="386"/>
      <c r="AH10" s="385"/>
      <c r="AI10" s="387"/>
      <c r="AJ10" s="421">
        <v>7</v>
      </c>
      <c r="AK10" s="391">
        <v>8</v>
      </c>
      <c r="AL10" s="403">
        <v>9</v>
      </c>
      <c r="AM10" s="1058"/>
      <c r="AN10" s="1012"/>
      <c r="AO10" s="1016"/>
      <c r="AP10" s="350"/>
      <c r="AQ10" s="1017"/>
      <c r="AR10" s="322"/>
      <c r="AS10" s="160"/>
      <c r="AT10" s="333"/>
      <c r="AU10" s="538">
        <v>10</v>
      </c>
      <c r="AV10" s="322"/>
      <c r="AW10" s="160"/>
      <c r="AX10" s="333"/>
      <c r="BG10" s="612"/>
      <c r="BH10" s="614"/>
      <c r="BI10" s="625"/>
      <c r="BJ10" s="614"/>
      <c r="BQ10" s="612"/>
      <c r="BR10" s="614"/>
      <c r="BS10" s="625"/>
      <c r="BT10" s="614"/>
    </row>
    <row r="11" spans="1:75" s="115" customFormat="1" x14ac:dyDescent="0.3">
      <c r="A11" s="435" t="s">
        <v>148</v>
      </c>
      <c r="B11" s="976">
        <v>100</v>
      </c>
      <c r="C11" s="436" t="s">
        <v>149</v>
      </c>
      <c r="D11" s="430">
        <f>D14+D20+D21</f>
        <v>1880172104.5800002</v>
      </c>
      <c r="E11" s="59">
        <f>H11+R11+AM11+AK11</f>
        <v>2885172104.5799999</v>
      </c>
      <c r="F11" s="410">
        <f>E11-D11</f>
        <v>1004999999.9999998</v>
      </c>
      <c r="G11" s="293">
        <f>SUM(G14)</f>
        <v>218669600</v>
      </c>
      <c r="H11" s="157">
        <f>H14</f>
        <v>218669600</v>
      </c>
      <c r="I11" s="667">
        <f>H11-G11</f>
        <v>0</v>
      </c>
      <c r="J11" s="882">
        <f>SUM(J14)</f>
        <v>105026100</v>
      </c>
      <c r="K11" s="283">
        <f>K14</f>
        <v>68563030.900000006</v>
      </c>
      <c r="L11" s="157">
        <f>H11-J11-O11</f>
        <v>68563030.900000006</v>
      </c>
      <c r="M11" s="294">
        <f>L11-K11</f>
        <v>0</v>
      </c>
      <c r="N11" s="283">
        <f>SUM(N14)</f>
        <v>45080469.100000001</v>
      </c>
      <c r="O11" s="283">
        <f>SUM(O14)</f>
        <v>45080469.100000001</v>
      </c>
      <c r="P11" s="365">
        <f>O11-N11</f>
        <v>0</v>
      </c>
      <c r="Q11" s="276">
        <v>1270135000</v>
      </c>
      <c r="R11" s="307">
        <f>R20</f>
        <v>2275135000</v>
      </c>
      <c r="S11" s="372">
        <f>R11-Q11</f>
        <v>1005000000</v>
      </c>
      <c r="T11" s="525">
        <f t="shared" ref="T11:AH11" si="0">T20</f>
        <v>0</v>
      </c>
      <c r="U11" s="307">
        <v>1216891000</v>
      </c>
      <c r="V11" s="153">
        <f>V20</f>
        <v>2221891000.0100002</v>
      </c>
      <c r="W11" s="357">
        <f>V11-U11</f>
        <v>1005000000.0100002</v>
      </c>
      <c r="X11" s="379">
        <f>X20</f>
        <v>22131000</v>
      </c>
      <c r="Y11" s="153">
        <f>Y20</f>
        <v>22131000</v>
      </c>
      <c r="Z11" s="357">
        <f>Z20</f>
        <v>0</v>
      </c>
      <c r="AA11" s="307">
        <v>6878578.4699999997</v>
      </c>
      <c r="AB11" s="153">
        <f t="shared" si="0"/>
        <v>6878578.4699999997</v>
      </c>
      <c r="AC11" s="357">
        <f>AB11-AA11</f>
        <v>0</v>
      </c>
      <c r="AD11" s="153">
        <v>15071900</v>
      </c>
      <c r="AE11" s="153">
        <f>AE20</f>
        <v>15071900</v>
      </c>
      <c r="AF11" s="357">
        <f>AE11-AD11</f>
        <v>0</v>
      </c>
      <c r="AG11" s="153">
        <v>9162521.5199999996</v>
      </c>
      <c r="AH11" s="153">
        <f t="shared" si="0"/>
        <v>9162521.5199999996</v>
      </c>
      <c r="AI11" s="357">
        <f>AH11-AG11</f>
        <v>0</v>
      </c>
      <c r="AJ11" s="422">
        <v>0</v>
      </c>
      <c r="AK11" s="392">
        <f>AK13+AK14</f>
        <v>1908800</v>
      </c>
      <c r="AL11" s="334">
        <v>389458704.59170002</v>
      </c>
      <c r="AM11" s="161">
        <f>AP11+AS11+AW11</f>
        <v>389458704.57999998</v>
      </c>
      <c r="AN11" s="1013">
        <f>AM11-AL11</f>
        <v>-1.1700034141540527E-2</v>
      </c>
      <c r="AO11" s="334">
        <v>305985633.47170001</v>
      </c>
      <c r="AP11" s="161">
        <f>AP14+AP21</f>
        <v>321604870.63999999</v>
      </c>
      <c r="AQ11" s="406">
        <f>AP11-AO11</f>
        <v>15619237.168299973</v>
      </c>
      <c r="AR11" s="161">
        <f>AR14+AR21+AR22</f>
        <v>83473071.120000005</v>
      </c>
      <c r="AS11" s="161">
        <f>AS14+AS21+AS22</f>
        <v>55582036.509999998</v>
      </c>
      <c r="AT11" s="335">
        <f>AS11-AR11</f>
        <v>-27891034.610000007</v>
      </c>
      <c r="AU11" s="539">
        <v>0</v>
      </c>
      <c r="AV11" s="323"/>
      <c r="AW11" s="161">
        <f>AW14+AW21+AW22</f>
        <v>12271797.43</v>
      </c>
      <c r="AX11" s="335">
        <f>AW11-AV11</f>
        <v>12271797.43</v>
      </c>
      <c r="AZ11" s="131">
        <v>343352551.449</v>
      </c>
      <c r="BA11" s="131">
        <v>275145687.99900001</v>
      </c>
      <c r="BB11" s="609">
        <v>68206863.450000003</v>
      </c>
      <c r="BC11" s="634"/>
      <c r="BD11" s="634"/>
      <c r="BE11" s="634"/>
      <c r="BF11" s="634"/>
      <c r="BG11" s="615"/>
      <c r="BH11" s="616">
        <f>AF11-BG11</f>
        <v>0</v>
      </c>
      <c r="BI11" s="615">
        <f>BI15+BI21+BI22</f>
        <v>68215561.770000011</v>
      </c>
      <c r="BJ11" s="626">
        <f>AI11-BI11</f>
        <v>-68215561.770000011</v>
      </c>
      <c r="BK11" s="634"/>
      <c r="BL11" s="634"/>
      <c r="BM11" s="628">
        <f>AL11</f>
        <v>389458704.59170002</v>
      </c>
      <c r="BN11" s="628">
        <v>344453050.41000003</v>
      </c>
      <c r="BO11" s="628">
        <f>BM11-BN11</f>
        <v>45005654.181699991</v>
      </c>
      <c r="BP11" s="629">
        <f>BN11</f>
        <v>344453050.41000003</v>
      </c>
      <c r="BQ11" s="615">
        <v>251139175</v>
      </c>
      <c r="BR11" s="616">
        <f>AP11-BQ11</f>
        <v>70465695.639999986</v>
      </c>
      <c r="BS11" s="615">
        <f>BS15+BS21+BS22</f>
        <v>68215561.770000011</v>
      </c>
      <c r="BT11" s="626">
        <f>AS11-BS11</f>
        <v>-12633525.260000013</v>
      </c>
      <c r="BU11" s="135">
        <v>1076466.1000000001</v>
      </c>
      <c r="BV11" s="135">
        <v>146019.47000000626</v>
      </c>
      <c r="BW11" s="135">
        <f>BU11+BV11</f>
        <v>1222485.5700000064</v>
      </c>
    </row>
    <row r="12" spans="1:75" x14ac:dyDescent="0.3">
      <c r="A12" s="437" t="s">
        <v>137</v>
      </c>
      <c r="B12" s="133"/>
      <c r="C12" s="438"/>
      <c r="D12" s="431"/>
      <c r="E12" s="59">
        <f>H12+R12+AL12+AK12</f>
        <v>0</v>
      </c>
      <c r="F12" s="410">
        <f t="shared" ref="F12:F75" si="1">E12-D12</f>
        <v>0</v>
      </c>
      <c r="G12" s="284"/>
      <c r="H12" s="159"/>
      <c r="I12" s="668"/>
      <c r="J12" s="979"/>
      <c r="K12" s="284"/>
      <c r="L12" s="159"/>
      <c r="M12" s="296"/>
      <c r="N12" s="295"/>
      <c r="O12" s="284"/>
      <c r="P12" s="366"/>
      <c r="Q12" s="277"/>
      <c r="R12" s="308"/>
      <c r="S12" s="373"/>
      <c r="T12" s="526"/>
      <c r="U12" s="308"/>
      <c r="V12" s="154"/>
      <c r="W12" s="357">
        <f t="shared" ref="W12:W74" si="2">V12-U12</f>
        <v>0</v>
      </c>
      <c r="X12" s="380"/>
      <c r="Y12" s="153">
        <f t="shared" ref="Y12:Y19" si="3">X12-W12</f>
        <v>0</v>
      </c>
      <c r="Z12" s="357">
        <f t="shared" ref="Z12:Z19" si="4">X12-W12</f>
        <v>0</v>
      </c>
      <c r="AA12" s="308"/>
      <c r="AB12" s="154"/>
      <c r="AC12" s="358"/>
      <c r="AD12" s="277"/>
      <c r="AE12" s="154"/>
      <c r="AF12" s="358"/>
      <c r="AG12" s="277"/>
      <c r="AH12" s="154"/>
      <c r="AI12" s="358"/>
      <c r="AJ12" s="423"/>
      <c r="AK12" s="393"/>
      <c r="AL12" s="334"/>
      <c r="AM12" s="161"/>
      <c r="AN12" s="1013">
        <f t="shared" ref="AN12:AN74" si="5">AM12-AL12</f>
        <v>0</v>
      </c>
      <c r="AO12" s="336"/>
      <c r="AP12" s="260"/>
      <c r="AQ12" s="1018"/>
      <c r="AR12" s="325"/>
      <c r="AS12" s="260"/>
      <c r="AT12" s="337"/>
      <c r="AU12" s="540"/>
      <c r="AV12" s="325"/>
      <c r="AW12" s="260"/>
      <c r="AX12" s="337"/>
      <c r="BG12" s="617"/>
      <c r="BH12" s="614"/>
      <c r="BI12" s="625"/>
      <c r="BJ12" s="614"/>
      <c r="BM12" s="628"/>
      <c r="BN12" s="628"/>
      <c r="BQ12" s="617">
        <f>AP11-BQ11</f>
        <v>70465695.639999986</v>
      </c>
      <c r="BR12" s="614"/>
      <c r="BS12" s="625"/>
      <c r="BT12" s="614"/>
      <c r="BU12" s="111">
        <f>BS11+BW11</f>
        <v>69438047.340000018</v>
      </c>
    </row>
    <row r="13" spans="1:75" x14ac:dyDescent="0.3">
      <c r="A13" s="437" t="s">
        <v>150</v>
      </c>
      <c r="B13" s="975">
        <v>110</v>
      </c>
      <c r="C13" s="438"/>
      <c r="D13" s="431"/>
      <c r="E13" s="59">
        <f>H13+R13+AL13+AK13</f>
        <v>0</v>
      </c>
      <c r="F13" s="410">
        <f t="shared" si="1"/>
        <v>0</v>
      </c>
      <c r="G13" s="285"/>
      <c r="H13" s="158"/>
      <c r="I13" s="669"/>
      <c r="J13" s="881"/>
      <c r="K13" s="285"/>
      <c r="L13" s="158"/>
      <c r="M13" s="298"/>
      <c r="N13" s="297"/>
      <c r="O13" s="285"/>
      <c r="P13" s="367"/>
      <c r="Q13" s="278"/>
      <c r="R13" s="309"/>
      <c r="S13" s="374"/>
      <c r="T13" s="527"/>
      <c r="U13" s="309"/>
      <c r="V13" s="261"/>
      <c r="W13" s="357">
        <f t="shared" si="2"/>
        <v>0</v>
      </c>
      <c r="X13" s="381"/>
      <c r="Y13" s="153">
        <f t="shared" si="3"/>
        <v>0</v>
      </c>
      <c r="Z13" s="357">
        <f t="shared" si="4"/>
        <v>0</v>
      </c>
      <c r="AA13" s="309"/>
      <c r="AB13" s="261"/>
      <c r="AC13" s="359"/>
      <c r="AD13" s="278"/>
      <c r="AE13" s="261"/>
      <c r="AF13" s="359"/>
      <c r="AG13" s="278"/>
      <c r="AH13" s="261"/>
      <c r="AI13" s="359"/>
      <c r="AJ13" s="424"/>
      <c r="AK13" s="393"/>
      <c r="AL13" s="334"/>
      <c r="AM13" s="161"/>
      <c r="AN13" s="1013">
        <f t="shared" si="5"/>
        <v>0</v>
      </c>
      <c r="AO13" s="336"/>
      <c r="AP13" s="260"/>
      <c r="AQ13" s="1018"/>
      <c r="AR13" s="325"/>
      <c r="AS13" s="260"/>
      <c r="AT13" s="337"/>
      <c r="AU13" s="541"/>
      <c r="AV13" s="325"/>
      <c r="AW13" s="260"/>
      <c r="AX13" s="337"/>
      <c r="AZ13" s="111"/>
      <c r="BA13" s="111">
        <f>BA11-AO11</f>
        <v>-30839945.4727</v>
      </c>
      <c r="BB13" s="111">
        <f>BB11-AR11</f>
        <v>-15266207.670000002</v>
      </c>
      <c r="BC13" s="111"/>
      <c r="BD13" s="111"/>
      <c r="BE13" s="111"/>
      <c r="BF13" s="111"/>
      <c r="BG13" s="615"/>
      <c r="BH13" s="614"/>
      <c r="BI13" s="625"/>
      <c r="BJ13" s="614"/>
      <c r="BK13" s="111"/>
      <c r="BL13" s="111"/>
      <c r="BM13" s="628"/>
      <c r="BN13" s="628"/>
      <c r="BO13" s="533"/>
      <c r="BP13" s="533"/>
      <c r="BQ13" s="615"/>
      <c r="BR13" s="614"/>
      <c r="BS13" s="625"/>
      <c r="BT13" s="614"/>
    </row>
    <row r="14" spans="1:75" x14ac:dyDescent="0.3">
      <c r="A14" s="437" t="s">
        <v>151</v>
      </c>
      <c r="B14" s="975">
        <v>120</v>
      </c>
      <c r="C14" s="438"/>
      <c r="D14" s="431">
        <v>575137879.07000005</v>
      </c>
      <c r="E14" s="64">
        <f>H14+R14+AM14+AK14</f>
        <v>575137879.06999993</v>
      </c>
      <c r="F14" s="411">
        <f t="shared" si="1"/>
        <v>0</v>
      </c>
      <c r="G14" s="159">
        <v>218669600</v>
      </c>
      <c r="H14" s="159">
        <f>J14+L14+O14</f>
        <v>218669600</v>
      </c>
      <c r="I14" s="668">
        <f>H14-G14</f>
        <v>0</v>
      </c>
      <c r="J14" s="881">
        <f>J15</f>
        <v>105026100</v>
      </c>
      <c r="K14" s="284">
        <v>68563030.900000006</v>
      </c>
      <c r="L14" s="159">
        <v>68563030.900000006</v>
      </c>
      <c r="M14" s="298">
        <f>L14-K14</f>
        <v>0</v>
      </c>
      <c r="N14" s="285">
        <v>45080469.100000001</v>
      </c>
      <c r="O14" s="285">
        <f>O15</f>
        <v>45080469.100000001</v>
      </c>
      <c r="P14" s="367">
        <f>O14-N14</f>
        <v>0</v>
      </c>
      <c r="Q14" s="277"/>
      <c r="R14" s="308"/>
      <c r="S14" s="373"/>
      <c r="T14" s="526"/>
      <c r="U14" s="308"/>
      <c r="V14" s="154"/>
      <c r="W14" s="357">
        <f t="shared" si="2"/>
        <v>0</v>
      </c>
      <c r="X14" s="380"/>
      <c r="Y14" s="153">
        <f t="shared" si="3"/>
        <v>0</v>
      </c>
      <c r="Z14" s="357">
        <f t="shared" si="4"/>
        <v>0</v>
      </c>
      <c r="AA14" s="308"/>
      <c r="AB14" s="154"/>
      <c r="AC14" s="358"/>
      <c r="AD14" s="277"/>
      <c r="AE14" s="154"/>
      <c r="AF14" s="358"/>
      <c r="AG14" s="277"/>
      <c r="AH14" s="154"/>
      <c r="AI14" s="358"/>
      <c r="AJ14" s="423"/>
      <c r="AK14" s="393">
        <f>SUM(AK15:AK17)</f>
        <v>1908800</v>
      </c>
      <c r="AL14" s="334">
        <v>354559479.08170003</v>
      </c>
      <c r="AM14" s="161">
        <f>AP14+AS14+AW14</f>
        <v>354559479.06999999</v>
      </c>
      <c r="AN14" s="1013">
        <f t="shared" si="5"/>
        <v>-1.1700034141540527E-2</v>
      </c>
      <c r="AO14" s="338">
        <v>291362580.01170003</v>
      </c>
      <c r="AP14" s="162">
        <f>AP15+AP17</f>
        <v>306981817.18000001</v>
      </c>
      <c r="AQ14" s="1019">
        <f>AP14-AO14</f>
        <v>15619237.168299973</v>
      </c>
      <c r="AR14" s="324">
        <v>63196899.07</v>
      </c>
      <c r="AS14" s="162">
        <f>AS15</f>
        <v>44423842.689999998</v>
      </c>
      <c r="AT14" s="339">
        <f>AS14-AR14</f>
        <v>-18773056.380000003</v>
      </c>
      <c r="AU14" s="541"/>
      <c r="AV14" s="324"/>
      <c r="AW14" s="162">
        <f>AW15</f>
        <v>3153819.2</v>
      </c>
      <c r="AX14" s="339">
        <f>AW14-AV14</f>
        <v>3153819.2</v>
      </c>
      <c r="BG14" s="618"/>
      <c r="BH14" s="614"/>
      <c r="BI14" s="625"/>
      <c r="BJ14" s="614"/>
      <c r="BM14" s="628"/>
      <c r="BN14" s="628"/>
      <c r="BQ14" s="618">
        <f>13676010.29-8000000</f>
        <v>5676010.2899999991</v>
      </c>
      <c r="BR14" s="614"/>
      <c r="BS14" s="625"/>
      <c r="BT14" s="614"/>
    </row>
    <row r="15" spans="1:75" x14ac:dyDescent="0.3">
      <c r="A15" s="437" t="s">
        <v>152</v>
      </c>
      <c r="B15" s="133"/>
      <c r="C15" s="438"/>
      <c r="D15" s="431">
        <v>558934308.76999998</v>
      </c>
      <c r="E15" s="64">
        <f>H15+R15+AM15+AK15</f>
        <v>558934308.76999998</v>
      </c>
      <c r="F15" s="411">
        <f t="shared" si="1"/>
        <v>0</v>
      </c>
      <c r="G15" s="159">
        <v>218669600</v>
      </c>
      <c r="H15" s="159">
        <f>J15+L15+O15</f>
        <v>218669600</v>
      </c>
      <c r="I15" s="668">
        <f>H15-G15</f>
        <v>0</v>
      </c>
      <c r="J15" s="979">
        <f>42610100+6071200+19709100+1786600+10488200+12868200+1833500+5952100+539600+3167500</f>
        <v>105026100</v>
      </c>
      <c r="K15" s="284">
        <v>68563030.900000006</v>
      </c>
      <c r="L15" s="159">
        <v>68563030.900000006</v>
      </c>
      <c r="M15" s="296">
        <f>L15-K15</f>
        <v>0</v>
      </c>
      <c r="N15" s="284">
        <v>45080469.100000001</v>
      </c>
      <c r="O15" s="284">
        <v>45080469.100000001</v>
      </c>
      <c r="P15" s="366">
        <f>O15-N15</f>
        <v>0</v>
      </c>
      <c r="Q15" s="277"/>
      <c r="R15" s="308"/>
      <c r="S15" s="373"/>
      <c r="T15" s="526"/>
      <c r="U15" s="308"/>
      <c r="V15" s="154"/>
      <c r="W15" s="357">
        <f t="shared" si="2"/>
        <v>0</v>
      </c>
      <c r="X15" s="380"/>
      <c r="Y15" s="153">
        <f t="shared" si="3"/>
        <v>0</v>
      </c>
      <c r="Z15" s="357">
        <f t="shared" si="4"/>
        <v>0</v>
      </c>
      <c r="AA15" s="308"/>
      <c r="AB15" s="154"/>
      <c r="AC15" s="358"/>
      <c r="AD15" s="277"/>
      <c r="AE15" s="154"/>
      <c r="AF15" s="358"/>
      <c r="AG15" s="277"/>
      <c r="AH15" s="154"/>
      <c r="AI15" s="358"/>
      <c r="AJ15" s="423"/>
      <c r="AK15" s="394">
        <v>1908800</v>
      </c>
      <c r="AL15" s="334">
        <v>338355908.77170002</v>
      </c>
      <c r="AM15" s="161">
        <f>AP15+AS15+AW15</f>
        <v>338355908.76999998</v>
      </c>
      <c r="AN15" s="1013">
        <f t="shared" si="5"/>
        <v>-1.7000436782836914E-3</v>
      </c>
      <c r="AO15" s="338">
        <v>275159009.70170003</v>
      </c>
      <c r="AP15" s="162">
        <f>290778246.87+0.01</f>
        <v>290778246.88</v>
      </c>
      <c r="AQ15" s="1019">
        <f>AP15-AO15</f>
        <v>15619237.178299963</v>
      </c>
      <c r="AR15" s="324">
        <v>63196899.07</v>
      </c>
      <c r="AS15" s="162">
        <v>44423842.689999998</v>
      </c>
      <c r="AT15" s="339">
        <f>AS15-AR15</f>
        <v>-18773056.380000003</v>
      </c>
      <c r="AU15" s="541"/>
      <c r="AV15" s="324"/>
      <c r="AW15" s="162">
        <v>3153819.2</v>
      </c>
      <c r="AX15" s="339">
        <f>AW15-AV15</f>
        <v>3153819.2</v>
      </c>
      <c r="BG15" s="618"/>
      <c r="BH15" s="614"/>
      <c r="BI15" s="618">
        <v>67613872.370000005</v>
      </c>
      <c r="BJ15" s="614"/>
      <c r="BM15" s="628"/>
      <c r="BN15" s="628"/>
      <c r="BQ15" s="618">
        <f>5100000</f>
        <v>5100000</v>
      </c>
      <c r="BR15" s="614"/>
      <c r="BS15" s="618">
        <v>67613872.370000005</v>
      </c>
      <c r="BT15" s="614"/>
    </row>
    <row r="16" spans="1:75" x14ac:dyDescent="0.3">
      <c r="A16" s="437" t="s">
        <v>153</v>
      </c>
      <c r="B16" s="133"/>
      <c r="C16" s="438"/>
      <c r="D16" s="431">
        <v>0</v>
      </c>
      <c r="E16" s="64">
        <f>H16+R16+AL16+AK16</f>
        <v>0</v>
      </c>
      <c r="F16" s="410">
        <f t="shared" si="1"/>
        <v>0</v>
      </c>
      <c r="G16" s="284"/>
      <c r="H16" s="159"/>
      <c r="I16" s="668">
        <f t="shared" ref="I16:I22" si="6">H16-G16</f>
        <v>0</v>
      </c>
      <c r="J16" s="979"/>
      <c r="K16" s="284"/>
      <c r="L16" s="159"/>
      <c r="M16" s="296"/>
      <c r="N16" s="295"/>
      <c r="O16" s="284"/>
      <c r="P16" s="366"/>
      <c r="Q16" s="277"/>
      <c r="R16" s="308"/>
      <c r="S16" s="373"/>
      <c r="T16" s="526"/>
      <c r="U16" s="308"/>
      <c r="V16" s="154"/>
      <c r="W16" s="357">
        <f t="shared" si="2"/>
        <v>0</v>
      </c>
      <c r="X16" s="380"/>
      <c r="Y16" s="153">
        <f t="shared" si="3"/>
        <v>0</v>
      </c>
      <c r="Z16" s="357">
        <f t="shared" si="4"/>
        <v>0</v>
      </c>
      <c r="AA16" s="308"/>
      <c r="AB16" s="154"/>
      <c r="AC16" s="358"/>
      <c r="AD16" s="277"/>
      <c r="AE16" s="154"/>
      <c r="AF16" s="358"/>
      <c r="AG16" s="277"/>
      <c r="AH16" s="154"/>
      <c r="AI16" s="358"/>
      <c r="AJ16" s="423"/>
      <c r="AK16" s="394"/>
      <c r="AL16" s="334">
        <v>0</v>
      </c>
      <c r="AM16" s="161">
        <f t="shared" ref="AM16:AM74" si="7">AP16+AS16</f>
        <v>0</v>
      </c>
      <c r="AN16" s="1013">
        <f t="shared" si="5"/>
        <v>0</v>
      </c>
      <c r="AO16" s="336"/>
      <c r="AP16" s="260"/>
      <c r="AQ16" s="1018"/>
      <c r="AR16" s="325"/>
      <c r="AS16" s="260"/>
      <c r="AT16" s="337"/>
      <c r="AU16" s="541"/>
      <c r="AV16" s="325"/>
      <c r="AW16" s="260"/>
      <c r="AX16" s="337"/>
      <c r="BG16" s="619"/>
      <c r="BH16" s="614"/>
      <c r="BI16" s="625"/>
      <c r="BJ16" s="614"/>
      <c r="BM16" s="628"/>
      <c r="BN16" s="628"/>
      <c r="BQ16" s="619">
        <f>SUM(BQ14:BQ15)</f>
        <v>10776010.289999999</v>
      </c>
      <c r="BR16" s="614"/>
      <c r="BS16" s="625"/>
      <c r="BT16" s="614"/>
    </row>
    <row r="17" spans="1:72" x14ac:dyDescent="0.3">
      <c r="A17" s="437" t="s">
        <v>154</v>
      </c>
      <c r="B17" s="133"/>
      <c r="C17" s="438"/>
      <c r="D17" s="431">
        <v>16203570.300000001</v>
      </c>
      <c r="E17" s="64">
        <f>H17+R17+AM17+AK17</f>
        <v>16203570.300000001</v>
      </c>
      <c r="F17" s="410">
        <f t="shared" si="1"/>
        <v>0</v>
      </c>
      <c r="G17" s="284"/>
      <c r="H17" s="159"/>
      <c r="I17" s="668">
        <f t="shared" si="6"/>
        <v>0</v>
      </c>
      <c r="J17" s="979"/>
      <c r="K17" s="284"/>
      <c r="L17" s="159"/>
      <c r="M17" s="296"/>
      <c r="N17" s="295"/>
      <c r="O17" s="284"/>
      <c r="P17" s="366"/>
      <c r="Q17" s="277"/>
      <c r="R17" s="308"/>
      <c r="S17" s="373"/>
      <c r="T17" s="526"/>
      <c r="U17" s="308"/>
      <c r="V17" s="154"/>
      <c r="W17" s="357">
        <f t="shared" si="2"/>
        <v>0</v>
      </c>
      <c r="X17" s="380"/>
      <c r="Y17" s="153">
        <f t="shared" si="3"/>
        <v>0</v>
      </c>
      <c r="Z17" s="357">
        <f t="shared" si="4"/>
        <v>0</v>
      </c>
      <c r="AA17" s="308"/>
      <c r="AB17" s="154"/>
      <c r="AC17" s="358"/>
      <c r="AD17" s="277"/>
      <c r="AE17" s="154"/>
      <c r="AF17" s="358"/>
      <c r="AG17" s="277"/>
      <c r="AH17" s="154"/>
      <c r="AI17" s="358"/>
      <c r="AJ17" s="423"/>
      <c r="AK17" s="393"/>
      <c r="AL17" s="334">
        <v>16203570.300000001</v>
      </c>
      <c r="AM17" s="161">
        <f>AP17+AS17+AW17</f>
        <v>16203570.300000001</v>
      </c>
      <c r="AN17" s="1013">
        <f t="shared" si="5"/>
        <v>0</v>
      </c>
      <c r="AO17" s="338">
        <v>16203570.300000001</v>
      </c>
      <c r="AP17" s="162">
        <v>16203570.300000001</v>
      </c>
      <c r="AQ17" s="1019">
        <f>AP17-AO17</f>
        <v>0</v>
      </c>
      <c r="AR17" s="324"/>
      <c r="AS17" s="162"/>
      <c r="AT17" s="339"/>
      <c r="AU17" s="541"/>
      <c r="AV17" s="324"/>
      <c r="AW17" s="162"/>
      <c r="AX17" s="339"/>
      <c r="BG17" s="618"/>
      <c r="BH17" s="614"/>
      <c r="BI17" s="625"/>
      <c r="BJ17" s="614"/>
      <c r="BM17" s="628"/>
      <c r="BN17" s="628"/>
      <c r="BQ17" s="618">
        <f>BQ12-BQ16</f>
        <v>59689685.349999987</v>
      </c>
      <c r="BR17" s="614"/>
      <c r="BS17" s="625"/>
      <c r="BT17" s="614"/>
    </row>
    <row r="18" spans="1:72" ht="31.5" x14ac:dyDescent="0.3">
      <c r="A18" s="437" t="s">
        <v>155</v>
      </c>
      <c r="B18" s="975">
        <v>130</v>
      </c>
      <c r="C18" s="438"/>
      <c r="D18" s="431">
        <v>0</v>
      </c>
      <c r="E18" s="59">
        <f>H18+R18+AL18+AK18</f>
        <v>0</v>
      </c>
      <c r="F18" s="410">
        <f t="shared" si="1"/>
        <v>0</v>
      </c>
      <c r="G18" s="285"/>
      <c r="H18" s="158"/>
      <c r="I18" s="668">
        <f t="shared" si="6"/>
        <v>0</v>
      </c>
      <c r="J18" s="881"/>
      <c r="K18" s="285"/>
      <c r="L18" s="158"/>
      <c r="M18" s="298"/>
      <c r="N18" s="297"/>
      <c r="O18" s="285"/>
      <c r="P18" s="367"/>
      <c r="Q18" s="279"/>
      <c r="R18" s="310"/>
      <c r="S18" s="375"/>
      <c r="T18" s="528"/>
      <c r="U18" s="310"/>
      <c r="V18" s="63"/>
      <c r="W18" s="357">
        <f t="shared" si="2"/>
        <v>0</v>
      </c>
      <c r="X18" s="382"/>
      <c r="Y18" s="153">
        <f t="shared" si="3"/>
        <v>0</v>
      </c>
      <c r="Z18" s="357">
        <f t="shared" si="4"/>
        <v>0</v>
      </c>
      <c r="AA18" s="310"/>
      <c r="AB18" s="63"/>
      <c r="AC18" s="360"/>
      <c r="AD18" s="279"/>
      <c r="AE18" s="63"/>
      <c r="AF18" s="360"/>
      <c r="AG18" s="279"/>
      <c r="AH18" s="63"/>
      <c r="AI18" s="360"/>
      <c r="AJ18" s="425"/>
      <c r="AK18" s="395"/>
      <c r="AL18" s="334">
        <v>0</v>
      </c>
      <c r="AM18" s="161">
        <f t="shared" si="7"/>
        <v>0</v>
      </c>
      <c r="AN18" s="1013">
        <f t="shared" si="5"/>
        <v>0</v>
      </c>
      <c r="AO18" s="336"/>
      <c r="AP18" s="260"/>
      <c r="AQ18" s="1018"/>
      <c r="AR18" s="325"/>
      <c r="AS18" s="260"/>
      <c r="AT18" s="337"/>
      <c r="AU18" s="540" t="s">
        <v>149</v>
      </c>
      <c r="AV18" s="325"/>
      <c r="AW18" s="260"/>
      <c r="AX18" s="337"/>
      <c r="BG18" s="617"/>
      <c r="BH18" s="614"/>
      <c r="BI18" s="625"/>
      <c r="BJ18" s="614"/>
      <c r="BM18" s="628"/>
      <c r="BN18" s="628"/>
      <c r="BQ18" s="617"/>
      <c r="BR18" s="614"/>
      <c r="BS18" s="625"/>
      <c r="BT18" s="614"/>
    </row>
    <row r="19" spans="1:72" ht="63.75" customHeight="1" x14ac:dyDescent="0.3">
      <c r="A19" s="437" t="s">
        <v>156</v>
      </c>
      <c r="B19" s="975">
        <v>140</v>
      </c>
      <c r="C19" s="438"/>
      <c r="D19" s="431">
        <v>0</v>
      </c>
      <c r="E19" s="59">
        <f>H19+R19+AL19+AK19</f>
        <v>0</v>
      </c>
      <c r="F19" s="410">
        <f t="shared" si="1"/>
        <v>0</v>
      </c>
      <c r="G19" s="285"/>
      <c r="H19" s="158"/>
      <c r="I19" s="668">
        <f t="shared" si="6"/>
        <v>0</v>
      </c>
      <c r="J19" s="881"/>
      <c r="K19" s="285"/>
      <c r="L19" s="158"/>
      <c r="M19" s="298"/>
      <c r="N19" s="297"/>
      <c r="O19" s="285"/>
      <c r="P19" s="367"/>
      <c r="Q19" s="279"/>
      <c r="R19" s="310"/>
      <c r="S19" s="375"/>
      <c r="T19" s="528"/>
      <c r="U19" s="310"/>
      <c r="V19" s="63"/>
      <c r="W19" s="357">
        <f t="shared" si="2"/>
        <v>0</v>
      </c>
      <c r="X19" s="382"/>
      <c r="Y19" s="153">
        <f t="shared" si="3"/>
        <v>0</v>
      </c>
      <c r="Z19" s="357">
        <f t="shared" si="4"/>
        <v>0</v>
      </c>
      <c r="AA19" s="310"/>
      <c r="AB19" s="63"/>
      <c r="AC19" s="360"/>
      <c r="AD19" s="279"/>
      <c r="AE19" s="63"/>
      <c r="AF19" s="360"/>
      <c r="AG19" s="279"/>
      <c r="AH19" s="63"/>
      <c r="AI19" s="360"/>
      <c r="AJ19" s="425"/>
      <c r="AK19" s="395"/>
      <c r="AL19" s="334">
        <v>0</v>
      </c>
      <c r="AM19" s="161">
        <f t="shared" si="7"/>
        <v>0</v>
      </c>
      <c r="AN19" s="1013">
        <f t="shared" si="5"/>
        <v>0</v>
      </c>
      <c r="AO19" s="336"/>
      <c r="AP19" s="260"/>
      <c r="AQ19" s="1018"/>
      <c r="AR19" s="325"/>
      <c r="AS19" s="260"/>
      <c r="AT19" s="337"/>
      <c r="AU19" s="540" t="s">
        <v>149</v>
      </c>
      <c r="AV19" s="325"/>
      <c r="AW19" s="260"/>
      <c r="AX19" s="337"/>
      <c r="BG19" s="617"/>
      <c r="BH19" s="614"/>
      <c r="BI19" s="625"/>
      <c r="BJ19" s="614"/>
      <c r="BM19" s="628"/>
      <c r="BN19" s="628"/>
      <c r="BQ19" s="617"/>
      <c r="BR19" s="614"/>
      <c r="BS19" s="625"/>
      <c r="BT19" s="614"/>
    </row>
    <row r="20" spans="1:72" ht="38.25" customHeight="1" x14ac:dyDescent="0.3">
      <c r="A20" s="437" t="s">
        <v>157</v>
      </c>
      <c r="B20" s="975">
        <v>150</v>
      </c>
      <c r="C20" s="438"/>
      <c r="D20" s="431">
        <v>1270135000</v>
      </c>
      <c r="E20" s="64">
        <f>H20+R20+AM20+AK20</f>
        <v>2275135000</v>
      </c>
      <c r="F20" s="411">
        <f t="shared" si="1"/>
        <v>1005000000</v>
      </c>
      <c r="G20" s="285"/>
      <c r="H20" s="158"/>
      <c r="I20" s="668">
        <f t="shared" si="6"/>
        <v>0</v>
      </c>
      <c r="J20" s="881"/>
      <c r="K20" s="285"/>
      <c r="L20" s="158"/>
      <c r="M20" s="298"/>
      <c r="N20" s="297"/>
      <c r="O20" s="285"/>
      <c r="P20" s="367"/>
      <c r="Q20" s="279">
        <v>1270135000</v>
      </c>
      <c r="R20" s="310">
        <f>T20+V20+X20+AB20+AE20+AH20</f>
        <v>2275135000</v>
      </c>
      <c r="S20" s="375">
        <f>R20-Q20</f>
        <v>1005000000</v>
      </c>
      <c r="T20" s="528"/>
      <c r="U20" s="310">
        <v>1216891000</v>
      </c>
      <c r="V20" s="63">
        <f>2275135000-Y20-AB20-AE20-AH20</f>
        <v>2221891000.0100002</v>
      </c>
      <c r="W20" s="360">
        <f t="shared" si="2"/>
        <v>1005000000.0100002</v>
      </c>
      <c r="X20" s="382">
        <v>22131000</v>
      </c>
      <c r="Y20" s="63">
        <f>X20-Z20</f>
        <v>22131000</v>
      </c>
      <c r="Z20" s="360"/>
      <c r="AA20" s="310">
        <v>6878578.4699999997</v>
      </c>
      <c r="AB20" s="63">
        <v>6878578.4699999997</v>
      </c>
      <c r="AC20" s="360">
        <f>AB20-AA20</f>
        <v>0</v>
      </c>
      <c r="AD20" s="63">
        <v>15071900</v>
      </c>
      <c r="AE20" s="63">
        <v>15071900</v>
      </c>
      <c r="AF20" s="360">
        <f>AE20-AD20</f>
        <v>0</v>
      </c>
      <c r="AG20" s="63">
        <v>9162521.5199999996</v>
      </c>
      <c r="AH20" s="63">
        <v>9162521.5199999996</v>
      </c>
      <c r="AI20" s="360">
        <f>AH20-AG20</f>
        <v>0</v>
      </c>
      <c r="AJ20" s="426"/>
      <c r="AK20" s="395"/>
      <c r="AL20" s="334">
        <v>0</v>
      </c>
      <c r="AM20" s="161">
        <f t="shared" si="7"/>
        <v>0</v>
      </c>
      <c r="AN20" s="1013">
        <f t="shared" si="5"/>
        <v>0</v>
      </c>
      <c r="AO20" s="338"/>
      <c r="AP20" s="162"/>
      <c r="AQ20" s="1019"/>
      <c r="AR20" s="324"/>
      <c r="AS20" s="162"/>
      <c r="AT20" s="339"/>
      <c r="AU20" s="540" t="s">
        <v>149</v>
      </c>
      <c r="AV20" s="324"/>
      <c r="AW20" s="162"/>
      <c r="AX20" s="339"/>
      <c r="BG20" s="617"/>
      <c r="BH20" s="614"/>
      <c r="BI20" s="625"/>
      <c r="BJ20" s="614"/>
      <c r="BM20" s="628"/>
      <c r="BN20" s="628"/>
      <c r="BQ20" s="617"/>
      <c r="BR20" s="614"/>
      <c r="BS20" s="625"/>
      <c r="BT20" s="614"/>
    </row>
    <row r="21" spans="1:72" ht="19.5" customHeight="1" x14ac:dyDescent="0.3">
      <c r="A21" s="437" t="s">
        <v>158</v>
      </c>
      <c r="B21" s="975">
        <v>160</v>
      </c>
      <c r="C21" s="438"/>
      <c r="D21" s="431">
        <v>34899225.510000005</v>
      </c>
      <c r="E21" s="64">
        <f>H21+R21+AM21+AK21</f>
        <v>34899225.510000005</v>
      </c>
      <c r="F21" s="411">
        <f t="shared" si="1"/>
        <v>0</v>
      </c>
      <c r="G21" s="285"/>
      <c r="H21" s="158"/>
      <c r="I21" s="668">
        <f t="shared" si="6"/>
        <v>0</v>
      </c>
      <c r="J21" s="881"/>
      <c r="K21" s="285"/>
      <c r="L21" s="158"/>
      <c r="M21" s="298"/>
      <c r="N21" s="297"/>
      <c r="O21" s="285"/>
      <c r="P21" s="367"/>
      <c r="Q21" s="279"/>
      <c r="R21" s="310"/>
      <c r="S21" s="375"/>
      <c r="T21" s="528"/>
      <c r="U21" s="310"/>
      <c r="V21" s="63"/>
      <c r="W21" s="357"/>
      <c r="X21" s="382"/>
      <c r="Y21" s="153">
        <f>X21-W21</f>
        <v>0</v>
      </c>
      <c r="Z21" s="357">
        <f>X21-W21</f>
        <v>0</v>
      </c>
      <c r="AA21" s="310"/>
      <c r="AB21" s="63"/>
      <c r="AC21" s="360"/>
      <c r="AD21" s="279"/>
      <c r="AE21" s="63"/>
      <c r="AF21" s="360"/>
      <c r="AG21" s="279"/>
      <c r="AH21" s="63"/>
      <c r="AI21" s="360"/>
      <c r="AJ21" s="425"/>
      <c r="AK21" s="395"/>
      <c r="AL21" s="334">
        <v>34899225.510000005</v>
      </c>
      <c r="AM21" s="161">
        <f>AP21+AS21+AW21</f>
        <v>34899225.510000005</v>
      </c>
      <c r="AN21" s="1013">
        <f t="shared" si="5"/>
        <v>0</v>
      </c>
      <c r="AO21" s="338">
        <v>14623053.460000001</v>
      </c>
      <c r="AP21" s="162">
        <v>14623053.460000001</v>
      </c>
      <c r="AQ21" s="1019">
        <f>AP21-AO21</f>
        <v>0</v>
      </c>
      <c r="AR21" s="324">
        <v>20276172.050000001</v>
      </c>
      <c r="AS21" s="162">
        <v>11158193.82</v>
      </c>
      <c r="AT21" s="339">
        <f>AS21-AR21</f>
        <v>-9117978.2300000004</v>
      </c>
      <c r="AU21" s="542"/>
      <c r="AV21" s="324"/>
      <c r="AW21" s="162">
        <v>9117978.2300000004</v>
      </c>
      <c r="AX21" s="339">
        <f>AW21-AV21</f>
        <v>9117978.2300000004</v>
      </c>
      <c r="BG21" s="617"/>
      <c r="BH21" s="614"/>
      <c r="BI21" s="618">
        <v>106376.9</v>
      </c>
      <c r="BJ21" s="614"/>
      <c r="BM21" s="628"/>
      <c r="BN21" s="628"/>
      <c r="BQ21" s="617"/>
      <c r="BR21" s="614"/>
      <c r="BS21" s="618">
        <v>106376.9</v>
      </c>
      <c r="BT21" s="614"/>
    </row>
    <row r="22" spans="1:72" ht="22.5" customHeight="1" x14ac:dyDescent="0.3">
      <c r="A22" s="437" t="s">
        <v>159</v>
      </c>
      <c r="B22" s="975">
        <v>180</v>
      </c>
      <c r="C22" s="977" t="s">
        <v>149</v>
      </c>
      <c r="D22" s="64">
        <f>G22+Q22+AL22+AJ22</f>
        <v>0</v>
      </c>
      <c r="E22" s="64">
        <f>H22+R22+AM22+AK22</f>
        <v>0</v>
      </c>
      <c r="F22" s="411">
        <f t="shared" si="1"/>
        <v>0</v>
      </c>
      <c r="G22" s="284"/>
      <c r="H22" s="159"/>
      <c r="I22" s="668">
        <f t="shared" si="6"/>
        <v>0</v>
      </c>
      <c r="J22" s="979"/>
      <c r="K22" s="284"/>
      <c r="L22" s="159"/>
      <c r="M22" s="296"/>
      <c r="N22" s="295"/>
      <c r="O22" s="284"/>
      <c r="P22" s="366"/>
      <c r="Q22" s="277"/>
      <c r="R22" s="308"/>
      <c r="S22" s="373"/>
      <c r="T22" s="526"/>
      <c r="U22" s="308"/>
      <c r="V22" s="154"/>
      <c r="W22" s="357">
        <f t="shared" si="2"/>
        <v>0</v>
      </c>
      <c r="X22" s="380"/>
      <c r="Y22" s="153">
        <f>X22-W22</f>
        <v>0</v>
      </c>
      <c r="Z22" s="357">
        <f>X22-W22</f>
        <v>0</v>
      </c>
      <c r="AA22" s="308"/>
      <c r="AB22" s="154"/>
      <c r="AC22" s="358"/>
      <c r="AD22" s="277"/>
      <c r="AE22" s="154"/>
      <c r="AF22" s="358"/>
      <c r="AG22" s="277"/>
      <c r="AH22" s="154"/>
      <c r="AI22" s="358"/>
      <c r="AJ22" s="423"/>
      <c r="AK22" s="393"/>
      <c r="AL22" s="334">
        <v>0</v>
      </c>
      <c r="AM22" s="161">
        <f t="shared" si="7"/>
        <v>0</v>
      </c>
      <c r="AN22" s="1013">
        <f t="shared" si="5"/>
        <v>0</v>
      </c>
      <c r="AO22" s="336"/>
      <c r="AP22" s="260"/>
      <c r="AQ22" s="1018"/>
      <c r="AR22" s="324"/>
      <c r="AS22" s="162"/>
      <c r="AT22" s="339">
        <f>AS22-AR22</f>
        <v>0</v>
      </c>
      <c r="AU22" s="543" t="s">
        <v>149</v>
      </c>
      <c r="AV22" s="324"/>
      <c r="AW22" s="162"/>
      <c r="AX22" s="339">
        <f>AW22-AV22</f>
        <v>0</v>
      </c>
      <c r="BG22" s="617"/>
      <c r="BH22" s="614"/>
      <c r="BI22" s="618">
        <v>495312.5</v>
      </c>
      <c r="BJ22" s="614"/>
      <c r="BM22" s="628"/>
      <c r="BN22" s="628"/>
      <c r="BP22" s="533">
        <f>BM23-BP23</f>
        <v>62451857.668063521</v>
      </c>
      <c r="BQ22" s="617"/>
      <c r="BR22" s="614"/>
      <c r="BS22" s="618">
        <v>495312.5</v>
      </c>
      <c r="BT22" s="614"/>
    </row>
    <row r="23" spans="1:72" s="115" customFormat="1" x14ac:dyDescent="0.3">
      <c r="A23" s="435" t="s">
        <v>160</v>
      </c>
      <c r="B23" s="976">
        <v>200</v>
      </c>
      <c r="C23" s="436" t="s">
        <v>149</v>
      </c>
      <c r="D23" s="1010">
        <f>D24+D45+D33</f>
        <v>2299618211.1500001</v>
      </c>
      <c r="E23" s="59">
        <f>H23+R23+AM23+AK23</f>
        <v>3304618211.1449995</v>
      </c>
      <c r="F23" s="410">
        <f t="shared" si="1"/>
        <v>1004999999.9949994</v>
      </c>
      <c r="G23" s="293">
        <f>G24+G29+G33+G42+G45+G67+G71</f>
        <v>239742190.97657448</v>
      </c>
      <c r="H23" s="157">
        <f>H24+H36+H45</f>
        <v>239742190.98000002</v>
      </c>
      <c r="I23" s="667">
        <f>H23-G23</f>
        <v>3.4255385398864746E-3</v>
      </c>
      <c r="J23" s="882">
        <f>J24+J33+J45</f>
        <v>121550240.5065745</v>
      </c>
      <c r="K23" s="157">
        <f>K24+K29+K33+K42+K45+K67+K71</f>
        <v>73111481.360000014</v>
      </c>
      <c r="L23" s="157">
        <f>L24+L29+L33+L42+L45+L67+L71</f>
        <v>73111481.360000014</v>
      </c>
      <c r="M23" s="294">
        <f>L23-K23</f>
        <v>0</v>
      </c>
      <c r="N23" s="283">
        <f>N24+N29+N33+N42+N45+N67+N71</f>
        <v>45080469.109999999</v>
      </c>
      <c r="O23" s="283">
        <f>O24+O29+O33+O42+O45+O67+O71</f>
        <v>45080469.109999999</v>
      </c>
      <c r="P23" s="365">
        <f>O23-N23</f>
        <v>0</v>
      </c>
      <c r="Q23" s="276">
        <f>Q24+Q29+Q41+Q42+Q67+Q45+Q33</f>
        <v>1658328676.1500003</v>
      </c>
      <c r="R23" s="307">
        <f>R24+R29+R41+R42+R67+R45+R33</f>
        <v>2663328676.1499996</v>
      </c>
      <c r="S23" s="372">
        <f>R23-Q23</f>
        <v>1004999999.9999993</v>
      </c>
      <c r="T23" s="525">
        <f>T24+T33+T45</f>
        <v>388193676.14999998</v>
      </c>
      <c r="U23" s="307">
        <f>U24+U33+U45</f>
        <v>1216891000</v>
      </c>
      <c r="V23" s="153">
        <f>V24+V33+V45</f>
        <v>2222708150.4000001</v>
      </c>
      <c r="W23" s="357">
        <f t="shared" si="2"/>
        <v>1005817150.4000001</v>
      </c>
      <c r="X23" s="379">
        <f>X24+X29+X41+X42+X67+X45+X33</f>
        <v>22131000</v>
      </c>
      <c r="Y23" s="153">
        <f>Y24+Y29+Y41+Y42+Y67+Y45+Y33</f>
        <v>22131000</v>
      </c>
      <c r="Z23" s="357">
        <f>Z24+Z29+Z41+Z42+Z67+Z45+Z33</f>
        <v>0</v>
      </c>
      <c r="AA23" s="307">
        <v>6878578.4699999997</v>
      </c>
      <c r="AB23" s="153">
        <f t="shared" ref="AB23:AE23" si="8">AB24+AB29+AB41+AB42+AB67+AB45+AB33</f>
        <v>6878578.4699999997</v>
      </c>
      <c r="AC23" s="357">
        <f>AB23-AA23</f>
        <v>0</v>
      </c>
      <c r="AD23" s="153">
        <v>15071900</v>
      </c>
      <c r="AE23" s="153">
        <f t="shared" si="8"/>
        <v>15071900</v>
      </c>
      <c r="AF23" s="357">
        <f>AE23-AD23</f>
        <v>0</v>
      </c>
      <c r="AG23" s="153">
        <v>9162521.5199999996</v>
      </c>
      <c r="AH23" s="153">
        <f t="shared" ref="AH23" si="9">AH24+AH29+AH41+AH42+AH67+AH45+AH33</f>
        <v>8345371.1299999999</v>
      </c>
      <c r="AI23" s="357">
        <f>AH23-AG23</f>
        <v>-817150.38999999966</v>
      </c>
      <c r="AJ23" s="422">
        <f>AJ24+AJ29+AJ36+AJ41+AJ42+AJ67+AJ45</f>
        <v>0</v>
      </c>
      <c r="AK23" s="396">
        <f>AK24+AK29+AK41+AK42+AK45+AK67+AK33</f>
        <v>1908800</v>
      </c>
      <c r="AL23" s="334">
        <v>399638544.03446358</v>
      </c>
      <c r="AM23" s="161">
        <f>AP23+AS23+AW23</f>
        <v>399638544.01499999</v>
      </c>
      <c r="AN23" s="1013">
        <f t="shared" si="5"/>
        <v>-1.9463598728179932E-2</v>
      </c>
      <c r="AO23" s="334">
        <v>315793818.92446357</v>
      </c>
      <c r="AP23" s="161">
        <f>AP24+AP29+AP41+AP42+AP67+AP45+AP33</f>
        <v>331413056.08499998</v>
      </c>
      <c r="AQ23" s="406">
        <f>AP23-AO23</f>
        <v>15619237.160536408</v>
      </c>
      <c r="AR23" s="161">
        <f>AR24+AR29+AR41+AR42+AR45+AR67+AR33</f>
        <v>83844725.109999999</v>
      </c>
      <c r="AS23" s="161">
        <f>AS24+AS29+AS41+AS42+AS45+AS67+AS33</f>
        <v>55953690.5</v>
      </c>
      <c r="AT23" s="335">
        <f>AS23-AR23</f>
        <v>-27891034.609999999</v>
      </c>
      <c r="AU23" s="539">
        <f>AU24+AU29+AU36+AU41+AU42+AU67+AU45</f>
        <v>0</v>
      </c>
      <c r="AV23" s="323"/>
      <c r="AW23" s="161">
        <f>AW24+AW29+AW41+AW42+AW45+AW67+AW33</f>
        <v>12271797.430000002</v>
      </c>
      <c r="AX23" s="335">
        <f>AW23-AV23</f>
        <v>12271797.430000002</v>
      </c>
      <c r="AZ23" s="969">
        <v>315793818.93169999</v>
      </c>
      <c r="BA23" s="135">
        <f>AZ23-AP23</f>
        <v>-15619237.153299987</v>
      </c>
      <c r="BG23" s="334">
        <f>BG24+BG29+BG41+BG42+BG45+BG67+BG33</f>
        <v>0</v>
      </c>
      <c r="BH23" s="539">
        <f>BH24+BH29+BH41+BH42+BH45+BH67+BH33</f>
        <v>15071900</v>
      </c>
      <c r="BI23" s="334">
        <f t="shared" ref="BI23:BJ23" si="10">BI24+BI29+BI41+BI42+BI45+BI67+BI33</f>
        <v>69438047.340000004</v>
      </c>
      <c r="BJ23" s="539">
        <f t="shared" si="10"/>
        <v>-61092676.210000001</v>
      </c>
      <c r="BM23" s="628">
        <f>AL23</f>
        <v>399638544.03446358</v>
      </c>
      <c r="BN23" s="628">
        <f t="shared" ref="BN23:BN54" si="11">BQ23+BS23</f>
        <v>331661665.28999996</v>
      </c>
      <c r="BO23" s="535">
        <f>BM23-BN23</f>
        <v>67976878.744463623</v>
      </c>
      <c r="BP23" s="334">
        <f>BP24+BP29+BP41+BP42+BP45+BP67+BP33</f>
        <v>337186686.36640006</v>
      </c>
      <c r="BQ23" s="334">
        <f>BQ24+BQ29+BQ41+BQ42+BQ45+BQ67+BQ33</f>
        <v>262223617.94999999</v>
      </c>
      <c r="BR23" s="539">
        <f>BR24+BR29+BR41+BR42+BR45+BR67+BR33</f>
        <v>53570200.97446353</v>
      </c>
      <c r="BS23" s="334">
        <f t="shared" ref="BS23:BT23" si="12">BS24+BS29+BS41+BS42+BS45+BS67+BS33</f>
        <v>69438047.340000004</v>
      </c>
      <c r="BT23" s="539">
        <f t="shared" si="12"/>
        <v>14406677.770000001</v>
      </c>
    </row>
    <row r="24" spans="1:72" s="115" customFormat="1" ht="18.75" customHeight="1" x14ac:dyDescent="0.3">
      <c r="A24" s="435" t="s">
        <v>161</v>
      </c>
      <c r="B24" s="976">
        <v>210</v>
      </c>
      <c r="C24" s="436">
        <v>110</v>
      </c>
      <c r="D24" s="430">
        <f>D26+D27+D28</f>
        <v>424149150.21000004</v>
      </c>
      <c r="E24" s="59">
        <f>H24+R24+AM24+AK24</f>
        <v>424149150.21000004</v>
      </c>
      <c r="F24" s="410">
        <f t="shared" si="1"/>
        <v>0</v>
      </c>
      <c r="G24" s="293">
        <f>G26+G27+G28</f>
        <v>187885462.60657451</v>
      </c>
      <c r="H24" s="157">
        <f>H26+H27+H28</f>
        <v>187885462.61000001</v>
      </c>
      <c r="I24" s="667">
        <f>H24-G24</f>
        <v>3.4255087375640869E-3</v>
      </c>
      <c r="J24" s="882">
        <f>J26+J27+J28</f>
        <v>121550240.5065745</v>
      </c>
      <c r="K24" s="157">
        <f>K26+K27+K28</f>
        <v>40250801.520000003</v>
      </c>
      <c r="L24" s="157">
        <f>L26+L27+L28</f>
        <v>40250801.520000003</v>
      </c>
      <c r="M24" s="294">
        <f>L24-K24</f>
        <v>0</v>
      </c>
      <c r="N24" s="283">
        <f>N26+N27+N28</f>
        <v>26084420.580000002</v>
      </c>
      <c r="O24" s="283">
        <f>O26+O27+O28</f>
        <v>26084420.580000002</v>
      </c>
      <c r="P24" s="365">
        <f>O24-N24</f>
        <v>0</v>
      </c>
      <c r="Q24" s="276">
        <f>Q26+Q27+Q28</f>
        <v>24940779.410000004</v>
      </c>
      <c r="R24" s="307">
        <f>R26+R27+R28</f>
        <v>24940779.41</v>
      </c>
      <c r="S24" s="372">
        <f>R24-Q24</f>
        <v>0</v>
      </c>
      <c r="T24" s="525">
        <f>T26+T27</f>
        <v>0</v>
      </c>
      <c r="U24" s="307">
        <v>0</v>
      </c>
      <c r="V24" s="153">
        <f>V26+V27+V28</f>
        <v>0</v>
      </c>
      <c r="W24" s="357">
        <f t="shared" si="2"/>
        <v>0</v>
      </c>
      <c r="X24" s="379">
        <f>X26+X27+X28</f>
        <v>9868879.4100000001</v>
      </c>
      <c r="Y24" s="153">
        <f>Y26+Y27+Y28</f>
        <v>9868879.4100000001</v>
      </c>
      <c r="Z24" s="357">
        <f>Z26+Z27+Z28</f>
        <v>0</v>
      </c>
      <c r="AA24" s="307">
        <v>0</v>
      </c>
      <c r="AB24" s="153">
        <f>AB26+AB27</f>
        <v>0</v>
      </c>
      <c r="AC24" s="357">
        <f>AB24-AA24</f>
        <v>0</v>
      </c>
      <c r="AD24" s="153">
        <v>15071900</v>
      </c>
      <c r="AE24" s="153">
        <f>AE26+AE27</f>
        <v>15071900</v>
      </c>
      <c r="AF24" s="357">
        <f>AE24-AD24</f>
        <v>0</v>
      </c>
      <c r="AG24" s="153">
        <v>0</v>
      </c>
      <c r="AH24" s="153">
        <f>AH26+AH27</f>
        <v>0</v>
      </c>
      <c r="AI24" s="357">
        <f>AH24-AG24</f>
        <v>0</v>
      </c>
      <c r="AJ24" s="422">
        <f>AJ26+AJ27+AJ28</f>
        <v>0</v>
      </c>
      <c r="AK24" s="396">
        <f>AK26+AK27+AK28</f>
        <v>1858800</v>
      </c>
      <c r="AL24" s="334">
        <v>209193760.26000002</v>
      </c>
      <c r="AM24" s="161">
        <f>AP24+AS24+AW24</f>
        <v>209464108.19</v>
      </c>
      <c r="AN24" s="1013">
        <f t="shared" si="5"/>
        <v>270347.92999997735</v>
      </c>
      <c r="AO24" s="334">
        <f>AO26+AO27+AO28</f>
        <v>160627997.13</v>
      </c>
      <c r="AP24" s="161">
        <f>AP26+AP27+AP28</f>
        <v>170310396.47</v>
      </c>
      <c r="AQ24" s="406">
        <f>AP24-AO24</f>
        <v>9682399.3400000036</v>
      </c>
      <c r="AR24" s="161">
        <f>AR26+AR27+AR28</f>
        <v>48698763.130000003</v>
      </c>
      <c r="AS24" s="161">
        <f>AS26+AS27+AS28</f>
        <v>32053015.510000002</v>
      </c>
      <c r="AT24" s="335">
        <f>AS24-AR24</f>
        <v>-16645747.620000001</v>
      </c>
      <c r="AU24" s="539">
        <f>AU26+AU27+AU28</f>
        <v>0</v>
      </c>
      <c r="AV24" s="323"/>
      <c r="AW24" s="161">
        <f>AW26+AW27+AW28</f>
        <v>7100696.21</v>
      </c>
      <c r="AX24" s="335">
        <f>AW24-AV24</f>
        <v>7100696.21</v>
      </c>
      <c r="BG24" s="334">
        <f>BG26+BG27+BG28</f>
        <v>0</v>
      </c>
      <c r="BH24" s="539">
        <f>BH26+BH27+BH28</f>
        <v>15071900</v>
      </c>
      <c r="BI24" s="334">
        <f t="shared" ref="BI24:BJ24" si="13">BI26+BI27+BI28</f>
        <v>43280242.210000001</v>
      </c>
      <c r="BJ24" s="539">
        <f t="shared" si="13"/>
        <v>-43280242.210000001</v>
      </c>
      <c r="BM24" s="628">
        <f>AL24</f>
        <v>209193760.26000002</v>
      </c>
      <c r="BN24" s="628">
        <f t="shared" si="11"/>
        <v>198794090.73000002</v>
      </c>
      <c r="BO24" s="535">
        <f t="shared" ref="BO24:BO74" si="14">BM24-BN24</f>
        <v>10399669.530000001</v>
      </c>
      <c r="BP24" s="334">
        <f>BP26+BP27+BP28</f>
        <v>206886090.54000002</v>
      </c>
      <c r="BQ24" s="334">
        <f>BQ26+BQ27+BQ28</f>
        <v>155513848.52000001</v>
      </c>
      <c r="BR24" s="539">
        <f>BR26+BR27+BR28</f>
        <v>5114148.609999992</v>
      </c>
      <c r="BS24" s="334">
        <f t="shared" ref="BS24:BT24" si="15">BS26+BS27+BS28</f>
        <v>43280242.210000001</v>
      </c>
      <c r="BT24" s="539">
        <f t="shared" si="15"/>
        <v>5418520.9199999999</v>
      </c>
    </row>
    <row r="25" spans="1:72" x14ac:dyDescent="0.3">
      <c r="A25" s="437" t="s">
        <v>92</v>
      </c>
      <c r="B25" s="133"/>
      <c r="C25" s="438"/>
      <c r="D25" s="431"/>
      <c r="E25" s="59">
        <f>H25+R25+AL25+AK25</f>
        <v>0</v>
      </c>
      <c r="F25" s="410">
        <f t="shared" si="1"/>
        <v>0</v>
      </c>
      <c r="G25" s="285"/>
      <c r="H25" s="158"/>
      <c r="I25" s="667">
        <f t="shared" ref="I25:I26" si="16">H25-G25</f>
        <v>0</v>
      </c>
      <c r="J25" s="881"/>
      <c r="K25" s="285"/>
      <c r="L25" s="158"/>
      <c r="M25" s="298"/>
      <c r="N25" s="297"/>
      <c r="O25" s="285"/>
      <c r="P25" s="367"/>
      <c r="Q25" s="279"/>
      <c r="R25" s="310"/>
      <c r="S25" s="375"/>
      <c r="T25" s="528"/>
      <c r="U25" s="310"/>
      <c r="V25" s="63"/>
      <c r="W25" s="357">
        <f t="shared" si="2"/>
        <v>0</v>
      </c>
      <c r="X25" s="382"/>
      <c r="Y25" s="153">
        <f>X25-W25</f>
        <v>0</v>
      </c>
      <c r="Z25" s="357">
        <f>X25-W25</f>
        <v>0</v>
      </c>
      <c r="AA25" s="310"/>
      <c r="AB25" s="63"/>
      <c r="AC25" s="360"/>
      <c r="AD25" s="279"/>
      <c r="AE25" s="63"/>
      <c r="AF25" s="360"/>
      <c r="AG25" s="279"/>
      <c r="AH25" s="63"/>
      <c r="AI25" s="360"/>
      <c r="AJ25" s="425"/>
      <c r="AK25" s="395"/>
      <c r="AL25" s="334">
        <v>0</v>
      </c>
      <c r="AM25" s="161">
        <f t="shared" ref="AM25:AM73" si="17">AP25+AS25+AW25</f>
        <v>0</v>
      </c>
      <c r="AN25" s="1013">
        <f t="shared" si="5"/>
        <v>0</v>
      </c>
      <c r="AO25" s="338"/>
      <c r="AP25" s="162"/>
      <c r="AQ25" s="1019"/>
      <c r="AR25" s="324"/>
      <c r="AS25" s="162"/>
      <c r="AT25" s="339"/>
      <c r="AU25" s="540"/>
      <c r="AV25" s="324"/>
      <c r="AW25" s="162"/>
      <c r="AX25" s="339"/>
      <c r="BG25" s="617"/>
      <c r="BH25" s="614"/>
      <c r="BI25" s="625"/>
      <c r="BJ25" s="614"/>
      <c r="BM25" s="628">
        <f t="shared" ref="BM25:BM76" si="18">AL25</f>
        <v>0</v>
      </c>
      <c r="BN25" s="628">
        <f t="shared" si="11"/>
        <v>0</v>
      </c>
      <c r="BO25" s="535">
        <f t="shared" si="14"/>
        <v>0</v>
      </c>
      <c r="BP25" s="533"/>
      <c r="BQ25" s="617"/>
      <c r="BR25" s="614"/>
      <c r="BS25" s="625"/>
      <c r="BT25" s="614"/>
    </row>
    <row r="26" spans="1:72" ht="18.75" customHeight="1" x14ac:dyDescent="0.3">
      <c r="A26" s="437" t="s">
        <v>162</v>
      </c>
      <c r="B26" s="1385">
        <v>211</v>
      </c>
      <c r="C26" s="977">
        <v>111</v>
      </c>
      <c r="D26" s="431">
        <f>324309100.47+0.0014439</f>
        <v>324309100.47144395</v>
      </c>
      <c r="E26" s="64">
        <f>H26+R26+AM26+AK26</f>
        <v>324309100.47144389</v>
      </c>
      <c r="F26" s="1072">
        <f t="shared" si="1"/>
        <v>0</v>
      </c>
      <c r="G26" s="285">
        <f>143436558.53-0.00343+0.0000045</f>
        <v>143436558.52657449</v>
      </c>
      <c r="H26" s="158">
        <v>143436558.53</v>
      </c>
      <c r="I26" s="1071">
        <f t="shared" si="16"/>
        <v>3.4255087375640869E-3</v>
      </c>
      <c r="J26" s="881">
        <f>'расчет норматив'!AB10+'ПФХД 2019 с разбивкой '!L100</f>
        <v>93378135.336574495</v>
      </c>
      <c r="K26" s="285">
        <v>30201086.870000001</v>
      </c>
      <c r="L26" s="158">
        <v>30201086.870000001</v>
      </c>
      <c r="M26" s="298">
        <f>L26-K26</f>
        <v>0</v>
      </c>
      <c r="N26" s="285">
        <v>19857336.32</v>
      </c>
      <c r="O26" s="285">
        <v>19857336.32</v>
      </c>
      <c r="P26" s="367">
        <f>O26-N26</f>
        <v>0</v>
      </c>
      <c r="Q26" s="279">
        <f>19155752.18+0.0014439+0.00000003353</f>
        <v>19155752.181443933</v>
      </c>
      <c r="R26" s="310">
        <f>T26+V26+Y26+AB26+AE26+AH26</f>
        <v>19155752.181443933</v>
      </c>
      <c r="S26" s="1075">
        <f>R26-Q26</f>
        <v>0</v>
      </c>
      <c r="T26" s="528"/>
      <c r="U26" s="310"/>
      <c r="V26" s="63"/>
      <c r="W26" s="357">
        <f t="shared" si="2"/>
        <v>0</v>
      </c>
      <c r="X26" s="382">
        <v>7579792.1200000001</v>
      </c>
      <c r="Y26" s="63">
        <v>7579792.1200000001</v>
      </c>
      <c r="Z26" s="360"/>
      <c r="AA26" s="310"/>
      <c r="AB26" s="63"/>
      <c r="AC26" s="360">
        <f>AB26-AA26</f>
        <v>0</v>
      </c>
      <c r="AD26" s="63">
        <v>11575960.061443932</v>
      </c>
      <c r="AE26" s="63">
        <f>15071900/1.302</f>
        <v>11575960.061443932</v>
      </c>
      <c r="AF26" s="360">
        <f>AE26-AD26</f>
        <v>0</v>
      </c>
      <c r="AG26" s="279"/>
      <c r="AH26" s="63"/>
      <c r="AI26" s="360">
        <f>AH26-AG26</f>
        <v>0</v>
      </c>
      <c r="AJ26" s="425"/>
      <c r="AK26" s="395">
        <v>1427649.77</v>
      </c>
      <c r="AL26" s="334">
        <v>160289139.99000001</v>
      </c>
      <c r="AM26" s="161">
        <f t="shared" si="17"/>
        <v>160289139.99000001</v>
      </c>
      <c r="AN26" s="1013">
        <f t="shared" si="5"/>
        <v>0</v>
      </c>
      <c r="AO26" s="338">
        <v>123237324.98999999</v>
      </c>
      <c r="AP26" s="162">
        <v>130433900.66</v>
      </c>
      <c r="AQ26" s="1019">
        <f>AP26-AO26</f>
        <v>7196575.6700000018</v>
      </c>
      <c r="AR26" s="324">
        <v>37051815</v>
      </c>
      <c r="AS26" s="162">
        <v>24449679.02</v>
      </c>
      <c r="AT26" s="339">
        <f>AS26-AR26</f>
        <v>-12602135.98</v>
      </c>
      <c r="AU26" s="540"/>
      <c r="AV26" s="324"/>
      <c r="AW26" s="162">
        <v>5405560.3099999996</v>
      </c>
      <c r="AX26" s="339">
        <f>AW26-AV26</f>
        <v>5405560.3099999996</v>
      </c>
      <c r="BG26" s="617"/>
      <c r="BH26" s="621">
        <f>AE26-BG26</f>
        <v>11575960.061443932</v>
      </c>
      <c r="BI26" s="617">
        <v>33573582.210000001</v>
      </c>
      <c r="BJ26" s="621">
        <f>AH26-BI26</f>
        <v>-33573582.210000001</v>
      </c>
      <c r="BM26" s="629">
        <f t="shared" si="18"/>
        <v>160289139.99000001</v>
      </c>
      <c r="BN26" s="629">
        <f t="shared" si="11"/>
        <v>151333957.74000001</v>
      </c>
      <c r="BO26" s="533">
        <f t="shared" si="14"/>
        <v>8955182.25</v>
      </c>
      <c r="BP26" s="533">
        <f>BM26</f>
        <v>160289139.99000001</v>
      </c>
      <c r="BQ26" s="617">
        <v>117760375.53</v>
      </c>
      <c r="BR26" s="621">
        <f>AO26-BQ26</f>
        <v>5476949.4599999934</v>
      </c>
      <c r="BS26" s="617">
        <v>33573582.210000001</v>
      </c>
      <c r="BT26" s="621">
        <f>AR26-BS26</f>
        <v>3478232.7899999991</v>
      </c>
    </row>
    <row r="27" spans="1:72" ht="18.75" customHeight="1" x14ac:dyDescent="0.3">
      <c r="A27" s="437" t="s">
        <v>163</v>
      </c>
      <c r="B27" s="1385"/>
      <c r="C27" s="977">
        <v>119</v>
      </c>
      <c r="D27" s="431">
        <f>98547733.47-0.00144392</f>
        <v>98547733.468556076</v>
      </c>
      <c r="E27" s="64">
        <f>H27+R27+AM27+AK27</f>
        <v>98547733.468556076</v>
      </c>
      <c r="F27" s="1073">
        <f t="shared" si="1"/>
        <v>0</v>
      </c>
      <c r="G27" s="285">
        <v>43924235.740000002</v>
      </c>
      <c r="H27" s="158">
        <v>43924235.740000002</v>
      </c>
      <c r="I27" s="669">
        <f t="shared" ref="I27:I75" si="19">H27-G27</f>
        <v>0</v>
      </c>
      <c r="J27" s="881">
        <f>'расчет норматив'!AB11+'ПФХД 2019 с разбивкой '!M101</f>
        <v>28172105.169999998</v>
      </c>
      <c r="K27" s="285">
        <v>9701799.1500000004</v>
      </c>
      <c r="L27" s="158">
        <v>9701799.1500000004</v>
      </c>
      <c r="M27" s="298">
        <f>L27-K27</f>
        <v>0</v>
      </c>
      <c r="N27" s="285">
        <v>6050331.4199999999</v>
      </c>
      <c r="O27" s="285">
        <v>6050331.4199999999</v>
      </c>
      <c r="P27" s="367">
        <f>O27-N27</f>
        <v>0</v>
      </c>
      <c r="Q27" s="279">
        <f>5785027.23-0.00144393</f>
        <v>5785027.2285560705</v>
      </c>
      <c r="R27" s="310">
        <f>T27+V27+Y27+AB27+AE27+AH27</f>
        <v>5785027.2285560677</v>
      </c>
      <c r="S27" s="1074">
        <f>R27-Q27</f>
        <v>0</v>
      </c>
      <c r="T27" s="528"/>
      <c r="U27" s="310"/>
      <c r="V27" s="63"/>
      <c r="W27" s="357">
        <f t="shared" si="2"/>
        <v>0</v>
      </c>
      <c r="X27" s="382">
        <v>2289087.29</v>
      </c>
      <c r="Y27" s="63">
        <v>2289087.29</v>
      </c>
      <c r="Z27" s="360"/>
      <c r="AA27" s="310"/>
      <c r="AB27" s="63"/>
      <c r="AC27" s="360">
        <f>AB27-AA27</f>
        <v>0</v>
      </c>
      <c r="AD27" s="63">
        <v>3495939.9385560676</v>
      </c>
      <c r="AE27" s="63">
        <f>15071900-AE26</f>
        <v>3495939.9385560676</v>
      </c>
      <c r="AF27" s="360">
        <f>AE27-AD27</f>
        <v>0</v>
      </c>
      <c r="AG27" s="279"/>
      <c r="AH27" s="63"/>
      <c r="AI27" s="360">
        <f>AH27-AG27</f>
        <v>0</v>
      </c>
      <c r="AJ27" s="425"/>
      <c r="AK27" s="395">
        <v>431150.23</v>
      </c>
      <c r="AL27" s="334">
        <v>48407320.270000003</v>
      </c>
      <c r="AM27" s="161">
        <f t="shared" si="17"/>
        <v>48407320.270000003</v>
      </c>
      <c r="AN27" s="1013">
        <f t="shared" si="5"/>
        <v>0</v>
      </c>
      <c r="AO27" s="338">
        <v>37217672.140000001</v>
      </c>
      <c r="AP27" s="162">
        <v>39376495.810000002</v>
      </c>
      <c r="AQ27" s="1019">
        <f>AP27-AO27</f>
        <v>2158823.6700000018</v>
      </c>
      <c r="AR27" s="324">
        <v>11189648.130000001</v>
      </c>
      <c r="AS27" s="162">
        <v>7383804.1900000004</v>
      </c>
      <c r="AT27" s="339">
        <f>AS27-AR27</f>
        <v>-3805843.9400000004</v>
      </c>
      <c r="AU27" s="540"/>
      <c r="AV27" s="324"/>
      <c r="AW27" s="162">
        <v>1647020.27</v>
      </c>
      <c r="AX27" s="339">
        <f>AW27-AV27</f>
        <v>1647020.27</v>
      </c>
      <c r="BG27" s="617"/>
      <c r="BH27" s="621">
        <f>AE27-BG27</f>
        <v>3495939.9385560676</v>
      </c>
      <c r="BI27" s="617">
        <v>9464700.4900000002</v>
      </c>
      <c r="BJ27" s="621">
        <f t="shared" ref="BJ27:BJ28" si="20">AH27-BI27</f>
        <v>-9464700.4900000002</v>
      </c>
      <c r="BM27" s="629">
        <f t="shared" si="18"/>
        <v>48407320.270000003</v>
      </c>
      <c r="BN27" s="629">
        <f t="shared" si="11"/>
        <v>46099650.550000004</v>
      </c>
      <c r="BO27" s="533">
        <f t="shared" si="14"/>
        <v>2307669.7199999988</v>
      </c>
      <c r="BP27" s="533">
        <f>BN27</f>
        <v>46099650.550000004</v>
      </c>
      <c r="BQ27" s="617">
        <f>36338408.06+96542+200000</f>
        <v>36634950.060000002</v>
      </c>
      <c r="BR27" s="621">
        <f>AO27-BQ27</f>
        <v>582722.07999999821</v>
      </c>
      <c r="BS27" s="617">
        <v>9464700.4900000002</v>
      </c>
      <c r="BT27" s="621">
        <f t="shared" ref="BT27:BT28" si="21">AR27-BS27</f>
        <v>1724947.6400000006</v>
      </c>
    </row>
    <row r="28" spans="1:72" ht="39.75" customHeight="1" x14ac:dyDescent="0.3">
      <c r="A28" s="437" t="s">
        <v>164</v>
      </c>
      <c r="B28" s="1385"/>
      <c r="C28" s="977">
        <v>112</v>
      </c>
      <c r="D28" s="431">
        <v>1292316.27</v>
      </c>
      <c r="E28" s="64">
        <f>H28+R28+AM28+AK28</f>
        <v>1292316.27</v>
      </c>
      <c r="F28" s="410">
        <f t="shared" si="1"/>
        <v>0</v>
      </c>
      <c r="G28" s="285">
        <v>524668.34</v>
      </c>
      <c r="H28" s="158">
        <f>J28+L28+O28</f>
        <v>524668.34</v>
      </c>
      <c r="I28" s="669">
        <f t="shared" si="19"/>
        <v>0</v>
      </c>
      <c r="J28" s="881"/>
      <c r="K28" s="285">
        <v>347915.5</v>
      </c>
      <c r="L28" s="158">
        <v>347915.5</v>
      </c>
      <c r="M28" s="298">
        <f>L28-K28</f>
        <v>0</v>
      </c>
      <c r="N28" s="285">
        <v>176752.84</v>
      </c>
      <c r="O28" s="285">
        <v>176752.84</v>
      </c>
      <c r="P28" s="367">
        <f>O28-N28</f>
        <v>0</v>
      </c>
      <c r="Q28" s="279"/>
      <c r="R28" s="310"/>
      <c r="S28" s="375"/>
      <c r="T28" s="528"/>
      <c r="U28" s="310"/>
      <c r="V28" s="63"/>
      <c r="W28" s="357"/>
      <c r="X28" s="382"/>
      <c r="Y28" s="153"/>
      <c r="Z28" s="357"/>
      <c r="AA28" s="310"/>
      <c r="AB28" s="63"/>
      <c r="AC28" s="360"/>
      <c r="AD28" s="279"/>
      <c r="AE28" s="63"/>
      <c r="AF28" s="360"/>
      <c r="AG28" s="279"/>
      <c r="AH28" s="63"/>
      <c r="AI28" s="360"/>
      <c r="AJ28" s="425"/>
      <c r="AK28" s="395"/>
      <c r="AL28" s="334">
        <v>497300</v>
      </c>
      <c r="AM28" s="161">
        <f t="shared" si="17"/>
        <v>767647.93</v>
      </c>
      <c r="AN28" s="1013">
        <f t="shared" si="5"/>
        <v>270347.93000000005</v>
      </c>
      <c r="AO28" s="338">
        <v>173000</v>
      </c>
      <c r="AP28" s="162">
        <v>500000</v>
      </c>
      <c r="AQ28" s="1019">
        <f>AP28-AO28</f>
        <v>327000</v>
      </c>
      <c r="AR28" s="324">
        <v>457300</v>
      </c>
      <c r="AS28" s="162">
        <v>219532.3</v>
      </c>
      <c r="AT28" s="339">
        <f>AS28-AR28</f>
        <v>-237767.7</v>
      </c>
      <c r="AU28" s="540"/>
      <c r="AV28" s="324"/>
      <c r="AW28" s="162">
        <v>48115.63</v>
      </c>
      <c r="AX28" s="339">
        <f>AW28-AV28</f>
        <v>48115.63</v>
      </c>
      <c r="BG28" s="617"/>
      <c r="BH28" s="621">
        <f>AE28-BG28</f>
        <v>0</v>
      </c>
      <c r="BI28" s="617">
        <v>241959.51</v>
      </c>
      <c r="BJ28" s="621">
        <f t="shared" si="20"/>
        <v>-241959.51</v>
      </c>
      <c r="BM28" s="629">
        <f t="shared" si="18"/>
        <v>497300</v>
      </c>
      <c r="BN28" s="629">
        <f t="shared" si="11"/>
        <v>1360482.44</v>
      </c>
      <c r="BO28" s="533">
        <f t="shared" si="14"/>
        <v>-863182.44</v>
      </c>
      <c r="BP28" s="533">
        <f>BM28</f>
        <v>497300</v>
      </c>
      <c r="BQ28" s="617">
        <v>1118522.93</v>
      </c>
      <c r="BR28" s="621">
        <f>AO28-BQ28</f>
        <v>-945522.92999999993</v>
      </c>
      <c r="BS28" s="617">
        <v>241959.51</v>
      </c>
      <c r="BT28" s="621">
        <f t="shared" si="21"/>
        <v>215340.49</v>
      </c>
    </row>
    <row r="29" spans="1:72" s="115" customFormat="1" ht="31.5" x14ac:dyDescent="0.3">
      <c r="A29" s="435" t="s">
        <v>165</v>
      </c>
      <c r="B29" s="1385">
        <v>220</v>
      </c>
      <c r="C29" s="436">
        <v>300</v>
      </c>
      <c r="D29" s="430">
        <v>0</v>
      </c>
      <c r="E29" s="59">
        <f>H29+R29+AL29+AK29</f>
        <v>0</v>
      </c>
      <c r="F29" s="410">
        <f t="shared" si="1"/>
        <v>0</v>
      </c>
      <c r="G29" s="283">
        <f>G31+G32</f>
        <v>0</v>
      </c>
      <c r="H29" s="157"/>
      <c r="I29" s="669">
        <f t="shared" si="19"/>
        <v>0</v>
      </c>
      <c r="J29" s="882"/>
      <c r="K29" s="283"/>
      <c r="L29" s="157"/>
      <c r="M29" s="294"/>
      <c r="N29" s="293"/>
      <c r="O29" s="283"/>
      <c r="P29" s="365"/>
      <c r="Q29" s="276"/>
      <c r="R29" s="307"/>
      <c r="S29" s="372"/>
      <c r="T29" s="525"/>
      <c r="U29" s="307">
        <v>0</v>
      </c>
      <c r="V29" s="153">
        <v>0</v>
      </c>
      <c r="W29" s="357">
        <f t="shared" si="2"/>
        <v>0</v>
      </c>
      <c r="X29" s="379">
        <v>0</v>
      </c>
      <c r="Y29" s="153">
        <f>X29-W29</f>
        <v>0</v>
      </c>
      <c r="Z29" s="357">
        <f>X29-W29</f>
        <v>0</v>
      </c>
      <c r="AA29" s="307"/>
      <c r="AB29" s="153"/>
      <c r="AC29" s="357"/>
      <c r="AD29" s="276"/>
      <c r="AE29" s="153"/>
      <c r="AF29" s="357"/>
      <c r="AG29" s="276"/>
      <c r="AH29" s="153"/>
      <c r="AI29" s="357"/>
      <c r="AJ29" s="422">
        <f>AJ31+AJ32</f>
        <v>0</v>
      </c>
      <c r="AK29" s="396">
        <v>0</v>
      </c>
      <c r="AL29" s="334">
        <v>0</v>
      </c>
      <c r="AM29" s="161">
        <f t="shared" si="17"/>
        <v>0</v>
      </c>
      <c r="AN29" s="1013">
        <f t="shared" si="5"/>
        <v>0</v>
      </c>
      <c r="AO29" s="334"/>
      <c r="AP29" s="161"/>
      <c r="AQ29" s="406"/>
      <c r="AR29" s="323"/>
      <c r="AS29" s="161"/>
      <c r="AT29" s="335"/>
      <c r="AU29" s="539">
        <f>AU31+AU32</f>
        <v>0</v>
      </c>
      <c r="AV29" s="323"/>
      <c r="AW29" s="161"/>
      <c r="AX29" s="335"/>
      <c r="BG29" s="617"/>
      <c r="BH29" s="621">
        <f>AF29-BG29</f>
        <v>0</v>
      </c>
      <c r="BI29" s="617"/>
      <c r="BJ29" s="621"/>
      <c r="BM29" s="628">
        <f t="shared" si="18"/>
        <v>0</v>
      </c>
      <c r="BN29" s="628">
        <f t="shared" si="11"/>
        <v>0</v>
      </c>
      <c r="BO29" s="535">
        <f t="shared" si="14"/>
        <v>0</v>
      </c>
      <c r="BP29" s="533"/>
      <c r="BQ29" s="617"/>
      <c r="BR29" s="621">
        <f>AP29-BQ29</f>
        <v>0</v>
      </c>
      <c r="BS29" s="617"/>
      <c r="BT29" s="621"/>
    </row>
    <row r="30" spans="1:72" x14ac:dyDescent="0.3">
      <c r="A30" s="437" t="s">
        <v>92</v>
      </c>
      <c r="B30" s="1385"/>
      <c r="C30" s="438"/>
      <c r="D30" s="431"/>
      <c r="E30" s="59">
        <f>H30+R30+AL30+AK30</f>
        <v>0</v>
      </c>
      <c r="F30" s="410">
        <f t="shared" si="1"/>
        <v>0</v>
      </c>
      <c r="G30" s="285"/>
      <c r="H30" s="158"/>
      <c r="I30" s="669">
        <f t="shared" si="19"/>
        <v>0</v>
      </c>
      <c r="J30" s="881"/>
      <c r="K30" s="285"/>
      <c r="L30" s="158"/>
      <c r="M30" s="298"/>
      <c r="N30" s="297"/>
      <c r="O30" s="285"/>
      <c r="P30" s="367"/>
      <c r="Q30" s="279"/>
      <c r="R30" s="310"/>
      <c r="S30" s="375"/>
      <c r="T30" s="528"/>
      <c r="U30" s="310"/>
      <c r="V30" s="63"/>
      <c r="W30" s="357">
        <f t="shared" si="2"/>
        <v>0</v>
      </c>
      <c r="X30" s="382"/>
      <c r="Y30" s="153">
        <f>X30-W30</f>
        <v>0</v>
      </c>
      <c r="Z30" s="357">
        <f>X30-W30</f>
        <v>0</v>
      </c>
      <c r="AA30" s="310"/>
      <c r="AB30" s="63"/>
      <c r="AC30" s="360"/>
      <c r="AD30" s="279"/>
      <c r="AE30" s="63"/>
      <c r="AF30" s="360"/>
      <c r="AG30" s="279"/>
      <c r="AH30" s="63"/>
      <c r="AI30" s="360"/>
      <c r="AJ30" s="425"/>
      <c r="AK30" s="395"/>
      <c r="AL30" s="334">
        <v>0</v>
      </c>
      <c r="AM30" s="161">
        <f t="shared" si="17"/>
        <v>0</v>
      </c>
      <c r="AN30" s="1013">
        <f t="shared" si="5"/>
        <v>0</v>
      </c>
      <c r="AO30" s="338"/>
      <c r="AP30" s="162"/>
      <c r="AQ30" s="1019"/>
      <c r="AR30" s="324"/>
      <c r="AS30" s="162"/>
      <c r="AT30" s="339"/>
      <c r="AU30" s="540"/>
      <c r="AV30" s="324"/>
      <c r="AW30" s="162"/>
      <c r="AX30" s="339"/>
      <c r="BG30" s="617"/>
      <c r="BH30" s="621">
        <f>AF30-BG30</f>
        <v>0</v>
      </c>
      <c r="BI30" s="617"/>
      <c r="BJ30" s="621"/>
      <c r="BM30" s="628">
        <f t="shared" si="18"/>
        <v>0</v>
      </c>
      <c r="BN30" s="628">
        <f t="shared" si="11"/>
        <v>0</v>
      </c>
      <c r="BO30" s="535">
        <f t="shared" si="14"/>
        <v>0</v>
      </c>
      <c r="BP30" s="533"/>
      <c r="BQ30" s="617"/>
      <c r="BR30" s="621">
        <f>AP30-BQ30</f>
        <v>0</v>
      </c>
      <c r="BS30" s="617"/>
      <c r="BT30" s="621"/>
    </row>
    <row r="31" spans="1:72" x14ac:dyDescent="0.3">
      <c r="A31" s="1446" t="s">
        <v>166</v>
      </c>
      <c r="B31" s="1385"/>
      <c r="C31" s="977">
        <v>321</v>
      </c>
      <c r="D31" s="431"/>
      <c r="E31" s="59">
        <f>H31+R31+AL31+AK31</f>
        <v>0</v>
      </c>
      <c r="F31" s="410">
        <f t="shared" si="1"/>
        <v>0</v>
      </c>
      <c r="G31" s="285"/>
      <c r="H31" s="158"/>
      <c r="I31" s="669">
        <f t="shared" si="19"/>
        <v>0</v>
      </c>
      <c r="J31" s="881"/>
      <c r="K31" s="285"/>
      <c r="L31" s="158"/>
      <c r="M31" s="298"/>
      <c r="N31" s="297"/>
      <c r="O31" s="285"/>
      <c r="P31" s="367"/>
      <c r="Q31" s="279"/>
      <c r="R31" s="310"/>
      <c r="S31" s="375"/>
      <c r="T31" s="528"/>
      <c r="U31" s="310"/>
      <c r="V31" s="63"/>
      <c r="W31" s="357">
        <f t="shared" si="2"/>
        <v>0</v>
      </c>
      <c r="X31" s="382"/>
      <c r="Y31" s="153">
        <f>X31-W31</f>
        <v>0</v>
      </c>
      <c r="Z31" s="357">
        <f>X31-W31</f>
        <v>0</v>
      </c>
      <c r="AA31" s="310"/>
      <c r="AB31" s="63"/>
      <c r="AC31" s="360"/>
      <c r="AD31" s="279"/>
      <c r="AE31" s="63"/>
      <c r="AF31" s="360"/>
      <c r="AG31" s="279"/>
      <c r="AH31" s="63"/>
      <c r="AI31" s="360"/>
      <c r="AJ31" s="425"/>
      <c r="AK31" s="395"/>
      <c r="AL31" s="334">
        <v>0</v>
      </c>
      <c r="AM31" s="161">
        <f t="shared" si="17"/>
        <v>0</v>
      </c>
      <c r="AN31" s="1013">
        <f t="shared" si="5"/>
        <v>0</v>
      </c>
      <c r="AO31" s="338"/>
      <c r="AP31" s="162"/>
      <c r="AQ31" s="1019"/>
      <c r="AR31" s="324"/>
      <c r="AS31" s="162"/>
      <c r="AT31" s="339"/>
      <c r="AU31" s="540"/>
      <c r="AV31" s="324"/>
      <c r="AW31" s="162"/>
      <c r="AX31" s="339"/>
      <c r="BG31" s="617"/>
      <c r="BH31" s="621">
        <f>AF31-BG31</f>
        <v>0</v>
      </c>
      <c r="BI31" s="617"/>
      <c r="BJ31" s="621"/>
      <c r="BM31" s="628">
        <f t="shared" si="18"/>
        <v>0</v>
      </c>
      <c r="BN31" s="628">
        <f t="shared" si="11"/>
        <v>0</v>
      </c>
      <c r="BO31" s="535">
        <f t="shared" si="14"/>
        <v>0</v>
      </c>
      <c r="BP31" s="533"/>
      <c r="BQ31" s="617"/>
      <c r="BR31" s="621">
        <f>AP31-BQ31</f>
        <v>0</v>
      </c>
      <c r="BS31" s="617"/>
      <c r="BT31" s="621"/>
    </row>
    <row r="32" spans="1:72" x14ac:dyDescent="0.3">
      <c r="A32" s="1447"/>
      <c r="B32" s="1385"/>
      <c r="C32" s="977">
        <v>360</v>
      </c>
      <c r="D32" s="431"/>
      <c r="E32" s="59">
        <f>H32+R32+AL32+AK32</f>
        <v>0</v>
      </c>
      <c r="F32" s="410">
        <f t="shared" si="1"/>
        <v>0</v>
      </c>
      <c r="G32" s="285"/>
      <c r="H32" s="158"/>
      <c r="I32" s="669">
        <f t="shared" si="19"/>
        <v>0</v>
      </c>
      <c r="J32" s="881"/>
      <c r="K32" s="285"/>
      <c r="L32" s="158"/>
      <c r="M32" s="298"/>
      <c r="N32" s="297"/>
      <c r="O32" s="285"/>
      <c r="P32" s="367"/>
      <c r="Q32" s="279"/>
      <c r="R32" s="310"/>
      <c r="S32" s="375"/>
      <c r="T32" s="528"/>
      <c r="U32" s="310"/>
      <c r="V32" s="63"/>
      <c r="W32" s="357">
        <f t="shared" si="2"/>
        <v>0</v>
      </c>
      <c r="X32" s="382"/>
      <c r="Y32" s="153">
        <f>X32-W32</f>
        <v>0</v>
      </c>
      <c r="Z32" s="357">
        <f>X32-W32</f>
        <v>0</v>
      </c>
      <c r="AA32" s="310"/>
      <c r="AB32" s="63"/>
      <c r="AC32" s="360"/>
      <c r="AD32" s="279"/>
      <c r="AE32" s="63"/>
      <c r="AF32" s="360"/>
      <c r="AG32" s="279"/>
      <c r="AH32" s="63"/>
      <c r="AI32" s="360"/>
      <c r="AJ32" s="425"/>
      <c r="AK32" s="395"/>
      <c r="AL32" s="334">
        <v>0</v>
      </c>
      <c r="AM32" s="161">
        <f t="shared" si="17"/>
        <v>0</v>
      </c>
      <c r="AN32" s="1013">
        <f t="shared" si="5"/>
        <v>0</v>
      </c>
      <c r="AO32" s="338"/>
      <c r="AP32" s="162"/>
      <c r="AQ32" s="1019"/>
      <c r="AR32" s="324"/>
      <c r="AS32" s="162"/>
      <c r="AT32" s="339"/>
      <c r="AU32" s="540"/>
      <c r="AV32" s="324"/>
      <c r="AW32" s="162"/>
      <c r="AX32" s="339"/>
      <c r="BG32" s="617"/>
      <c r="BH32" s="621">
        <f>AF32-BG32</f>
        <v>0</v>
      </c>
      <c r="BI32" s="617"/>
      <c r="BJ32" s="621"/>
      <c r="BM32" s="628">
        <f t="shared" si="18"/>
        <v>0</v>
      </c>
      <c r="BN32" s="628">
        <f t="shared" si="11"/>
        <v>0</v>
      </c>
      <c r="BO32" s="535">
        <f t="shared" si="14"/>
        <v>0</v>
      </c>
      <c r="BP32" s="533"/>
      <c r="BQ32" s="617"/>
      <c r="BR32" s="621">
        <f>AP32-BQ32</f>
        <v>0</v>
      </c>
      <c r="BS32" s="617"/>
      <c r="BT32" s="621"/>
    </row>
    <row r="33" spans="1:72" s="115" customFormat="1" x14ac:dyDescent="0.3">
      <c r="A33" s="1035" t="s">
        <v>167</v>
      </c>
      <c r="B33" s="1036"/>
      <c r="C33" s="1037">
        <v>800</v>
      </c>
      <c r="D33" s="430">
        <f>D34+D36</f>
        <v>14420120.899999999</v>
      </c>
      <c r="E33" s="59">
        <f>H33+R33+AM33+AK33</f>
        <v>14420120.899999999</v>
      </c>
      <c r="F33" s="410">
        <f t="shared" si="1"/>
        <v>0</v>
      </c>
      <c r="G33" s="157">
        <v>5201007.6000000006</v>
      </c>
      <c r="H33" s="157">
        <f>H34+H36</f>
        <v>5201007.6000000006</v>
      </c>
      <c r="I33" s="669">
        <f t="shared" si="19"/>
        <v>0</v>
      </c>
      <c r="J33" s="882">
        <f>J34+J36</f>
        <v>0</v>
      </c>
      <c r="K33" s="157">
        <f>K34+K36</f>
        <v>3687692.4899999998</v>
      </c>
      <c r="L33" s="157">
        <f>L34+L36</f>
        <v>3687692.4899999998</v>
      </c>
      <c r="M33" s="294">
        <f>L33-K33</f>
        <v>0</v>
      </c>
      <c r="N33" s="283">
        <f>N34+N36</f>
        <v>1513315.11</v>
      </c>
      <c r="O33" s="283">
        <f>O34+O36</f>
        <v>1513315.11</v>
      </c>
      <c r="P33" s="365">
        <f>O33-N33</f>
        <v>0</v>
      </c>
      <c r="Q33" s="276">
        <f>Q35+Q36+Q37</f>
        <v>1914231.98</v>
      </c>
      <c r="R33" s="307">
        <f>R35+R36+R37</f>
        <v>1914231.98</v>
      </c>
      <c r="S33" s="372">
        <f>R33-Q33</f>
        <v>0</v>
      </c>
      <c r="T33" s="525">
        <f>T34+T36</f>
        <v>0</v>
      </c>
      <c r="U33" s="307">
        <v>0</v>
      </c>
      <c r="V33" s="153">
        <f t="shared" ref="V33:AU33" si="22">V34+V36</f>
        <v>0</v>
      </c>
      <c r="W33" s="357">
        <f t="shared" si="2"/>
        <v>0</v>
      </c>
      <c r="X33" s="379">
        <f>X34+X36</f>
        <v>1258487.81</v>
      </c>
      <c r="Y33" s="153">
        <f>Y34+Y36</f>
        <v>1258487.81</v>
      </c>
      <c r="Z33" s="357">
        <f>Z34+Z36</f>
        <v>0</v>
      </c>
      <c r="AA33" s="307">
        <v>655744.17000000004</v>
      </c>
      <c r="AB33" s="153">
        <f t="shared" si="22"/>
        <v>655744.17000000004</v>
      </c>
      <c r="AC33" s="357">
        <f>AB33-AA33</f>
        <v>0</v>
      </c>
      <c r="AD33" s="276"/>
      <c r="AE33" s="153"/>
      <c r="AF33" s="357"/>
      <c r="AG33" s="276"/>
      <c r="AH33" s="153"/>
      <c r="AI33" s="357"/>
      <c r="AJ33" s="422">
        <f t="shared" si="22"/>
        <v>0</v>
      </c>
      <c r="AK33" s="396">
        <f t="shared" si="22"/>
        <v>0</v>
      </c>
      <c r="AL33" s="334">
        <v>7304881.3199999994</v>
      </c>
      <c r="AM33" s="161">
        <f t="shared" si="17"/>
        <v>7304881.3199999994</v>
      </c>
      <c r="AN33" s="1013">
        <f t="shared" si="5"/>
        <v>0</v>
      </c>
      <c r="AO33" s="334">
        <f>AO34+AO36</f>
        <v>6146265.0599999996</v>
      </c>
      <c r="AP33" s="161">
        <f>AP34+AP36</f>
        <v>5729310.8399999999</v>
      </c>
      <c r="AQ33" s="406">
        <f>AP33-AO33</f>
        <v>-416954.21999999974</v>
      </c>
      <c r="AR33" s="161">
        <f t="shared" si="22"/>
        <v>1025616.26</v>
      </c>
      <c r="AS33" s="161">
        <f t="shared" si="22"/>
        <v>1163616.26</v>
      </c>
      <c r="AT33" s="335">
        <f>AS33-AR33</f>
        <v>138000</v>
      </c>
      <c r="AU33" s="539">
        <f t="shared" si="22"/>
        <v>0</v>
      </c>
      <c r="AV33" s="323"/>
      <c r="AW33" s="161">
        <f t="shared" ref="AW33" si="23">AW34+AW36</f>
        <v>411954.22</v>
      </c>
      <c r="AX33" s="335">
        <f>AW33-AV33</f>
        <v>411954.22</v>
      </c>
      <c r="BG33" s="334">
        <f>BG34+BG36</f>
        <v>0</v>
      </c>
      <c r="BH33" s="539">
        <f t="shared" ref="BH33:BJ33" si="24">BH34+BH36</f>
        <v>0</v>
      </c>
      <c r="BI33" s="334">
        <f t="shared" si="24"/>
        <v>508251.94</v>
      </c>
      <c r="BJ33" s="539">
        <f t="shared" si="24"/>
        <v>-508251.94</v>
      </c>
      <c r="BM33" s="628">
        <f t="shared" si="18"/>
        <v>7304881.3199999994</v>
      </c>
      <c r="BN33" s="628">
        <f t="shared" si="11"/>
        <v>5603626.8600000003</v>
      </c>
      <c r="BO33" s="535">
        <f t="shared" si="14"/>
        <v>1701254.459999999</v>
      </c>
      <c r="BP33" s="334">
        <f>BP34+BP36</f>
        <v>6011062.4199999999</v>
      </c>
      <c r="BQ33" s="334">
        <f>BQ34+BQ36</f>
        <v>5095374.92</v>
      </c>
      <c r="BR33" s="539">
        <f t="shared" ref="BR33:BT33" si="25">BR34+BR36</f>
        <v>1050890.1399999997</v>
      </c>
      <c r="BS33" s="334">
        <f t="shared" si="25"/>
        <v>508251.94</v>
      </c>
      <c r="BT33" s="539">
        <f t="shared" si="25"/>
        <v>517364.32</v>
      </c>
    </row>
    <row r="34" spans="1:72" s="115" customFormat="1" x14ac:dyDescent="0.3">
      <c r="A34" s="1035" t="s">
        <v>168</v>
      </c>
      <c r="B34" s="1036"/>
      <c r="C34" s="1037">
        <v>830</v>
      </c>
      <c r="D34" s="59">
        <v>500000</v>
      </c>
      <c r="E34" s="59">
        <f>H34+R34+AM34+AK34</f>
        <v>500000</v>
      </c>
      <c r="F34" s="410">
        <f t="shared" si="1"/>
        <v>0</v>
      </c>
      <c r="G34" s="283">
        <f>SUM(G35)</f>
        <v>0</v>
      </c>
      <c r="H34" s="157"/>
      <c r="I34" s="669">
        <f t="shared" si="19"/>
        <v>0</v>
      </c>
      <c r="J34" s="882"/>
      <c r="K34" s="283"/>
      <c r="L34" s="157"/>
      <c r="M34" s="294"/>
      <c r="N34" s="293"/>
      <c r="O34" s="283"/>
      <c r="P34" s="365"/>
      <c r="Q34" s="276"/>
      <c r="R34" s="307"/>
      <c r="S34" s="372"/>
      <c r="T34" s="525"/>
      <c r="U34" s="307">
        <v>0</v>
      </c>
      <c r="V34" s="153">
        <f t="shared" ref="V34:AU34" si="26">SUM(V35)</f>
        <v>0</v>
      </c>
      <c r="W34" s="357">
        <f t="shared" si="2"/>
        <v>0</v>
      </c>
      <c r="X34" s="379">
        <f t="shared" si="26"/>
        <v>0</v>
      </c>
      <c r="Y34" s="153">
        <f>X34-W34</f>
        <v>0</v>
      </c>
      <c r="Z34" s="357">
        <f>X34-W34</f>
        <v>0</v>
      </c>
      <c r="AA34" s="307"/>
      <c r="AB34" s="153"/>
      <c r="AC34" s="357"/>
      <c r="AD34" s="276"/>
      <c r="AE34" s="153"/>
      <c r="AF34" s="357"/>
      <c r="AG34" s="276"/>
      <c r="AH34" s="153"/>
      <c r="AI34" s="357"/>
      <c r="AJ34" s="422">
        <f t="shared" si="26"/>
        <v>0</v>
      </c>
      <c r="AK34" s="396">
        <f t="shared" si="26"/>
        <v>0</v>
      </c>
      <c r="AL34" s="334">
        <v>500000</v>
      </c>
      <c r="AM34" s="161">
        <f t="shared" si="17"/>
        <v>500000</v>
      </c>
      <c r="AN34" s="1013">
        <f t="shared" si="5"/>
        <v>0</v>
      </c>
      <c r="AO34" s="334">
        <v>500000</v>
      </c>
      <c r="AP34" s="161">
        <f>AP35</f>
        <v>500000</v>
      </c>
      <c r="AQ34" s="406"/>
      <c r="AR34" s="323"/>
      <c r="AS34" s="161"/>
      <c r="AT34" s="335"/>
      <c r="AU34" s="539">
        <f t="shared" si="26"/>
        <v>0</v>
      </c>
      <c r="AV34" s="323"/>
      <c r="AW34" s="161"/>
      <c r="AX34" s="335"/>
      <c r="AZ34" s="121" t="s">
        <v>237</v>
      </c>
      <c r="BG34" s="617"/>
      <c r="BH34" s="621">
        <f>BH35</f>
        <v>0</v>
      </c>
      <c r="BI34" s="617"/>
      <c r="BJ34" s="621"/>
      <c r="BM34" s="629">
        <f t="shared" si="18"/>
        <v>500000</v>
      </c>
      <c r="BN34" s="629">
        <f t="shared" si="11"/>
        <v>207144.42</v>
      </c>
      <c r="BO34" s="533">
        <f t="shared" si="14"/>
        <v>292855.57999999996</v>
      </c>
      <c r="BP34" s="533">
        <f>BP35</f>
        <v>207144.42</v>
      </c>
      <c r="BQ34" s="617">
        <f>BQ35</f>
        <v>207144.42</v>
      </c>
      <c r="BR34" s="621">
        <f>BR35</f>
        <v>292855.57999999996</v>
      </c>
      <c r="BS34" s="617"/>
      <c r="BT34" s="621"/>
    </row>
    <row r="35" spans="1:72" ht="63" x14ac:dyDescent="0.3">
      <c r="A35" s="1038" t="s">
        <v>169</v>
      </c>
      <c r="B35" s="1039"/>
      <c r="C35" s="1040">
        <v>831</v>
      </c>
      <c r="D35" s="64">
        <v>500000</v>
      </c>
      <c r="E35" s="64">
        <f>H35+R35+AM35+AK35</f>
        <v>500000</v>
      </c>
      <c r="F35" s="411">
        <f t="shared" si="1"/>
        <v>0</v>
      </c>
      <c r="G35" s="285"/>
      <c r="H35" s="158"/>
      <c r="I35" s="669">
        <f t="shared" si="19"/>
        <v>0</v>
      </c>
      <c r="J35" s="881"/>
      <c r="K35" s="285"/>
      <c r="L35" s="158"/>
      <c r="M35" s="298"/>
      <c r="N35" s="297"/>
      <c r="O35" s="285"/>
      <c r="P35" s="367"/>
      <c r="Q35" s="279"/>
      <c r="R35" s="310"/>
      <c r="S35" s="375"/>
      <c r="T35" s="528"/>
      <c r="U35" s="310"/>
      <c r="V35" s="63"/>
      <c r="W35" s="357">
        <f t="shared" si="2"/>
        <v>0</v>
      </c>
      <c r="X35" s="382"/>
      <c r="Y35" s="153">
        <f>X35-W35</f>
        <v>0</v>
      </c>
      <c r="Z35" s="357">
        <f>X35-W35</f>
        <v>0</v>
      </c>
      <c r="AA35" s="310"/>
      <c r="AB35" s="63"/>
      <c r="AC35" s="360"/>
      <c r="AD35" s="279"/>
      <c r="AE35" s="63"/>
      <c r="AF35" s="360"/>
      <c r="AG35" s="279"/>
      <c r="AH35" s="63"/>
      <c r="AI35" s="360"/>
      <c r="AJ35" s="425"/>
      <c r="AK35" s="395"/>
      <c r="AL35" s="334">
        <v>500000</v>
      </c>
      <c r="AM35" s="161">
        <f t="shared" si="17"/>
        <v>500000</v>
      </c>
      <c r="AN35" s="1013">
        <f t="shared" si="5"/>
        <v>0</v>
      </c>
      <c r="AO35" s="338">
        <v>500000</v>
      </c>
      <c r="AP35" s="162">
        <v>500000</v>
      </c>
      <c r="AQ35" s="1019"/>
      <c r="AR35" s="324"/>
      <c r="AS35" s="162"/>
      <c r="AT35" s="339"/>
      <c r="AU35" s="540"/>
      <c r="AV35" s="324"/>
      <c r="AW35" s="162"/>
      <c r="AX35" s="339"/>
      <c r="AZ35" s="122">
        <v>15000</v>
      </c>
      <c r="BA35" s="121">
        <v>831</v>
      </c>
      <c r="BG35" s="617"/>
      <c r="BH35" s="621">
        <f>AE35-BG35</f>
        <v>0</v>
      </c>
      <c r="BI35" s="617"/>
      <c r="BJ35" s="621"/>
      <c r="BM35" s="629">
        <f t="shared" si="18"/>
        <v>500000</v>
      </c>
      <c r="BN35" s="629">
        <f t="shared" si="11"/>
        <v>207144.42</v>
      </c>
      <c r="BO35" s="533">
        <f t="shared" si="14"/>
        <v>292855.57999999996</v>
      </c>
      <c r="BP35" s="533">
        <f>BN35</f>
        <v>207144.42</v>
      </c>
      <c r="BQ35" s="617">
        <v>207144.42</v>
      </c>
      <c r="BR35" s="621">
        <f>AO35-BQ35</f>
        <v>292855.57999999996</v>
      </c>
      <c r="BS35" s="617"/>
      <c r="BT35" s="621"/>
    </row>
    <row r="36" spans="1:72" s="115" customFormat="1" ht="33" customHeight="1" x14ac:dyDescent="0.3">
      <c r="A36" s="441" t="s">
        <v>170</v>
      </c>
      <c r="B36" s="1424">
        <v>230</v>
      </c>
      <c r="C36" s="436">
        <v>850</v>
      </c>
      <c r="D36" s="430">
        <f>D38+D39+D40</f>
        <v>13920120.899999999</v>
      </c>
      <c r="E36" s="59">
        <f>H36+R36+AM36+AK36</f>
        <v>13920120.899999999</v>
      </c>
      <c r="F36" s="410">
        <f t="shared" si="1"/>
        <v>0</v>
      </c>
      <c r="G36" s="157">
        <v>5201007.6000000006</v>
      </c>
      <c r="H36" s="157">
        <f>SUM(H38:H40)</f>
        <v>5201007.6000000006</v>
      </c>
      <c r="I36" s="669">
        <f t="shared" si="19"/>
        <v>0</v>
      </c>
      <c r="J36" s="882">
        <f>SUM(J38:J40)</f>
        <v>0</v>
      </c>
      <c r="K36" s="283">
        <f>K38+K39+K40</f>
        <v>3687692.4899999998</v>
      </c>
      <c r="L36" s="157">
        <f>L38+L39+L40</f>
        <v>3687692.4899999998</v>
      </c>
      <c r="M36" s="294">
        <f>L36-K36</f>
        <v>0</v>
      </c>
      <c r="N36" s="283">
        <f>SUM(N38:N40)</f>
        <v>1513315.11</v>
      </c>
      <c r="O36" s="283">
        <f>SUM(O38:O40)</f>
        <v>1513315.11</v>
      </c>
      <c r="P36" s="365">
        <f>O36-N36</f>
        <v>0</v>
      </c>
      <c r="Q36" s="276">
        <f t="shared" ref="Q36:AB36" si="27">Q38+Q39+Q40</f>
        <v>1914231.98</v>
      </c>
      <c r="R36" s="307">
        <f t="shared" si="27"/>
        <v>1914231.98</v>
      </c>
      <c r="S36" s="372">
        <f>R36-Q36</f>
        <v>0</v>
      </c>
      <c r="T36" s="525">
        <f t="shared" si="27"/>
        <v>0</v>
      </c>
      <c r="U36" s="307">
        <v>0</v>
      </c>
      <c r="V36" s="153">
        <f t="shared" si="27"/>
        <v>0</v>
      </c>
      <c r="W36" s="357">
        <f t="shared" si="2"/>
        <v>0</v>
      </c>
      <c r="X36" s="379">
        <f>X38+X39+X40</f>
        <v>1258487.81</v>
      </c>
      <c r="Y36" s="153">
        <f>Y38+Y39+Y40</f>
        <v>1258487.81</v>
      </c>
      <c r="Z36" s="357">
        <f>Z38+Z39+Z40</f>
        <v>0</v>
      </c>
      <c r="AA36" s="307">
        <v>655744.17000000004</v>
      </c>
      <c r="AB36" s="153">
        <f t="shared" si="27"/>
        <v>655744.17000000004</v>
      </c>
      <c r="AC36" s="357">
        <f>AB36-AA36</f>
        <v>0</v>
      </c>
      <c r="AD36" s="276"/>
      <c r="AE36" s="153"/>
      <c r="AF36" s="357"/>
      <c r="AG36" s="276"/>
      <c r="AH36" s="153"/>
      <c r="AI36" s="357"/>
      <c r="AJ36" s="422">
        <f>AJ38+AJ39+AJ40</f>
        <v>0</v>
      </c>
      <c r="AK36" s="396">
        <f>SUM(AK37:AK40)</f>
        <v>0</v>
      </c>
      <c r="AL36" s="334">
        <v>6804881.3199999994</v>
      </c>
      <c r="AM36" s="161">
        <f t="shared" si="17"/>
        <v>6804881.3199999994</v>
      </c>
      <c r="AN36" s="1013">
        <f t="shared" si="5"/>
        <v>0</v>
      </c>
      <c r="AO36" s="334">
        <f>AO38+AO39+AO40</f>
        <v>5646265.0599999996</v>
      </c>
      <c r="AP36" s="161">
        <f>AP38+AP39+AP40</f>
        <v>5229310.84</v>
      </c>
      <c r="AQ36" s="406">
        <f>AP36-AO36</f>
        <v>-416954.21999999974</v>
      </c>
      <c r="AR36" s="161">
        <f>AR38+AR39+AR40</f>
        <v>1025616.26</v>
      </c>
      <c r="AS36" s="161">
        <f>AS38+AS39+AS40</f>
        <v>1163616.26</v>
      </c>
      <c r="AT36" s="335">
        <f>AS36-AR36</f>
        <v>138000</v>
      </c>
      <c r="AU36" s="539">
        <f>AU38+AU39+AU40</f>
        <v>0</v>
      </c>
      <c r="AV36" s="323"/>
      <c r="AW36" s="161">
        <f>AW38+AW39+AW40</f>
        <v>411954.22</v>
      </c>
      <c r="AX36" s="335">
        <f>AW36-AV36</f>
        <v>411954.22</v>
      </c>
      <c r="BG36" s="334">
        <f>BG38+BG39+BG40</f>
        <v>0</v>
      </c>
      <c r="BH36" s="539">
        <f t="shared" ref="BH36:BJ36" si="28">BH38+BH39+BH40</f>
        <v>0</v>
      </c>
      <c r="BI36" s="334">
        <f t="shared" si="28"/>
        <v>508251.94</v>
      </c>
      <c r="BJ36" s="539">
        <f t="shared" si="28"/>
        <v>-508251.94</v>
      </c>
      <c r="BM36" s="628">
        <f t="shared" si="18"/>
        <v>6804881.3199999994</v>
      </c>
      <c r="BN36" s="628">
        <f t="shared" si="11"/>
        <v>5396482.4400000004</v>
      </c>
      <c r="BO36" s="535">
        <f t="shared" si="14"/>
        <v>1408398.879999999</v>
      </c>
      <c r="BP36" s="334">
        <f>BP38+BP39+BP40</f>
        <v>5803918</v>
      </c>
      <c r="BQ36" s="334">
        <f>BQ38+BQ39+BQ40</f>
        <v>4888230.5</v>
      </c>
      <c r="BR36" s="539">
        <f t="shared" ref="BR36:BT36" si="29">BR38+BR39+BR40</f>
        <v>758034.55999999959</v>
      </c>
      <c r="BS36" s="334">
        <f t="shared" si="29"/>
        <v>508251.94</v>
      </c>
      <c r="BT36" s="539">
        <f t="shared" si="29"/>
        <v>517364.32</v>
      </c>
    </row>
    <row r="37" spans="1:72" x14ac:dyDescent="0.3">
      <c r="A37" s="437" t="s">
        <v>92</v>
      </c>
      <c r="B37" s="1422"/>
      <c r="C37" s="438"/>
      <c r="D37" s="431"/>
      <c r="E37" s="59">
        <f>H37+R37+AL37+AK37</f>
        <v>0</v>
      </c>
      <c r="F37" s="410">
        <f t="shared" si="1"/>
        <v>0</v>
      </c>
      <c r="G37" s="285"/>
      <c r="H37" s="158"/>
      <c r="I37" s="669">
        <f t="shared" si="19"/>
        <v>0</v>
      </c>
      <c r="J37" s="881"/>
      <c r="K37" s="285"/>
      <c r="L37" s="158"/>
      <c r="M37" s="298"/>
      <c r="N37" s="297"/>
      <c r="O37" s="285"/>
      <c r="P37" s="367"/>
      <c r="Q37" s="279"/>
      <c r="R37" s="310"/>
      <c r="S37" s="375"/>
      <c r="T37" s="528"/>
      <c r="U37" s="310"/>
      <c r="V37" s="63"/>
      <c r="W37" s="357">
        <f t="shared" si="2"/>
        <v>0</v>
      </c>
      <c r="X37" s="382"/>
      <c r="Y37" s="153">
        <f>X37-W37</f>
        <v>0</v>
      </c>
      <c r="Z37" s="357">
        <f>X37-W37</f>
        <v>0</v>
      </c>
      <c r="AA37" s="310"/>
      <c r="AB37" s="63"/>
      <c r="AC37" s="360"/>
      <c r="AD37" s="279"/>
      <c r="AE37" s="63"/>
      <c r="AF37" s="360"/>
      <c r="AG37" s="279"/>
      <c r="AH37" s="63"/>
      <c r="AI37" s="360"/>
      <c r="AJ37" s="425"/>
      <c r="AK37" s="395"/>
      <c r="AL37" s="334">
        <v>0</v>
      </c>
      <c r="AM37" s="161">
        <f t="shared" si="17"/>
        <v>0</v>
      </c>
      <c r="AN37" s="1013">
        <f t="shared" si="5"/>
        <v>0</v>
      </c>
      <c r="AO37" s="338"/>
      <c r="AP37" s="162"/>
      <c r="AQ37" s="1019"/>
      <c r="AR37" s="324"/>
      <c r="AS37" s="162"/>
      <c r="AT37" s="339"/>
      <c r="AU37" s="540"/>
      <c r="AV37" s="324"/>
      <c r="AW37" s="162"/>
      <c r="AX37" s="339"/>
      <c r="AZ37" s="121" t="s">
        <v>237</v>
      </c>
      <c r="BA37" s="121" t="s">
        <v>197</v>
      </c>
      <c r="BB37" s="121" t="s">
        <v>237</v>
      </c>
      <c r="BC37" s="121"/>
      <c r="BD37" s="121"/>
      <c r="BE37" s="121"/>
      <c r="BF37" s="121"/>
      <c r="BG37" s="617"/>
      <c r="BH37" s="621">
        <f>AF37-BG37</f>
        <v>0</v>
      </c>
      <c r="BI37" s="617"/>
      <c r="BJ37" s="621"/>
      <c r="BK37" s="121"/>
      <c r="BL37" s="121"/>
      <c r="BM37" s="628">
        <f t="shared" si="18"/>
        <v>0</v>
      </c>
      <c r="BN37" s="628">
        <f t="shared" si="11"/>
        <v>0</v>
      </c>
      <c r="BO37" s="535">
        <f t="shared" si="14"/>
        <v>0</v>
      </c>
      <c r="BP37" s="533"/>
      <c r="BQ37" s="617"/>
      <c r="BR37" s="621">
        <f>AP37-BQ37</f>
        <v>0</v>
      </c>
      <c r="BS37" s="617"/>
      <c r="BT37" s="621"/>
    </row>
    <row r="38" spans="1:72" ht="31.5" x14ac:dyDescent="0.3">
      <c r="A38" s="437" t="s">
        <v>171</v>
      </c>
      <c r="B38" s="1422"/>
      <c r="C38" s="977">
        <v>851</v>
      </c>
      <c r="D38" s="431">
        <v>12367210.869999999</v>
      </c>
      <c r="E38" s="64">
        <f>H38+R38+AM38+AK38</f>
        <v>12367210.870000001</v>
      </c>
      <c r="F38" s="411">
        <f t="shared" si="1"/>
        <v>0</v>
      </c>
      <c r="G38" s="285">
        <v>4890097.57</v>
      </c>
      <c r="H38" s="158">
        <f>J38+L38+O38</f>
        <v>4890097.57</v>
      </c>
      <c r="I38" s="669">
        <f t="shared" si="19"/>
        <v>0</v>
      </c>
      <c r="J38" s="881"/>
      <c r="K38" s="285">
        <v>3376782.46</v>
      </c>
      <c r="L38" s="158">
        <v>3376782.46</v>
      </c>
      <c r="M38" s="298">
        <f>L38-K38</f>
        <v>0</v>
      </c>
      <c r="N38" s="285">
        <v>1513315.11</v>
      </c>
      <c r="O38" s="285">
        <v>1513315.11</v>
      </c>
      <c r="P38" s="367">
        <f>O38-N38</f>
        <v>0</v>
      </c>
      <c r="Q38" s="279">
        <v>1914231.98</v>
      </c>
      <c r="R38" s="310">
        <f>T38+V38+Y38+AB38+AE38+AH38</f>
        <v>1914231.98</v>
      </c>
      <c r="S38" s="375">
        <f>R38-Q38</f>
        <v>0</v>
      </c>
      <c r="T38" s="528"/>
      <c r="U38" s="310"/>
      <c r="V38" s="63"/>
      <c r="W38" s="357">
        <f t="shared" si="2"/>
        <v>0</v>
      </c>
      <c r="X38" s="379">
        <v>1258487.81</v>
      </c>
      <c r="Y38" s="153">
        <v>1258487.81</v>
      </c>
      <c r="Z38" s="357"/>
      <c r="AA38" s="310">
        <v>655744.17000000004</v>
      </c>
      <c r="AB38" s="63">
        <v>655744.17000000004</v>
      </c>
      <c r="AC38" s="360">
        <f>AB38-AA38</f>
        <v>0</v>
      </c>
      <c r="AD38" s="279"/>
      <c r="AE38" s="63"/>
      <c r="AF38" s="360"/>
      <c r="AG38" s="279"/>
      <c r="AH38" s="63"/>
      <c r="AI38" s="360"/>
      <c r="AJ38" s="425"/>
      <c r="AK38" s="395"/>
      <c r="AL38" s="334">
        <v>5562881.3199999994</v>
      </c>
      <c r="AM38" s="161">
        <f t="shared" si="17"/>
        <v>5562881.3199999994</v>
      </c>
      <c r="AN38" s="1013">
        <f t="shared" si="5"/>
        <v>0</v>
      </c>
      <c r="AO38" s="338">
        <v>4579265.0599999996</v>
      </c>
      <c r="AP38" s="162">
        <v>4167310.84</v>
      </c>
      <c r="AQ38" s="1019">
        <f>AP38-AO38</f>
        <v>-411954.21999999974</v>
      </c>
      <c r="AR38" s="324">
        <v>983616.26</v>
      </c>
      <c r="AS38" s="162">
        <v>983616.26</v>
      </c>
      <c r="AT38" s="339">
        <f>AS38-AR38</f>
        <v>0</v>
      </c>
      <c r="AU38" s="540"/>
      <c r="AV38" s="324"/>
      <c r="AW38" s="162">
        <v>411954.22</v>
      </c>
      <c r="AX38" s="339">
        <f>AW38-AV38</f>
        <v>411954.22</v>
      </c>
      <c r="AZ38" s="122">
        <v>2116229.66</v>
      </c>
      <c r="BA38" s="122">
        <v>-2116229.66</v>
      </c>
      <c r="BB38" s="610"/>
      <c r="BC38" s="635"/>
      <c r="BD38" s="635"/>
      <c r="BE38" s="635"/>
      <c r="BF38" s="635"/>
      <c r="BG38" s="617"/>
      <c r="BH38" s="621">
        <f>AE38-BG38</f>
        <v>0</v>
      </c>
      <c r="BI38" s="617">
        <v>383344</v>
      </c>
      <c r="BJ38" s="621">
        <f>AH38-BI38</f>
        <v>-383344</v>
      </c>
      <c r="BK38" s="635"/>
      <c r="BL38" s="635"/>
      <c r="BM38" s="629">
        <f t="shared" si="18"/>
        <v>5562881.3199999994</v>
      </c>
      <c r="BN38" s="629">
        <f t="shared" si="11"/>
        <v>4561918</v>
      </c>
      <c r="BO38" s="533">
        <f t="shared" si="14"/>
        <v>1000963.3199999994</v>
      </c>
      <c r="BP38" s="533">
        <f>BN38</f>
        <v>4561918</v>
      </c>
      <c r="BQ38" s="617">
        <v>4178574</v>
      </c>
      <c r="BR38" s="621">
        <f>AO38-BQ38</f>
        <v>400691.05999999959</v>
      </c>
      <c r="BS38" s="617">
        <v>383344</v>
      </c>
      <c r="BT38" s="621">
        <f>AR38-BS38</f>
        <v>600272.26</v>
      </c>
    </row>
    <row r="39" spans="1:72" x14ac:dyDescent="0.3">
      <c r="A39" s="437" t="s">
        <v>172</v>
      </c>
      <c r="B39" s="1422"/>
      <c r="C39" s="977">
        <v>852</v>
      </c>
      <c r="D39" s="431">
        <v>844267.46</v>
      </c>
      <c r="E39" s="64">
        <f>H39+R39+AM39+AK39</f>
        <v>844267.46</v>
      </c>
      <c r="F39" s="410">
        <f t="shared" si="1"/>
        <v>0</v>
      </c>
      <c r="G39" s="285">
        <v>209267.46000000002</v>
      </c>
      <c r="H39" s="158">
        <f t="shared" ref="H39:H40" si="30">J39+L39+O39</f>
        <v>209267.46</v>
      </c>
      <c r="I39" s="669">
        <f t="shared" si="19"/>
        <v>0</v>
      </c>
      <c r="J39" s="881"/>
      <c r="K39" s="285">
        <v>209267.46000000002</v>
      </c>
      <c r="L39" s="158">
        <v>209267.46</v>
      </c>
      <c r="M39" s="298">
        <f>L39-K39</f>
        <v>0</v>
      </c>
      <c r="N39" s="297"/>
      <c r="O39" s="285"/>
      <c r="P39" s="367"/>
      <c r="Q39" s="279">
        <v>0</v>
      </c>
      <c r="R39" s="310">
        <f>T39+V39+X39+AB39+AE39+AH39</f>
        <v>0</v>
      </c>
      <c r="S39" s="375">
        <f>R39-Q39</f>
        <v>0</v>
      </c>
      <c r="T39" s="528"/>
      <c r="U39" s="310"/>
      <c r="V39" s="63"/>
      <c r="W39" s="357">
        <f t="shared" si="2"/>
        <v>0</v>
      </c>
      <c r="X39" s="382"/>
      <c r="Y39" s="153">
        <f t="shared" ref="Y39:Y44" si="31">X39-W39</f>
        <v>0</v>
      </c>
      <c r="Z39" s="357">
        <f t="shared" ref="Z39:Z44" si="32">X39-W39</f>
        <v>0</v>
      </c>
      <c r="AA39" s="310"/>
      <c r="AB39" s="63"/>
      <c r="AC39" s="360">
        <f>AB39-AA39</f>
        <v>0</v>
      </c>
      <c r="AD39" s="279"/>
      <c r="AE39" s="63"/>
      <c r="AF39" s="360"/>
      <c r="AG39" s="279"/>
      <c r="AH39" s="63"/>
      <c r="AI39" s="360"/>
      <c r="AJ39" s="425"/>
      <c r="AK39" s="395"/>
      <c r="AL39" s="334">
        <v>635000</v>
      </c>
      <c r="AM39" s="161">
        <f t="shared" si="17"/>
        <v>635000</v>
      </c>
      <c r="AN39" s="1013">
        <f t="shared" si="5"/>
        <v>0</v>
      </c>
      <c r="AO39" s="338">
        <v>485000</v>
      </c>
      <c r="AP39" s="162">
        <v>485000</v>
      </c>
      <c r="AQ39" s="1019">
        <f>AP39-AO39</f>
        <v>0</v>
      </c>
      <c r="AR39" s="324">
        <v>35000</v>
      </c>
      <c r="AS39" s="162">
        <v>150000</v>
      </c>
      <c r="AT39" s="339">
        <f>AS39-AR39</f>
        <v>115000</v>
      </c>
      <c r="AU39" s="540"/>
      <c r="AV39" s="324"/>
      <c r="AW39" s="162"/>
      <c r="AX39" s="339">
        <f>AW39-AV39</f>
        <v>0</v>
      </c>
      <c r="AZ39" s="122">
        <v>-75470.62</v>
      </c>
      <c r="BA39" s="122"/>
      <c r="BB39" s="610">
        <v>-49993.01</v>
      </c>
      <c r="BC39" s="635"/>
      <c r="BD39" s="635"/>
      <c r="BE39" s="635"/>
      <c r="BF39" s="635"/>
      <c r="BG39" s="617"/>
      <c r="BH39" s="621">
        <f t="shared" ref="BH39:BH40" si="33">AE39-BG39</f>
        <v>0</v>
      </c>
      <c r="BI39" s="617">
        <v>27119</v>
      </c>
      <c r="BJ39" s="621">
        <f t="shared" ref="BJ39:BJ40" si="34">AH39-BI39</f>
        <v>-27119</v>
      </c>
      <c r="BK39" s="635"/>
      <c r="BL39" s="635"/>
      <c r="BM39" s="629">
        <f t="shared" si="18"/>
        <v>635000</v>
      </c>
      <c r="BN39" s="629">
        <f t="shared" si="11"/>
        <v>234308.25</v>
      </c>
      <c r="BO39" s="533">
        <f t="shared" si="14"/>
        <v>400691.75</v>
      </c>
      <c r="BP39" s="533">
        <f>BM39</f>
        <v>635000</v>
      </c>
      <c r="BQ39" s="617">
        <f>272189.25-65000</f>
        <v>207189.25</v>
      </c>
      <c r="BR39" s="621">
        <f t="shared" ref="BR39:BR40" si="35">AO39-BQ39</f>
        <v>277810.75</v>
      </c>
      <c r="BS39" s="617">
        <v>27119</v>
      </c>
      <c r="BT39" s="621">
        <f t="shared" ref="BT39:BT40" si="36">AR39-BS39</f>
        <v>7881</v>
      </c>
    </row>
    <row r="40" spans="1:72" ht="18.75" customHeight="1" x14ac:dyDescent="0.3">
      <c r="A40" s="437" t="s">
        <v>173</v>
      </c>
      <c r="B40" s="1423"/>
      <c r="C40" s="977">
        <v>853</v>
      </c>
      <c r="D40" s="431">
        <v>708642.57</v>
      </c>
      <c r="E40" s="64">
        <f>H40+R40+AM40+AK40</f>
        <v>708642.57000000007</v>
      </c>
      <c r="F40" s="410">
        <f t="shared" si="1"/>
        <v>0</v>
      </c>
      <c r="G40" s="285">
        <v>101642.56999999999</v>
      </c>
      <c r="H40" s="158">
        <f t="shared" si="30"/>
        <v>101642.57</v>
      </c>
      <c r="I40" s="669">
        <f t="shared" si="19"/>
        <v>0</v>
      </c>
      <c r="J40" s="881"/>
      <c r="K40" s="285">
        <v>101642.56999999999</v>
      </c>
      <c r="L40" s="158">
        <v>101642.57</v>
      </c>
      <c r="M40" s="298">
        <f>L40-K40</f>
        <v>0</v>
      </c>
      <c r="N40" s="297"/>
      <c r="O40" s="285"/>
      <c r="P40" s="367"/>
      <c r="Q40" s="279"/>
      <c r="R40" s="310"/>
      <c r="S40" s="375"/>
      <c r="T40" s="528"/>
      <c r="U40" s="310"/>
      <c r="V40" s="63"/>
      <c r="W40" s="357">
        <f t="shared" si="2"/>
        <v>0</v>
      </c>
      <c r="X40" s="382"/>
      <c r="Y40" s="153">
        <f t="shared" si="31"/>
        <v>0</v>
      </c>
      <c r="Z40" s="357">
        <f t="shared" si="32"/>
        <v>0</v>
      </c>
      <c r="AA40" s="310"/>
      <c r="AB40" s="63"/>
      <c r="AC40" s="360"/>
      <c r="AD40" s="279"/>
      <c r="AE40" s="63"/>
      <c r="AF40" s="360"/>
      <c r="AG40" s="279"/>
      <c r="AH40" s="63"/>
      <c r="AI40" s="360"/>
      <c r="AJ40" s="425"/>
      <c r="AK40" s="395"/>
      <c r="AL40" s="334">
        <v>607000</v>
      </c>
      <c r="AM40" s="161">
        <f t="shared" si="17"/>
        <v>607000</v>
      </c>
      <c r="AN40" s="1013">
        <f t="shared" si="5"/>
        <v>0</v>
      </c>
      <c r="AO40" s="338">
        <v>582000</v>
      </c>
      <c r="AP40" s="162">
        <v>577000</v>
      </c>
      <c r="AQ40" s="1019">
        <f>AP40-AO40</f>
        <v>-5000</v>
      </c>
      <c r="AR40" s="324">
        <v>7000</v>
      </c>
      <c r="AS40" s="162">
        <v>30000</v>
      </c>
      <c r="AT40" s="339">
        <f>AS40-AR40</f>
        <v>23000</v>
      </c>
      <c r="AU40" s="540"/>
      <c r="AV40" s="324"/>
      <c r="AW40" s="162"/>
      <c r="AX40" s="339">
        <f>AW40-AV40</f>
        <v>0</v>
      </c>
      <c r="AZ40" s="122">
        <v>75470.62</v>
      </c>
      <c r="BA40" s="122"/>
      <c r="BB40" s="610">
        <v>49993.01</v>
      </c>
      <c r="BC40" s="635"/>
      <c r="BD40" s="635"/>
      <c r="BE40" s="635"/>
      <c r="BF40" s="635"/>
      <c r="BG40" s="617"/>
      <c r="BH40" s="621">
        <f t="shared" si="33"/>
        <v>0</v>
      </c>
      <c r="BI40" s="617">
        <v>97788.94</v>
      </c>
      <c r="BJ40" s="621">
        <f t="shared" si="34"/>
        <v>-97788.94</v>
      </c>
      <c r="BK40" s="635"/>
      <c r="BL40" s="635"/>
      <c r="BM40" s="629">
        <f t="shared" si="18"/>
        <v>607000</v>
      </c>
      <c r="BN40" s="629">
        <f t="shared" si="11"/>
        <v>600256.18999999994</v>
      </c>
      <c r="BO40" s="533">
        <f t="shared" si="14"/>
        <v>6743.8100000000559</v>
      </c>
      <c r="BP40" s="533">
        <f>BM40</f>
        <v>607000</v>
      </c>
      <c r="BQ40" s="617">
        <f>502467.25</f>
        <v>502467.25</v>
      </c>
      <c r="BR40" s="621">
        <f t="shared" si="35"/>
        <v>79532.75</v>
      </c>
      <c r="BS40" s="617">
        <v>97788.94</v>
      </c>
      <c r="BT40" s="621">
        <f t="shared" si="36"/>
        <v>-90788.94</v>
      </c>
    </row>
    <row r="41" spans="1:72" x14ac:dyDescent="0.3">
      <c r="A41" s="437" t="s">
        <v>174</v>
      </c>
      <c r="B41" s="975">
        <v>240</v>
      </c>
      <c r="C41" s="977">
        <v>853</v>
      </c>
      <c r="D41" s="431"/>
      <c r="E41" s="59">
        <f>H41+R41+AL41+AK41</f>
        <v>0</v>
      </c>
      <c r="F41" s="410">
        <f t="shared" si="1"/>
        <v>0</v>
      </c>
      <c r="G41" s="285"/>
      <c r="H41" s="158"/>
      <c r="I41" s="669">
        <f t="shared" si="19"/>
        <v>0</v>
      </c>
      <c r="J41" s="881"/>
      <c r="K41" s="285"/>
      <c r="L41" s="158"/>
      <c r="M41" s="298"/>
      <c r="N41" s="297"/>
      <c r="O41" s="285"/>
      <c r="P41" s="367"/>
      <c r="Q41" s="279"/>
      <c r="R41" s="310"/>
      <c r="S41" s="375"/>
      <c r="T41" s="528"/>
      <c r="U41" s="310"/>
      <c r="V41" s="63"/>
      <c r="W41" s="357">
        <f t="shared" si="2"/>
        <v>0</v>
      </c>
      <c r="X41" s="382"/>
      <c r="Y41" s="153">
        <f t="shared" si="31"/>
        <v>0</v>
      </c>
      <c r="Z41" s="357">
        <f t="shared" si="32"/>
        <v>0</v>
      </c>
      <c r="AA41" s="310"/>
      <c r="AB41" s="63"/>
      <c r="AC41" s="360"/>
      <c r="AD41" s="279"/>
      <c r="AE41" s="63"/>
      <c r="AF41" s="360"/>
      <c r="AG41" s="279"/>
      <c r="AH41" s="63"/>
      <c r="AI41" s="360"/>
      <c r="AJ41" s="425"/>
      <c r="AK41" s="395"/>
      <c r="AL41" s="334">
        <v>0</v>
      </c>
      <c r="AM41" s="161">
        <f t="shared" si="17"/>
        <v>0</v>
      </c>
      <c r="AN41" s="1013">
        <f t="shared" si="5"/>
        <v>0</v>
      </c>
      <c r="AO41" s="338"/>
      <c r="AP41" s="162"/>
      <c r="AQ41" s="1019"/>
      <c r="AR41" s="324"/>
      <c r="AS41" s="162"/>
      <c r="AT41" s="339"/>
      <c r="AU41" s="540"/>
      <c r="AV41" s="324"/>
      <c r="AW41" s="162"/>
      <c r="AX41" s="339"/>
      <c r="BG41" s="617"/>
      <c r="BH41" s="621">
        <f>AF41-BG41</f>
        <v>0</v>
      </c>
      <c r="BI41" s="617"/>
      <c r="BJ41" s="621"/>
      <c r="BM41" s="628">
        <f t="shared" si="18"/>
        <v>0</v>
      </c>
      <c r="BN41" s="628">
        <f t="shared" si="11"/>
        <v>0</v>
      </c>
      <c r="BO41" s="535">
        <f t="shared" si="14"/>
        <v>0</v>
      </c>
      <c r="BP41" s="533"/>
      <c r="BQ41" s="617"/>
      <c r="BR41" s="621">
        <f>AP41-BQ41</f>
        <v>0</v>
      </c>
      <c r="BS41" s="617"/>
      <c r="BT41" s="621"/>
    </row>
    <row r="42" spans="1:72" s="115" customFormat="1" ht="31.5" x14ac:dyDescent="0.3">
      <c r="A42" s="435" t="s">
        <v>175</v>
      </c>
      <c r="B42" s="1387">
        <v>250</v>
      </c>
      <c r="C42" s="442"/>
      <c r="D42" s="430">
        <f>G42+Q42+AK42+AL42</f>
        <v>0</v>
      </c>
      <c r="E42" s="59">
        <f>H42+R42+AL42+AK42</f>
        <v>0</v>
      </c>
      <c r="F42" s="410">
        <f t="shared" si="1"/>
        <v>0</v>
      </c>
      <c r="G42" s="283"/>
      <c r="H42" s="157"/>
      <c r="I42" s="669">
        <f t="shared" si="19"/>
        <v>0</v>
      </c>
      <c r="J42" s="882"/>
      <c r="K42" s="283"/>
      <c r="L42" s="157"/>
      <c r="M42" s="294"/>
      <c r="N42" s="293"/>
      <c r="O42" s="283"/>
      <c r="P42" s="365"/>
      <c r="Q42" s="276"/>
      <c r="R42" s="307"/>
      <c r="S42" s="372"/>
      <c r="T42" s="525"/>
      <c r="U42" s="307">
        <v>0</v>
      </c>
      <c r="V42" s="153">
        <v>0</v>
      </c>
      <c r="W42" s="357">
        <f t="shared" si="2"/>
        <v>0</v>
      </c>
      <c r="X42" s="379">
        <v>0</v>
      </c>
      <c r="Y42" s="153">
        <f t="shared" si="31"/>
        <v>0</v>
      </c>
      <c r="Z42" s="357">
        <f t="shared" si="32"/>
        <v>0</v>
      </c>
      <c r="AA42" s="307"/>
      <c r="AB42" s="153"/>
      <c r="AC42" s="357"/>
      <c r="AD42" s="276"/>
      <c r="AE42" s="153"/>
      <c r="AF42" s="357"/>
      <c r="AG42" s="276"/>
      <c r="AH42" s="153"/>
      <c r="AI42" s="357"/>
      <c r="AJ42" s="422">
        <v>0</v>
      </c>
      <c r="AK42" s="396">
        <v>0</v>
      </c>
      <c r="AL42" s="334">
        <v>0</v>
      </c>
      <c r="AM42" s="161">
        <f t="shared" si="17"/>
        <v>0</v>
      </c>
      <c r="AN42" s="1013">
        <f t="shared" si="5"/>
        <v>0</v>
      </c>
      <c r="AO42" s="334"/>
      <c r="AP42" s="161"/>
      <c r="AQ42" s="406"/>
      <c r="AR42" s="323"/>
      <c r="AS42" s="161"/>
      <c r="AT42" s="335"/>
      <c r="AU42" s="539">
        <f>AU44</f>
        <v>0</v>
      </c>
      <c r="AV42" s="323"/>
      <c r="AW42" s="161"/>
      <c r="AX42" s="335"/>
      <c r="BG42" s="617"/>
      <c r="BH42" s="621">
        <f>AF42-BG42</f>
        <v>0</v>
      </c>
      <c r="BI42" s="617"/>
      <c r="BJ42" s="621"/>
      <c r="BM42" s="628">
        <f t="shared" si="18"/>
        <v>0</v>
      </c>
      <c r="BN42" s="628">
        <f t="shared" si="11"/>
        <v>0</v>
      </c>
      <c r="BO42" s="535">
        <f t="shared" si="14"/>
        <v>0</v>
      </c>
      <c r="BP42" s="533"/>
      <c r="BQ42" s="617"/>
      <c r="BR42" s="621">
        <f>AP42-BQ42</f>
        <v>0</v>
      </c>
      <c r="BS42" s="617"/>
      <c r="BT42" s="621"/>
    </row>
    <row r="43" spans="1:72" s="115" customFormat="1" x14ac:dyDescent="0.3">
      <c r="A43" s="435" t="s">
        <v>92</v>
      </c>
      <c r="B43" s="1387"/>
      <c r="C43" s="442"/>
      <c r="D43" s="430"/>
      <c r="E43" s="59">
        <f>H43+R43+AL43+AK43</f>
        <v>0</v>
      </c>
      <c r="F43" s="410">
        <f t="shared" si="1"/>
        <v>0</v>
      </c>
      <c r="G43" s="283"/>
      <c r="H43" s="157"/>
      <c r="I43" s="669">
        <f t="shared" si="19"/>
        <v>0</v>
      </c>
      <c r="J43" s="882"/>
      <c r="K43" s="283"/>
      <c r="L43" s="157"/>
      <c r="M43" s="294"/>
      <c r="N43" s="293"/>
      <c r="O43" s="283"/>
      <c r="P43" s="365"/>
      <c r="Q43" s="276"/>
      <c r="R43" s="307"/>
      <c r="S43" s="372"/>
      <c r="T43" s="525"/>
      <c r="U43" s="307"/>
      <c r="V43" s="153"/>
      <c r="W43" s="357">
        <f t="shared" si="2"/>
        <v>0</v>
      </c>
      <c r="X43" s="379"/>
      <c r="Y43" s="153">
        <f t="shared" si="31"/>
        <v>0</v>
      </c>
      <c r="Z43" s="357">
        <f t="shared" si="32"/>
        <v>0</v>
      </c>
      <c r="AA43" s="307"/>
      <c r="AB43" s="153"/>
      <c r="AC43" s="357"/>
      <c r="AD43" s="276"/>
      <c r="AE43" s="153"/>
      <c r="AF43" s="357"/>
      <c r="AG43" s="276"/>
      <c r="AH43" s="153"/>
      <c r="AI43" s="357"/>
      <c r="AJ43" s="422"/>
      <c r="AK43" s="396"/>
      <c r="AL43" s="334">
        <v>0</v>
      </c>
      <c r="AM43" s="161">
        <f t="shared" si="17"/>
        <v>0</v>
      </c>
      <c r="AN43" s="1013">
        <f t="shared" si="5"/>
        <v>0</v>
      </c>
      <c r="AO43" s="334"/>
      <c r="AP43" s="161"/>
      <c r="AQ43" s="406"/>
      <c r="AR43" s="323"/>
      <c r="AS43" s="161"/>
      <c r="AT43" s="335"/>
      <c r="AU43" s="539"/>
      <c r="AV43" s="323"/>
      <c r="AW43" s="161"/>
      <c r="AX43" s="335"/>
      <c r="BG43" s="617"/>
      <c r="BH43" s="621">
        <f>AF43-BG43</f>
        <v>0</v>
      </c>
      <c r="BI43" s="617"/>
      <c r="BJ43" s="621"/>
      <c r="BM43" s="628">
        <f t="shared" si="18"/>
        <v>0</v>
      </c>
      <c r="BN43" s="628">
        <f t="shared" si="11"/>
        <v>0</v>
      </c>
      <c r="BO43" s="535">
        <f t="shared" si="14"/>
        <v>0</v>
      </c>
      <c r="BP43" s="533"/>
      <c r="BQ43" s="617"/>
      <c r="BR43" s="621">
        <f>AP43-BQ43</f>
        <v>0</v>
      </c>
      <c r="BS43" s="617"/>
      <c r="BT43" s="621"/>
    </row>
    <row r="44" spans="1:72" s="115" customFormat="1" x14ac:dyDescent="0.3">
      <c r="A44" s="443"/>
      <c r="B44" s="1387"/>
      <c r="C44" s="442"/>
      <c r="D44" s="430"/>
      <c r="E44" s="59">
        <f>H44+R44+AL44+AK44</f>
        <v>0</v>
      </c>
      <c r="F44" s="410">
        <f t="shared" si="1"/>
        <v>0</v>
      </c>
      <c r="G44" s="283"/>
      <c r="H44" s="157"/>
      <c r="I44" s="669">
        <f t="shared" si="19"/>
        <v>0</v>
      </c>
      <c r="J44" s="882"/>
      <c r="K44" s="283"/>
      <c r="L44" s="157"/>
      <c r="M44" s="294"/>
      <c r="N44" s="293"/>
      <c r="O44" s="283"/>
      <c r="P44" s="365"/>
      <c r="Q44" s="276"/>
      <c r="R44" s="307"/>
      <c r="S44" s="372"/>
      <c r="T44" s="525"/>
      <c r="U44" s="307"/>
      <c r="V44" s="153"/>
      <c r="W44" s="357">
        <f t="shared" si="2"/>
        <v>0</v>
      </c>
      <c r="X44" s="379"/>
      <c r="Y44" s="153">
        <f t="shared" si="31"/>
        <v>0</v>
      </c>
      <c r="Z44" s="357">
        <f t="shared" si="32"/>
        <v>0</v>
      </c>
      <c r="AA44" s="307"/>
      <c r="AB44" s="153"/>
      <c r="AC44" s="357"/>
      <c r="AD44" s="276"/>
      <c r="AE44" s="153"/>
      <c r="AF44" s="357"/>
      <c r="AG44" s="276"/>
      <c r="AH44" s="153"/>
      <c r="AI44" s="357"/>
      <c r="AJ44" s="422"/>
      <c r="AK44" s="396"/>
      <c r="AL44" s="334">
        <v>0</v>
      </c>
      <c r="AM44" s="161">
        <f t="shared" si="17"/>
        <v>0</v>
      </c>
      <c r="AN44" s="1013">
        <f t="shared" si="5"/>
        <v>0</v>
      </c>
      <c r="AO44" s="334"/>
      <c r="AP44" s="161"/>
      <c r="AQ44" s="406"/>
      <c r="AR44" s="323"/>
      <c r="AS44" s="161"/>
      <c r="AT44" s="335"/>
      <c r="AU44" s="539"/>
      <c r="AV44" s="323"/>
      <c r="AW44" s="161"/>
      <c r="AX44" s="335"/>
      <c r="BG44" s="617"/>
      <c r="BH44" s="621">
        <f>AF44-BG44</f>
        <v>0</v>
      </c>
      <c r="BI44" s="617"/>
      <c r="BJ44" s="621"/>
      <c r="BM44" s="628">
        <f t="shared" si="18"/>
        <v>0</v>
      </c>
      <c r="BN44" s="628">
        <f t="shared" si="11"/>
        <v>0</v>
      </c>
      <c r="BO44" s="535">
        <f t="shared" si="14"/>
        <v>0</v>
      </c>
      <c r="BP44" s="533"/>
      <c r="BQ44" s="617"/>
      <c r="BR44" s="621">
        <f>AP44-BQ44</f>
        <v>0</v>
      </c>
      <c r="BS44" s="617"/>
      <c r="BT44" s="621"/>
    </row>
    <row r="45" spans="1:72" s="115" customFormat="1" ht="31.5" x14ac:dyDescent="0.3">
      <c r="A45" s="435" t="s">
        <v>176</v>
      </c>
      <c r="B45" s="1388">
        <v>260</v>
      </c>
      <c r="C45" s="436">
        <v>240</v>
      </c>
      <c r="D45" s="1010">
        <f>D47+D48+D49+D50+D51+D55+D59+D61+D63+D66+D52+D56+D60+D62+D64+D65</f>
        <v>1861048940.0400002</v>
      </c>
      <c r="E45" s="59">
        <f>H45+R45+AM45+AK45</f>
        <v>2866048940.0349998</v>
      </c>
      <c r="F45" s="410">
        <f t="shared" si="1"/>
        <v>1004999999.9949996</v>
      </c>
      <c r="G45" s="283">
        <v>46655720.769999996</v>
      </c>
      <c r="H45" s="157">
        <f>H47+H48+H49+H50+H51+H55+H59+H61+H63+H66+H52+H56+H60+H62+H64+H65</f>
        <v>46655720.769999996</v>
      </c>
      <c r="I45" s="669">
        <f t="shared" si="19"/>
        <v>0</v>
      </c>
      <c r="J45" s="882">
        <f>J47+J48+J49+J50+J51+J55+J59+J61</f>
        <v>0</v>
      </c>
      <c r="K45" s="157">
        <f>K47+K48+K49+K50+K51+K55+K59+K61+K63+K66+K52+K56+K60+K62+K64+K65</f>
        <v>29172987.350000001</v>
      </c>
      <c r="L45" s="157">
        <f>L47+L48+L49+L50+L51+L55+L59+L61+L63+L66+L52+L56+L60+L62+L64+L65</f>
        <v>29172987.350000001</v>
      </c>
      <c r="M45" s="294">
        <f>L45-K45</f>
        <v>0</v>
      </c>
      <c r="N45" s="157">
        <f>N47+N48+N49+N50+N51+N55+N59+N61+N63+N66+N52+N56+N60+N62+N64+N65</f>
        <v>17482733.420000002</v>
      </c>
      <c r="O45" s="157">
        <f>O47+O48+O49+O50+O51+O55+O59+O61+O63+O66+O52+O56+O60+O62+O64+O65</f>
        <v>17482733.420000002</v>
      </c>
      <c r="P45" s="365">
        <f>O45-N45</f>
        <v>0</v>
      </c>
      <c r="Q45" s="276">
        <f>Q47+Q48+Q49+Q50+Q51+Q55+Q59+Q61+Q63+Q66+Q52+Q56+Q60+Q62+Q64+Q65</f>
        <v>1631473664.7600002</v>
      </c>
      <c r="R45" s="307">
        <f>R47+R48+R49+R50+R51+R55+R59+R61+R63+R66+R52+R56+R60+R62+R64+R65</f>
        <v>2636473664.7599998</v>
      </c>
      <c r="S45" s="372">
        <f>R45-Q45</f>
        <v>1004999999.9999995</v>
      </c>
      <c r="T45" s="525">
        <f>T47+T48+T49+T50+T51+T55+T59+T61+T63+T66+T52+T56+T60+T62+T64+T65</f>
        <v>388193676.14999998</v>
      </c>
      <c r="U45" s="307">
        <f>U47+U48+U49+U50+U51+U55+U59+U61+U63+U66+U52+U56+U60+U62+U64+U65</f>
        <v>1216891000</v>
      </c>
      <c r="V45" s="153">
        <f>V47+V48+V49+V50+V51+V55+V59+V61+V63+V66+V52+V56+V60+V62+V64+V65</f>
        <v>2222708150.4000001</v>
      </c>
      <c r="W45" s="357">
        <f>V45-U45</f>
        <v>1005817150.4000001</v>
      </c>
      <c r="X45" s="379">
        <f>X47+X48+X49+X50+X51+X55+X59+X61+X63+X66+X52+X56+X60+X62+X64+X65</f>
        <v>11003632.780000001</v>
      </c>
      <c r="Y45" s="153">
        <f>Y47+Y48+Y49+Y50+Y51+Y55+Y59+Y61+Y63+Y66+Y52+Y56+Y60+Y62+Y64+Y65</f>
        <v>11003632.780000001</v>
      </c>
      <c r="Z45" s="357">
        <f>Z47+Z48+Z49+Z50+Z51+Z55+Z59+Z61+Z63+Z66+Z52+Z56+Z60+Z62+Z64+Z65</f>
        <v>0</v>
      </c>
      <c r="AA45" s="307">
        <v>6222834.2999999998</v>
      </c>
      <c r="AB45" s="153">
        <f>AB47+AB48+AB49+AB50+AB51+AB55+AB59+AB61+AB63+AB66+AB52+AB56+AB60+AB62+AB64+AB65</f>
        <v>6222834.2999999998</v>
      </c>
      <c r="AC45" s="357">
        <f>AB45-AA45</f>
        <v>0</v>
      </c>
      <c r="AD45" s="276"/>
      <c r="AE45" s="153"/>
      <c r="AF45" s="357"/>
      <c r="AG45" s="153">
        <v>9162521.5199999996</v>
      </c>
      <c r="AH45" s="153">
        <f t="shared" ref="AH45" si="37">AH47+AH48+AH49+AH50+AH51+AH55+AH59+AH61+AH63+AH66+AH52+AH56+AH60+AH62+AH64+AH65</f>
        <v>8345371.1299999999</v>
      </c>
      <c r="AI45" s="357">
        <f>AH45-AG45</f>
        <v>-817150.38999999966</v>
      </c>
      <c r="AJ45" s="422">
        <f>AJ47+AJ48+AJ49+AJ50+AJ51+AJ52+AJ56+AJ61</f>
        <v>0</v>
      </c>
      <c r="AK45" s="396">
        <f>AK47+AK48+AK49+AK50+AK51+AK55+AK59+AK61+AK63+AK66+AK52+AK56+AK60+AK62+AK64+AK65</f>
        <v>50000</v>
      </c>
      <c r="AL45" s="334">
        <v>183139902.45446354</v>
      </c>
      <c r="AM45" s="161">
        <f t="shared" si="17"/>
        <v>182869554.505</v>
      </c>
      <c r="AN45" s="1013">
        <f t="shared" si="5"/>
        <v>-270347.94946354628</v>
      </c>
      <c r="AO45" s="334">
        <v>149019556.73446354</v>
      </c>
      <c r="AP45" s="323">
        <f>AP47+AP48+AP49+AP50+AP51+AP55+AP59+AP61+AP63+AP66+AP52+AP56+AP60+AP62+AP64+AP65</f>
        <v>155373348.77500001</v>
      </c>
      <c r="AQ45" s="406">
        <f>AP45-AO45</f>
        <v>6353792.0405364633</v>
      </c>
      <c r="AR45" s="161">
        <f>AR47+AR48+AR49+AR50+AR51+AR55+AR59+AR61+AR63+AR66+AR52+AR56+AR60+AR62+AR64+AR65</f>
        <v>34120345.719999999</v>
      </c>
      <c r="AS45" s="161">
        <f>AS47+AS48+AS49+AS50+AS51+AS55+AS59+AS61+AS63+AS66+AS52+AS56+AS60+AS62+AS64+AS65</f>
        <v>22737058.73</v>
      </c>
      <c r="AT45" s="335">
        <f>AS45-AR45</f>
        <v>-11383286.989999998</v>
      </c>
      <c r="AU45" s="539">
        <f>AU47+AU48+AU49+AU50+AU51+AU52+AU56+AU61</f>
        <v>0</v>
      </c>
      <c r="AV45" s="323"/>
      <c r="AW45" s="161">
        <f>AW47+AW48+AW49+AW50+AW51+AW55+AW59+AW61+AW63+AW66+AW52+AW56+AW60+AW62+AW64+AW65</f>
        <v>4759147</v>
      </c>
      <c r="AX45" s="335">
        <f>AW45-AV45</f>
        <v>4759147</v>
      </c>
      <c r="BG45" s="334">
        <f>BG47+BG48+BG49+BG50+BG51+BG55+BG59+BG61+BG63+BG66+BG52+BG56+BG60+BG62+BG64+BG65</f>
        <v>0</v>
      </c>
      <c r="BH45" s="539">
        <f t="shared" ref="BH45:BJ45" si="38">BH47+BH48+BH49+BH50+BH51+BH55+BH59+BH61+BH63+BH66+BH52+BH56+BH60+BH62+BH64+BH65</f>
        <v>0</v>
      </c>
      <c r="BI45" s="334">
        <f t="shared" si="38"/>
        <v>25649553.189999998</v>
      </c>
      <c r="BJ45" s="539">
        <f t="shared" si="38"/>
        <v>-17304182.060000002</v>
      </c>
      <c r="BM45" s="628">
        <f t="shared" si="18"/>
        <v>183139902.45446354</v>
      </c>
      <c r="BN45" s="628">
        <f t="shared" si="11"/>
        <v>127263947.69999999</v>
      </c>
      <c r="BO45" s="535">
        <f t="shared" si="14"/>
        <v>55875954.754463553</v>
      </c>
      <c r="BP45" s="334">
        <f>SUM(BP48:BP66)</f>
        <v>124289533.4064</v>
      </c>
      <c r="BQ45" s="334">
        <f>BQ47+BQ48+BQ49+BQ50+BQ51+BQ55+BQ59+BQ61+BQ63+BQ66+BQ52+BQ56+BQ60+BQ62+BQ64+BQ65</f>
        <v>101614394.50999999</v>
      </c>
      <c r="BR45" s="539">
        <f t="shared" ref="BR45:BT45" si="39">BR47+BR48+BR49+BR50+BR51+BR55+BR59+BR61+BR63+BR66+BR52+BR56+BR60+BR62+BR64+BR65</f>
        <v>47405162.224463537</v>
      </c>
      <c r="BS45" s="334">
        <f t="shared" si="39"/>
        <v>25649553.189999998</v>
      </c>
      <c r="BT45" s="539">
        <f t="shared" si="39"/>
        <v>8470792.5300000012</v>
      </c>
    </row>
    <row r="46" spans="1:72" x14ac:dyDescent="0.3">
      <c r="A46" s="437" t="s">
        <v>92</v>
      </c>
      <c r="B46" s="1392"/>
      <c r="C46" s="438"/>
      <c r="D46" s="431"/>
      <c r="E46" s="59">
        <f>H46+R46+AL46+AK46</f>
        <v>0</v>
      </c>
      <c r="F46" s="410">
        <f t="shared" si="1"/>
        <v>0</v>
      </c>
      <c r="G46" s="285"/>
      <c r="H46" s="158"/>
      <c r="I46" s="669">
        <f t="shared" si="19"/>
        <v>0</v>
      </c>
      <c r="J46" s="881"/>
      <c r="K46" s="285"/>
      <c r="L46" s="158"/>
      <c r="M46" s="298"/>
      <c r="N46" s="297"/>
      <c r="O46" s="285"/>
      <c r="P46" s="367"/>
      <c r="Q46" s="279"/>
      <c r="R46" s="310"/>
      <c r="S46" s="375"/>
      <c r="T46" s="528"/>
      <c r="U46" s="310"/>
      <c r="V46" s="63"/>
      <c r="W46" s="357">
        <f t="shared" si="2"/>
        <v>0</v>
      </c>
      <c r="X46" s="382"/>
      <c r="Y46" s="153">
        <f>X46-W46</f>
        <v>0</v>
      </c>
      <c r="Z46" s="357">
        <f>X46-W46</f>
        <v>0</v>
      </c>
      <c r="AA46" s="310"/>
      <c r="AB46" s="63"/>
      <c r="AC46" s="360"/>
      <c r="AD46" s="279"/>
      <c r="AE46" s="63"/>
      <c r="AF46" s="360"/>
      <c r="AG46" s="279"/>
      <c r="AH46" s="63"/>
      <c r="AI46" s="360"/>
      <c r="AJ46" s="425"/>
      <c r="AK46" s="395"/>
      <c r="AL46" s="334">
        <v>0</v>
      </c>
      <c r="AM46" s="161">
        <f t="shared" si="17"/>
        <v>0</v>
      </c>
      <c r="AN46" s="1013">
        <f t="shared" si="5"/>
        <v>0</v>
      </c>
      <c r="AO46" s="338"/>
      <c r="AP46" s="162"/>
      <c r="AQ46" s="1019"/>
      <c r="AR46" s="324"/>
      <c r="AS46" s="162"/>
      <c r="AT46" s="339"/>
      <c r="AU46" s="540"/>
      <c r="AV46" s="324"/>
      <c r="AW46" s="162"/>
      <c r="AX46" s="339"/>
      <c r="AZ46" s="121" t="s">
        <v>237</v>
      </c>
      <c r="BA46" s="121" t="s">
        <v>197</v>
      </c>
      <c r="BG46" s="617"/>
      <c r="BH46" s="621">
        <f>AF46-BG46</f>
        <v>0</v>
      </c>
      <c r="BI46" s="617"/>
      <c r="BJ46" s="621"/>
      <c r="BM46" s="628">
        <f t="shared" si="18"/>
        <v>0</v>
      </c>
      <c r="BN46" s="628">
        <f t="shared" si="11"/>
        <v>0</v>
      </c>
      <c r="BO46" s="535">
        <f t="shared" si="14"/>
        <v>0</v>
      </c>
      <c r="BP46" s="533"/>
      <c r="BQ46" s="617"/>
      <c r="BR46" s="621">
        <f>AP46-BQ46</f>
        <v>0</v>
      </c>
      <c r="BS46" s="617"/>
      <c r="BT46" s="621"/>
    </row>
    <row r="47" spans="1:72" ht="31.5" x14ac:dyDescent="0.3">
      <c r="A47" s="437" t="s">
        <v>177</v>
      </c>
      <c r="B47" s="140"/>
      <c r="C47" s="977">
        <v>241</v>
      </c>
      <c r="D47" s="431"/>
      <c r="E47" s="59">
        <f>H47+R47+AL47+AK47</f>
        <v>0</v>
      </c>
      <c r="F47" s="410">
        <f t="shared" si="1"/>
        <v>0</v>
      </c>
      <c r="G47" s="285"/>
      <c r="H47" s="158"/>
      <c r="I47" s="669">
        <f t="shared" si="19"/>
        <v>0</v>
      </c>
      <c r="J47" s="881"/>
      <c r="K47" s="285"/>
      <c r="L47" s="158"/>
      <c r="M47" s="298"/>
      <c r="N47" s="297"/>
      <c r="O47" s="285"/>
      <c r="P47" s="367"/>
      <c r="Q47" s="279"/>
      <c r="R47" s="310"/>
      <c r="S47" s="375"/>
      <c r="T47" s="528"/>
      <c r="U47" s="310"/>
      <c r="V47" s="63"/>
      <c r="W47" s="357">
        <f t="shared" si="2"/>
        <v>0</v>
      </c>
      <c r="X47" s="382"/>
      <c r="Y47" s="153">
        <f>X47-W47</f>
        <v>0</v>
      </c>
      <c r="Z47" s="360"/>
      <c r="AA47" s="310"/>
      <c r="AB47" s="63"/>
      <c r="AC47" s="360"/>
      <c r="AD47" s="279"/>
      <c r="AE47" s="63"/>
      <c r="AF47" s="360"/>
      <c r="AG47" s="279"/>
      <c r="AH47" s="63"/>
      <c r="AI47" s="360"/>
      <c r="AJ47" s="425"/>
      <c r="AK47" s="395"/>
      <c r="AL47" s="334">
        <v>0</v>
      </c>
      <c r="AM47" s="161">
        <f t="shared" si="17"/>
        <v>0</v>
      </c>
      <c r="AN47" s="1013">
        <f t="shared" si="5"/>
        <v>0</v>
      </c>
      <c r="AO47" s="338"/>
      <c r="AP47" s="162"/>
      <c r="AQ47" s="1019"/>
      <c r="AR47" s="324"/>
      <c r="AS47" s="162"/>
      <c r="AT47" s="339"/>
      <c r="AU47" s="540"/>
      <c r="AV47" s="324"/>
      <c r="AW47" s="162"/>
      <c r="AX47" s="339"/>
      <c r="AZ47" s="141"/>
      <c r="BA47" s="122">
        <v>25000</v>
      </c>
      <c r="BB47" s="117" t="s">
        <v>234</v>
      </c>
      <c r="BG47" s="617"/>
      <c r="BH47" s="621">
        <f>AF47-BG47</f>
        <v>0</v>
      </c>
      <c r="BI47" s="617"/>
      <c r="BJ47" s="621"/>
      <c r="BM47" s="628">
        <f t="shared" si="18"/>
        <v>0</v>
      </c>
      <c r="BN47" s="628">
        <f t="shared" si="11"/>
        <v>0</v>
      </c>
      <c r="BO47" s="535">
        <f t="shared" si="14"/>
        <v>0</v>
      </c>
      <c r="BP47" s="533"/>
      <c r="BQ47" s="617"/>
      <c r="BR47" s="621">
        <f>AP47-BQ47</f>
        <v>0</v>
      </c>
      <c r="BS47" s="617"/>
      <c r="BT47" s="621"/>
    </row>
    <row r="48" spans="1:72" ht="15.75" customHeight="1" x14ac:dyDescent="0.3">
      <c r="A48" s="437" t="s">
        <v>178</v>
      </c>
      <c r="B48" s="140"/>
      <c r="C48" s="977">
        <v>244</v>
      </c>
      <c r="D48" s="431">
        <v>2406359.86</v>
      </c>
      <c r="E48" s="64">
        <f>H48+R48+AM48+AK48</f>
        <v>2406359.8600000003</v>
      </c>
      <c r="F48" s="410">
        <f t="shared" si="1"/>
        <v>0</v>
      </c>
      <c r="G48" s="285">
        <v>935479.38</v>
      </c>
      <c r="H48" s="158">
        <f>J48+L48+O48</f>
        <v>935479.38</v>
      </c>
      <c r="I48" s="669">
        <f t="shared" si="19"/>
        <v>0</v>
      </c>
      <c r="J48" s="881"/>
      <c r="K48" s="285">
        <v>717269.39</v>
      </c>
      <c r="L48" s="158">
        <v>717269.39</v>
      </c>
      <c r="M48" s="298">
        <f>L48-K48</f>
        <v>0</v>
      </c>
      <c r="N48" s="285">
        <v>218209.99</v>
      </c>
      <c r="O48" s="285">
        <v>218209.99</v>
      </c>
      <c r="P48" s="367">
        <f>O48-N48</f>
        <v>0</v>
      </c>
      <c r="Q48" s="279">
        <v>255973.67</v>
      </c>
      <c r="R48" s="310">
        <f>T48+V48+Y48+AB48+AE48+AH48</f>
        <v>255973.67</v>
      </c>
      <c r="S48" s="375">
        <f>R48-Q48</f>
        <v>0</v>
      </c>
      <c r="T48" s="528"/>
      <c r="U48" s="310"/>
      <c r="V48" s="63"/>
      <c r="W48" s="357">
        <f t="shared" si="2"/>
        <v>0</v>
      </c>
      <c r="X48" s="382">
        <v>210973.67</v>
      </c>
      <c r="Y48" s="63">
        <v>210973.67</v>
      </c>
      <c r="Z48" s="360"/>
      <c r="AA48" s="310">
        <v>45000</v>
      </c>
      <c r="AB48" s="63">
        <v>45000</v>
      </c>
      <c r="AC48" s="360">
        <f>AB48-AA48</f>
        <v>0</v>
      </c>
      <c r="AD48" s="279"/>
      <c r="AE48" s="63"/>
      <c r="AF48" s="360"/>
      <c r="AG48" s="279"/>
      <c r="AH48" s="63"/>
      <c r="AI48" s="360"/>
      <c r="AJ48" s="425"/>
      <c r="AK48" s="395"/>
      <c r="AL48" s="334">
        <v>1214906.8064000001</v>
      </c>
      <c r="AM48" s="161">
        <f t="shared" si="17"/>
        <v>1214906.81</v>
      </c>
      <c r="AN48" s="1013">
        <f t="shared" si="5"/>
        <v>3.599999938160181E-3</v>
      </c>
      <c r="AO48" s="338">
        <v>959906.8064</v>
      </c>
      <c r="AP48" s="162">
        <v>889902.56</v>
      </c>
      <c r="AQ48" s="1019">
        <f>AP48-AO48</f>
        <v>-70004.246399999945</v>
      </c>
      <c r="AR48" s="324">
        <v>255000</v>
      </c>
      <c r="AS48" s="162">
        <v>265603.01</v>
      </c>
      <c r="AT48" s="339">
        <f>AS48-AR48</f>
        <v>10603.010000000009</v>
      </c>
      <c r="AU48" s="540"/>
      <c r="AV48" s="324"/>
      <c r="AW48" s="162">
        <v>59401.24</v>
      </c>
      <c r="AX48" s="339">
        <f>AW48-AV48</f>
        <v>59401.24</v>
      </c>
      <c r="AZ48" s="122">
        <v>269900</v>
      </c>
      <c r="BA48" s="122">
        <f>-269900</f>
        <v>-269900</v>
      </c>
      <c r="BB48" s="117" t="s">
        <v>179</v>
      </c>
      <c r="BG48" s="617"/>
      <c r="BH48" s="621">
        <f>AE48-BG48</f>
        <v>0</v>
      </c>
      <c r="BI48" s="617">
        <v>212701.86</v>
      </c>
      <c r="BJ48" s="621">
        <f>AH48-BI48</f>
        <v>-212701.86</v>
      </c>
      <c r="BM48" s="629">
        <f t="shared" si="18"/>
        <v>1214906.8064000001</v>
      </c>
      <c r="BN48" s="629">
        <f t="shared" si="11"/>
        <v>963193.04999999993</v>
      </c>
      <c r="BO48" s="533">
        <f t="shared" si="14"/>
        <v>251713.75640000019</v>
      </c>
      <c r="BP48" s="533">
        <f>BM48</f>
        <v>1214906.8064000001</v>
      </c>
      <c r="BQ48" s="617">
        <v>750491.19</v>
      </c>
      <c r="BR48" s="621">
        <f>AO48-BQ48</f>
        <v>209415.61640000006</v>
      </c>
      <c r="BS48" s="617">
        <v>212701.86</v>
      </c>
      <c r="BT48" s="621">
        <f>AR48-BS48</f>
        <v>42298.140000000014</v>
      </c>
    </row>
    <row r="49" spans="1:74" ht="19.5" customHeight="1" x14ac:dyDescent="0.3">
      <c r="A49" s="437" t="s">
        <v>179</v>
      </c>
      <c r="B49" s="140"/>
      <c r="C49" s="977">
        <v>244</v>
      </c>
      <c r="D49" s="431">
        <v>161040</v>
      </c>
      <c r="E49" s="64">
        <f>H49+R49+AM49+AK49</f>
        <v>161040</v>
      </c>
      <c r="F49" s="411">
        <f t="shared" si="1"/>
        <v>0</v>
      </c>
      <c r="G49" s="285"/>
      <c r="H49" s="158"/>
      <c r="I49" s="669">
        <f t="shared" si="19"/>
        <v>0</v>
      </c>
      <c r="J49" s="881"/>
      <c r="K49" s="285"/>
      <c r="L49" s="158"/>
      <c r="M49" s="298"/>
      <c r="N49" s="285"/>
      <c r="O49" s="285"/>
      <c r="P49" s="367"/>
      <c r="Q49" s="279"/>
      <c r="R49" s="310"/>
      <c r="S49" s="375"/>
      <c r="T49" s="528"/>
      <c r="U49" s="310"/>
      <c r="V49" s="63"/>
      <c r="W49" s="357">
        <f t="shared" si="2"/>
        <v>0</v>
      </c>
      <c r="X49" s="382"/>
      <c r="Y49" s="63">
        <f t="shared" ref="Y49:Y65" si="40">X49-Z49</f>
        <v>0</v>
      </c>
      <c r="Z49" s="360">
        <f>X49-W49</f>
        <v>0</v>
      </c>
      <c r="AA49" s="310"/>
      <c r="AB49" s="63"/>
      <c r="AC49" s="360"/>
      <c r="AD49" s="279"/>
      <c r="AE49" s="63"/>
      <c r="AF49" s="360"/>
      <c r="AG49" s="279"/>
      <c r="AH49" s="63"/>
      <c r="AI49" s="360"/>
      <c r="AJ49" s="425"/>
      <c r="AK49" s="395"/>
      <c r="AL49" s="334">
        <v>161040</v>
      </c>
      <c r="AM49" s="161">
        <f t="shared" si="17"/>
        <v>161040</v>
      </c>
      <c r="AN49" s="1013">
        <f t="shared" si="5"/>
        <v>0</v>
      </c>
      <c r="AO49" s="338">
        <v>11040</v>
      </c>
      <c r="AP49" s="162">
        <v>111040</v>
      </c>
      <c r="AQ49" s="1019">
        <f t="shared" ref="AQ49:AQ67" si="41">AP49-AO49</f>
        <v>100000</v>
      </c>
      <c r="AR49" s="324">
        <v>150000</v>
      </c>
      <c r="AS49" s="162">
        <v>50000</v>
      </c>
      <c r="AT49" s="339">
        <f>AS49-AR49</f>
        <v>-100000</v>
      </c>
      <c r="AU49" s="540"/>
      <c r="AV49" s="324"/>
      <c r="AW49" s="162"/>
      <c r="AX49" s="339">
        <f>AW49-AV49</f>
        <v>0</v>
      </c>
      <c r="AZ49" s="111">
        <v>50000</v>
      </c>
      <c r="BA49" s="111">
        <v>845833.33</v>
      </c>
      <c r="BB49" s="117" t="s">
        <v>242</v>
      </c>
      <c r="BG49" s="617"/>
      <c r="BH49" s="621">
        <f t="shared" ref="BH49:BH50" si="42">AE49-BG49</f>
        <v>0</v>
      </c>
      <c r="BI49" s="617">
        <v>30772.66</v>
      </c>
      <c r="BJ49" s="621">
        <f t="shared" ref="BJ49:BJ61" si="43">AH49-BI49</f>
        <v>-30772.66</v>
      </c>
      <c r="BM49" s="629">
        <f t="shared" si="18"/>
        <v>161040</v>
      </c>
      <c r="BN49" s="629">
        <f t="shared" si="11"/>
        <v>39127.660000000003</v>
      </c>
      <c r="BO49" s="533">
        <f t="shared" si="14"/>
        <v>121912.34</v>
      </c>
      <c r="BP49" s="533">
        <f>BN49</f>
        <v>39127.660000000003</v>
      </c>
      <c r="BQ49" s="617">
        <v>8355</v>
      </c>
      <c r="BR49" s="621">
        <f t="shared" ref="BR49:BR50" si="44">AO49-BQ49</f>
        <v>2685</v>
      </c>
      <c r="BS49" s="617">
        <v>30772.66</v>
      </c>
      <c r="BT49" s="621">
        <f t="shared" ref="BT49:BT75" si="45">AR49-BS49</f>
        <v>119227.34</v>
      </c>
    </row>
    <row r="50" spans="1:74" ht="16.5" customHeight="1" x14ac:dyDescent="0.3">
      <c r="A50" s="437" t="s">
        <v>180</v>
      </c>
      <c r="B50" s="140"/>
      <c r="C50" s="977">
        <v>244</v>
      </c>
      <c r="D50" s="431">
        <v>45311602.850000001</v>
      </c>
      <c r="E50" s="64">
        <f>H50+R50+AM50+AK50</f>
        <v>43670973.980000004</v>
      </c>
      <c r="F50" s="411">
        <f t="shared" si="1"/>
        <v>-1640628.8699999973</v>
      </c>
      <c r="G50" s="285">
        <v>11180271.91</v>
      </c>
      <c r="H50" s="158">
        <f>J50+L50+O50</f>
        <v>11180271.91</v>
      </c>
      <c r="I50" s="669">
        <f t="shared" si="19"/>
        <v>0</v>
      </c>
      <c r="J50" s="881"/>
      <c r="K50" s="285">
        <v>7064216.5199999996</v>
      </c>
      <c r="L50" s="158">
        <v>7064216.5199999996</v>
      </c>
      <c r="M50" s="298">
        <f>L50-K50</f>
        <v>0</v>
      </c>
      <c r="N50" s="285">
        <v>4116055.39</v>
      </c>
      <c r="O50" s="285">
        <v>4116055.39</v>
      </c>
      <c r="P50" s="367">
        <f>O50-N50</f>
        <v>0</v>
      </c>
      <c r="Q50" s="279">
        <v>11762136.630000001</v>
      </c>
      <c r="R50" s="310">
        <f>T50+V50+Y50+AB50+AE50+AH50</f>
        <v>10121507.76</v>
      </c>
      <c r="S50" s="375">
        <f>R50-Q50</f>
        <v>-1640628.870000001</v>
      </c>
      <c r="T50" s="528"/>
      <c r="U50" s="310"/>
      <c r="V50" s="63"/>
      <c r="W50" s="357">
        <f t="shared" si="2"/>
        <v>0</v>
      </c>
      <c r="X50" s="382">
        <v>2604490.63</v>
      </c>
      <c r="Y50" s="63">
        <v>2604490.63</v>
      </c>
      <c r="Z50" s="360"/>
      <c r="AA50" s="310">
        <v>1571646</v>
      </c>
      <c r="AB50" s="63">
        <v>1571646</v>
      </c>
      <c r="AC50" s="360">
        <f>AB50-AA50</f>
        <v>0</v>
      </c>
      <c r="AD50" s="279"/>
      <c r="AE50" s="63"/>
      <c r="AF50" s="360"/>
      <c r="AG50" s="63">
        <v>7586000</v>
      </c>
      <c r="AH50" s="63">
        <f>6762521.52-817150.39</f>
        <v>5945371.1299999999</v>
      </c>
      <c r="AI50" s="360">
        <f>AH50-AG50</f>
        <v>-1640628.87</v>
      </c>
      <c r="AJ50" s="425"/>
      <c r="AK50" s="395"/>
      <c r="AL50" s="334">
        <v>22369194.312063538</v>
      </c>
      <c r="AM50" s="161">
        <f t="shared" si="17"/>
        <v>22369194.310000002</v>
      </c>
      <c r="AN50" s="1013">
        <f t="shared" si="5"/>
        <v>-2.0635351538658142E-3</v>
      </c>
      <c r="AO50" s="338">
        <v>20388264.312063538</v>
      </c>
      <c r="AP50" s="162">
        <v>19267792.300000001</v>
      </c>
      <c r="AQ50" s="1019">
        <f t="shared" si="41"/>
        <v>-1120472.0120635368</v>
      </c>
      <c r="AR50" s="324">
        <v>1980930</v>
      </c>
      <c r="AS50" s="162">
        <v>1980930</v>
      </c>
      <c r="AT50" s="339">
        <f>AS50-AR50</f>
        <v>0</v>
      </c>
      <c r="AU50" s="540"/>
      <c r="AV50" s="324"/>
      <c r="AW50" s="162">
        <v>1120472.01</v>
      </c>
      <c r="AX50" s="339">
        <f>AW50-AV50</f>
        <v>1120472.01</v>
      </c>
      <c r="AZ50" s="122">
        <f>-(AZ38+AZ48+AZ35)</f>
        <v>-2401129.66</v>
      </c>
      <c r="BB50" s="117" t="s">
        <v>180</v>
      </c>
      <c r="BG50" s="617"/>
      <c r="BH50" s="621">
        <f t="shared" si="42"/>
        <v>0</v>
      </c>
      <c r="BI50" s="617">
        <v>879775.94</v>
      </c>
      <c r="BJ50" s="621">
        <f t="shared" si="43"/>
        <v>5065595.1899999995</v>
      </c>
      <c r="BM50" s="629">
        <f t="shared" si="18"/>
        <v>22369194.312063538</v>
      </c>
      <c r="BN50" s="629">
        <f t="shared" si="11"/>
        <v>16781898.300000001</v>
      </c>
      <c r="BO50" s="533">
        <f t="shared" si="14"/>
        <v>5587296.0120635368</v>
      </c>
      <c r="BP50" s="533">
        <f>BN50</f>
        <v>16781898.300000001</v>
      </c>
      <c r="BQ50" s="617">
        <f>15377975.9+224146.46+300000</f>
        <v>15902122.360000001</v>
      </c>
      <c r="BR50" s="621">
        <f t="shared" si="44"/>
        <v>4486141.9520635363</v>
      </c>
      <c r="BS50" s="617">
        <v>879775.94</v>
      </c>
      <c r="BT50" s="621">
        <f t="shared" si="45"/>
        <v>1101154.06</v>
      </c>
    </row>
    <row r="51" spans="1:74" x14ac:dyDescent="0.3">
      <c r="A51" s="437" t="s">
        <v>181</v>
      </c>
      <c r="B51" s="140"/>
      <c r="C51" s="977">
        <v>244</v>
      </c>
      <c r="D51" s="431">
        <v>0</v>
      </c>
      <c r="E51" s="64">
        <f>H51+R51+AL51+AK51</f>
        <v>0</v>
      </c>
      <c r="F51" s="410">
        <f t="shared" si="1"/>
        <v>0</v>
      </c>
      <c r="G51" s="285"/>
      <c r="H51" s="158"/>
      <c r="I51" s="669">
        <f t="shared" si="19"/>
        <v>0</v>
      </c>
      <c r="J51" s="881"/>
      <c r="K51" s="285"/>
      <c r="L51" s="158"/>
      <c r="M51" s="298"/>
      <c r="N51" s="285"/>
      <c r="O51" s="285"/>
      <c r="P51" s="367"/>
      <c r="Q51" s="279"/>
      <c r="R51" s="310"/>
      <c r="S51" s="375"/>
      <c r="T51" s="528"/>
      <c r="U51" s="310"/>
      <c r="V51" s="63"/>
      <c r="W51" s="357">
        <f t="shared" si="2"/>
        <v>0</v>
      </c>
      <c r="X51" s="382"/>
      <c r="Y51" s="63">
        <f t="shared" si="40"/>
        <v>0</v>
      </c>
      <c r="Z51" s="360">
        <f>X51-W51</f>
        <v>0</v>
      </c>
      <c r="AA51" s="310"/>
      <c r="AB51" s="63"/>
      <c r="AC51" s="360"/>
      <c r="AD51" s="279"/>
      <c r="AE51" s="63"/>
      <c r="AF51" s="360"/>
      <c r="AG51" s="279"/>
      <c r="AH51" s="63"/>
      <c r="AI51" s="360">
        <f t="shared" ref="AI51:AI55" si="46">AH51-AG51</f>
        <v>0</v>
      </c>
      <c r="AJ51" s="425"/>
      <c r="AK51" s="395"/>
      <c r="AL51" s="334">
        <v>0</v>
      </c>
      <c r="AM51" s="161">
        <f t="shared" si="17"/>
        <v>0</v>
      </c>
      <c r="AN51" s="1013">
        <f t="shared" si="5"/>
        <v>0</v>
      </c>
      <c r="AO51" s="338">
        <v>0</v>
      </c>
      <c r="AP51" s="162">
        <v>0</v>
      </c>
      <c r="AQ51" s="1019">
        <f t="shared" si="41"/>
        <v>0</v>
      </c>
      <c r="AR51" s="324"/>
      <c r="AS51" s="162"/>
      <c r="AT51" s="339"/>
      <c r="AU51" s="540"/>
      <c r="AV51" s="324"/>
      <c r="AW51" s="162"/>
      <c r="AX51" s="339"/>
      <c r="AZ51" s="111">
        <v>23168167.190000001</v>
      </c>
      <c r="BA51" s="111">
        <v>2186471.81</v>
      </c>
      <c r="BB51" s="117" t="s">
        <v>243</v>
      </c>
      <c r="BG51" s="617"/>
      <c r="BH51" s="621">
        <f>AF51-BG51</f>
        <v>0</v>
      </c>
      <c r="BI51" s="617"/>
      <c r="BJ51" s="621">
        <f t="shared" si="43"/>
        <v>0</v>
      </c>
      <c r="BM51" s="629">
        <f t="shared" si="18"/>
        <v>0</v>
      </c>
      <c r="BN51" s="629">
        <f t="shared" si="11"/>
        <v>0</v>
      </c>
      <c r="BO51" s="533">
        <f t="shared" si="14"/>
        <v>0</v>
      </c>
      <c r="BP51" s="533"/>
      <c r="BQ51" s="617"/>
      <c r="BR51" s="621">
        <f>AP51-BQ51</f>
        <v>0</v>
      </c>
      <c r="BS51" s="617"/>
      <c r="BT51" s="621">
        <f t="shared" si="45"/>
        <v>0</v>
      </c>
    </row>
    <row r="52" spans="1:74" x14ac:dyDescent="0.3">
      <c r="A52" s="1417" t="s">
        <v>182</v>
      </c>
      <c r="B52" s="142"/>
      <c r="C52" s="1414">
        <v>243</v>
      </c>
      <c r="D52" s="431">
        <v>1003324908.2</v>
      </c>
      <c r="E52" s="64">
        <f t="shared" ref="E52:E59" si="47">H52+R52+AM52+AK52</f>
        <v>1253015908.2</v>
      </c>
      <c r="F52" s="411">
        <f t="shared" si="1"/>
        <v>249691000</v>
      </c>
      <c r="G52" s="285"/>
      <c r="H52" s="158"/>
      <c r="I52" s="669">
        <f t="shared" si="19"/>
        <v>0</v>
      </c>
      <c r="J52" s="883"/>
      <c r="K52" s="286"/>
      <c r="L52" s="158"/>
      <c r="M52" s="300"/>
      <c r="N52" s="286"/>
      <c r="O52" s="286"/>
      <c r="P52" s="368"/>
      <c r="Q52" s="279">
        <v>1003324908.2</v>
      </c>
      <c r="R52" s="310">
        <f>T52+V52+Y52+AB52+AE52+AH52</f>
        <v>1253015908.2</v>
      </c>
      <c r="S52" s="375">
        <f>R52-Q52</f>
        <v>249691000</v>
      </c>
      <c r="T52" s="528">
        <v>146375908.19999999</v>
      </c>
      <c r="U52" s="310">
        <v>856949000</v>
      </c>
      <c r="V52" s="63">
        <v>1106640000</v>
      </c>
      <c r="W52" s="360">
        <f t="shared" si="2"/>
        <v>249691000</v>
      </c>
      <c r="X52" s="382"/>
      <c r="Y52" s="63">
        <f t="shared" si="40"/>
        <v>0</v>
      </c>
      <c r="Z52" s="360"/>
      <c r="AA52" s="310"/>
      <c r="AB52" s="63"/>
      <c r="AC52" s="360"/>
      <c r="AD52" s="279"/>
      <c r="AE52" s="63"/>
      <c r="AF52" s="360"/>
      <c r="AG52" s="279"/>
      <c r="AH52" s="63"/>
      <c r="AI52" s="360">
        <f t="shared" si="46"/>
        <v>0</v>
      </c>
      <c r="AJ52" s="425"/>
      <c r="AK52" s="397"/>
      <c r="AL52" s="334">
        <v>0</v>
      </c>
      <c r="AM52" s="161">
        <f t="shared" si="17"/>
        <v>0</v>
      </c>
      <c r="AN52" s="1013">
        <f t="shared" si="5"/>
        <v>0</v>
      </c>
      <c r="AO52" s="340">
        <v>0</v>
      </c>
      <c r="AP52" s="162">
        <v>0</v>
      </c>
      <c r="AQ52" s="1019">
        <f t="shared" si="41"/>
        <v>0</v>
      </c>
      <c r="AR52" s="401"/>
      <c r="AS52" s="259"/>
      <c r="AT52" s="341"/>
      <c r="AU52" s="540"/>
      <c r="AV52" s="401"/>
      <c r="AW52" s="259"/>
      <c r="AX52" s="341"/>
      <c r="AZ52" s="111">
        <f>AL50-AZ51</f>
        <v>-798972.8779364638</v>
      </c>
      <c r="BG52" s="617"/>
      <c r="BH52" s="621">
        <f>AF52-BG52</f>
        <v>0</v>
      </c>
      <c r="BI52" s="617"/>
      <c r="BJ52" s="621">
        <f t="shared" si="43"/>
        <v>0</v>
      </c>
      <c r="BM52" s="629">
        <f t="shared" si="18"/>
        <v>0</v>
      </c>
      <c r="BN52" s="629">
        <f t="shared" si="11"/>
        <v>0</v>
      </c>
      <c r="BO52" s="533">
        <f t="shared" si="14"/>
        <v>0</v>
      </c>
      <c r="BP52" s="533"/>
      <c r="BQ52" s="617"/>
      <c r="BR52" s="621">
        <f>AP52-BQ52</f>
        <v>0</v>
      </c>
      <c r="BS52" s="617"/>
      <c r="BT52" s="621">
        <f t="shared" si="45"/>
        <v>0</v>
      </c>
    </row>
    <row r="53" spans="1:74" s="145" customFormat="1" ht="19.5" hidden="1" customHeight="1" x14ac:dyDescent="0.3">
      <c r="A53" s="1418"/>
      <c r="B53" s="143"/>
      <c r="C53" s="1415"/>
      <c r="D53" s="432">
        <v>0</v>
      </c>
      <c r="E53" s="64">
        <f t="shared" si="47"/>
        <v>0</v>
      </c>
      <c r="F53" s="411">
        <f t="shared" si="1"/>
        <v>0</v>
      </c>
      <c r="G53" s="285"/>
      <c r="H53" s="158"/>
      <c r="I53" s="669">
        <f t="shared" si="19"/>
        <v>0</v>
      </c>
      <c r="J53" s="884"/>
      <c r="K53" s="287"/>
      <c r="L53" s="158"/>
      <c r="M53" s="302"/>
      <c r="N53" s="287"/>
      <c r="O53" s="287"/>
      <c r="P53" s="369"/>
      <c r="Q53" s="279">
        <v>0</v>
      </c>
      <c r="R53" s="310">
        <f t="shared" ref="R53:R66" si="48">T53+V53+Y53+AB53+AE53+AH53</f>
        <v>0</v>
      </c>
      <c r="S53" s="375">
        <f t="shared" ref="S53:S56" si="49">R53-Q53</f>
        <v>0</v>
      </c>
      <c r="T53" s="529"/>
      <c r="U53" s="523"/>
      <c r="V53" s="163"/>
      <c r="W53" s="360">
        <f t="shared" si="2"/>
        <v>0</v>
      </c>
      <c r="X53" s="384"/>
      <c r="Y53" s="63">
        <f t="shared" si="40"/>
        <v>0</v>
      </c>
      <c r="Z53" s="360">
        <f>X53-W53</f>
        <v>0</v>
      </c>
      <c r="AA53" s="523"/>
      <c r="AB53" s="163"/>
      <c r="AC53" s="361"/>
      <c r="AD53" s="280"/>
      <c r="AE53" s="163"/>
      <c r="AF53" s="361"/>
      <c r="AG53" s="280"/>
      <c r="AH53" s="163"/>
      <c r="AI53" s="360">
        <f t="shared" si="46"/>
        <v>0</v>
      </c>
      <c r="AJ53" s="427"/>
      <c r="AK53" s="398"/>
      <c r="AL53" s="334">
        <v>0</v>
      </c>
      <c r="AM53" s="161">
        <f t="shared" si="17"/>
        <v>0</v>
      </c>
      <c r="AN53" s="1013">
        <f t="shared" si="5"/>
        <v>0</v>
      </c>
      <c r="AO53" s="342">
        <v>0</v>
      </c>
      <c r="AP53" s="162">
        <v>0</v>
      </c>
      <c r="AQ53" s="1019">
        <f t="shared" si="41"/>
        <v>0</v>
      </c>
      <c r="AR53" s="402"/>
      <c r="AS53" s="262"/>
      <c r="AT53" s="343"/>
      <c r="AU53" s="544"/>
      <c r="AV53" s="402"/>
      <c r="AW53" s="262"/>
      <c r="AX53" s="343"/>
      <c r="BG53" s="617"/>
      <c r="BH53" s="621">
        <f>AF53-BG53</f>
        <v>0</v>
      </c>
      <c r="BI53" s="617"/>
      <c r="BJ53" s="621">
        <f t="shared" si="43"/>
        <v>0</v>
      </c>
      <c r="BM53" s="629">
        <f t="shared" si="18"/>
        <v>0</v>
      </c>
      <c r="BN53" s="629">
        <f t="shared" si="11"/>
        <v>0</v>
      </c>
      <c r="BO53" s="533">
        <f t="shared" si="14"/>
        <v>0</v>
      </c>
      <c r="BP53" s="533"/>
      <c r="BQ53" s="617"/>
      <c r="BR53" s="621">
        <f>AP53-BQ53</f>
        <v>0</v>
      </c>
      <c r="BS53" s="617"/>
      <c r="BT53" s="621">
        <f t="shared" si="45"/>
        <v>0</v>
      </c>
    </row>
    <row r="54" spans="1:74" s="145" customFormat="1" ht="19.5" hidden="1" customHeight="1" x14ac:dyDescent="0.3">
      <c r="A54" s="1418"/>
      <c r="B54" s="143"/>
      <c r="C54" s="1416"/>
      <c r="D54" s="432">
        <v>0</v>
      </c>
      <c r="E54" s="64">
        <f t="shared" si="47"/>
        <v>0</v>
      </c>
      <c r="F54" s="411">
        <f t="shared" si="1"/>
        <v>0</v>
      </c>
      <c r="G54" s="285"/>
      <c r="H54" s="158"/>
      <c r="I54" s="669">
        <f t="shared" si="19"/>
        <v>0</v>
      </c>
      <c r="J54" s="884"/>
      <c r="K54" s="287"/>
      <c r="L54" s="158"/>
      <c r="M54" s="302"/>
      <c r="N54" s="287"/>
      <c r="O54" s="287"/>
      <c r="P54" s="369"/>
      <c r="Q54" s="279">
        <v>0</v>
      </c>
      <c r="R54" s="310">
        <f t="shared" si="48"/>
        <v>0</v>
      </c>
      <c r="S54" s="375">
        <f t="shared" si="49"/>
        <v>0</v>
      </c>
      <c r="T54" s="529"/>
      <c r="U54" s="523"/>
      <c r="V54" s="163"/>
      <c r="W54" s="360">
        <f t="shared" si="2"/>
        <v>0</v>
      </c>
      <c r="X54" s="384"/>
      <c r="Y54" s="63">
        <f t="shared" si="40"/>
        <v>0</v>
      </c>
      <c r="Z54" s="360">
        <f>X54-W54</f>
        <v>0</v>
      </c>
      <c r="AA54" s="523"/>
      <c r="AB54" s="163"/>
      <c r="AC54" s="361"/>
      <c r="AD54" s="280"/>
      <c r="AE54" s="163"/>
      <c r="AF54" s="361"/>
      <c r="AG54" s="280"/>
      <c r="AH54" s="163"/>
      <c r="AI54" s="360">
        <f t="shared" si="46"/>
        <v>0</v>
      </c>
      <c r="AJ54" s="427"/>
      <c r="AK54" s="398"/>
      <c r="AL54" s="334">
        <v>0</v>
      </c>
      <c r="AM54" s="161">
        <f t="shared" si="17"/>
        <v>0</v>
      </c>
      <c r="AN54" s="1013">
        <f t="shared" si="5"/>
        <v>0</v>
      </c>
      <c r="AO54" s="342">
        <v>0</v>
      </c>
      <c r="AP54" s="162">
        <v>0</v>
      </c>
      <c r="AQ54" s="1019">
        <f t="shared" si="41"/>
        <v>0</v>
      </c>
      <c r="AR54" s="402"/>
      <c r="AS54" s="262"/>
      <c r="AT54" s="343"/>
      <c r="AU54" s="544"/>
      <c r="AV54" s="402"/>
      <c r="AW54" s="262"/>
      <c r="AX54" s="343"/>
      <c r="AZ54" s="111"/>
      <c r="BA54" s="146"/>
      <c r="BB54" s="117" t="s">
        <v>239</v>
      </c>
      <c r="BC54" s="117"/>
      <c r="BD54" s="117"/>
      <c r="BE54" s="117"/>
      <c r="BF54" s="117"/>
      <c r="BG54" s="617"/>
      <c r="BH54" s="621">
        <f>AF54-BG54</f>
        <v>0</v>
      </c>
      <c r="BI54" s="617"/>
      <c r="BJ54" s="621">
        <f t="shared" si="43"/>
        <v>0</v>
      </c>
      <c r="BK54" s="117"/>
      <c r="BL54" s="117"/>
      <c r="BM54" s="629">
        <f t="shared" si="18"/>
        <v>0</v>
      </c>
      <c r="BN54" s="629">
        <f t="shared" si="11"/>
        <v>0</v>
      </c>
      <c r="BO54" s="533">
        <f t="shared" si="14"/>
        <v>0</v>
      </c>
      <c r="BP54" s="533"/>
      <c r="BQ54" s="617"/>
      <c r="BR54" s="621">
        <f>AP54-BQ54</f>
        <v>0</v>
      </c>
      <c r="BS54" s="617"/>
      <c r="BT54" s="621">
        <f t="shared" si="45"/>
        <v>0</v>
      </c>
    </row>
    <row r="55" spans="1:74" ht="19.5" customHeight="1" x14ac:dyDescent="0.3">
      <c r="A55" s="1419"/>
      <c r="B55" s="147"/>
      <c r="C55" s="444">
        <v>244</v>
      </c>
      <c r="D55" s="431">
        <v>54335280.240000002</v>
      </c>
      <c r="E55" s="64">
        <f t="shared" si="47"/>
        <v>92982009.11999999</v>
      </c>
      <c r="F55" s="411">
        <f t="shared" si="1"/>
        <v>38646728.879999988</v>
      </c>
      <c r="G55" s="285">
        <v>6515818.2999999998</v>
      </c>
      <c r="H55" s="158">
        <f>J55+L55+O55</f>
        <v>6515818.2999999998</v>
      </c>
      <c r="I55" s="669">
        <f t="shared" si="19"/>
        <v>0</v>
      </c>
      <c r="J55" s="881"/>
      <c r="K55" s="285">
        <v>3934762.54</v>
      </c>
      <c r="L55" s="158">
        <v>3934762.54</v>
      </c>
      <c r="M55" s="298">
        <f>L55-K55</f>
        <v>0</v>
      </c>
      <c r="N55" s="285">
        <v>2581055.7599999998</v>
      </c>
      <c r="O55" s="285">
        <v>2581055.7599999998</v>
      </c>
      <c r="P55" s="367">
        <f>O55-N55</f>
        <v>0</v>
      </c>
      <c r="Q55" s="279">
        <v>4671847.25</v>
      </c>
      <c r="R55" s="310">
        <f t="shared" si="48"/>
        <v>43318576.129999995</v>
      </c>
      <c r="S55" s="375">
        <f t="shared" si="49"/>
        <v>38646728.879999995</v>
      </c>
      <c r="T55" s="528">
        <v>429259.19</v>
      </c>
      <c r="U55" s="310"/>
      <c r="V55" s="1068">
        <f>28582600+9240650.4</f>
        <v>37823250.399999999</v>
      </c>
      <c r="W55" s="360">
        <f t="shared" si="2"/>
        <v>37823250.399999999</v>
      </c>
      <c r="X55" s="382">
        <v>978752.37</v>
      </c>
      <c r="Y55" s="63">
        <f>978752.36+0.01</f>
        <v>978752.37</v>
      </c>
      <c r="Z55" s="360"/>
      <c r="AA55" s="310">
        <v>1687314.17</v>
      </c>
      <c r="AB55" s="63">
        <v>1687314.17</v>
      </c>
      <c r="AC55" s="360">
        <f>AB55-AA55</f>
        <v>0</v>
      </c>
      <c r="AD55" s="279"/>
      <c r="AE55" s="63"/>
      <c r="AF55" s="360"/>
      <c r="AG55" s="279">
        <v>1576521.5200000003</v>
      </c>
      <c r="AH55" s="63">
        <v>2400000</v>
      </c>
      <c r="AI55" s="360">
        <f t="shared" si="46"/>
        <v>823478.47999999975</v>
      </c>
      <c r="AJ55" s="425"/>
      <c r="AK55" s="395"/>
      <c r="AL55" s="334">
        <v>43147614.686000004</v>
      </c>
      <c r="AM55" s="161">
        <f t="shared" si="17"/>
        <v>43147614.689999998</v>
      </c>
      <c r="AN55" s="1013">
        <f t="shared" si="5"/>
        <v>3.9999932050704956E-3</v>
      </c>
      <c r="AO55" s="338">
        <v>38155862.186000004</v>
      </c>
      <c r="AP55" s="162">
        <v>38155862.189999998</v>
      </c>
      <c r="AQ55" s="1019">
        <f t="shared" si="41"/>
        <v>3.9999932050704956E-3</v>
      </c>
      <c r="AR55" s="324">
        <v>4991752.5</v>
      </c>
      <c r="AS55" s="162">
        <v>4289138.08</v>
      </c>
      <c r="AT55" s="339">
        <f>AS55-AR55</f>
        <v>-702614.41999999993</v>
      </c>
      <c r="AU55" s="540"/>
      <c r="AV55" s="324"/>
      <c r="AW55" s="162">
        <v>702614.42</v>
      </c>
      <c r="AX55" s="339">
        <f>AW55-AV55</f>
        <v>702614.42</v>
      </c>
      <c r="AZ55" s="111">
        <v>11260837.890000001</v>
      </c>
      <c r="BA55" s="111">
        <v>2931349.03</v>
      </c>
      <c r="BB55" s="117" t="s">
        <v>238</v>
      </c>
      <c r="BG55" s="617"/>
      <c r="BH55" s="621">
        <f>AE55-BG55</f>
        <v>0</v>
      </c>
      <c r="BI55" s="617">
        <v>1302967.3999999999</v>
      </c>
      <c r="BJ55" s="621">
        <f t="shared" si="43"/>
        <v>1097032.6000000001</v>
      </c>
      <c r="BM55" s="629">
        <f t="shared" si="18"/>
        <v>43147614.686000004</v>
      </c>
      <c r="BN55" s="629">
        <f t="shared" ref="BN55:BN74" si="50">BQ55+BS55</f>
        <v>8810001.3200000003</v>
      </c>
      <c r="BO55" s="533">
        <f t="shared" si="14"/>
        <v>34337613.366000004</v>
      </c>
      <c r="BP55" s="533">
        <f>BN55</f>
        <v>8810001.3200000003</v>
      </c>
      <c r="BQ55" s="617">
        <f>7007033.92+500000</f>
        <v>7507033.9199999999</v>
      </c>
      <c r="BR55" s="621">
        <f>AO55-BQ55</f>
        <v>30648828.266000003</v>
      </c>
      <c r="BS55" s="617">
        <v>1302967.3999999999</v>
      </c>
      <c r="BT55" s="621">
        <f t="shared" si="45"/>
        <v>3688785.1</v>
      </c>
    </row>
    <row r="56" spans="1:74" ht="19.5" customHeight="1" x14ac:dyDescent="0.3">
      <c r="A56" s="1417" t="s">
        <v>183</v>
      </c>
      <c r="B56" s="148"/>
      <c r="C56" s="1414">
        <v>243</v>
      </c>
      <c r="D56" s="431">
        <v>52389110</v>
      </c>
      <c r="E56" s="64">
        <f t="shared" si="47"/>
        <v>115847257.70999999</v>
      </c>
      <c r="F56" s="411">
        <f t="shared" si="1"/>
        <v>63458147.709999993</v>
      </c>
      <c r="G56" s="285"/>
      <c r="H56" s="158"/>
      <c r="I56" s="669">
        <f t="shared" si="19"/>
        <v>0</v>
      </c>
      <c r="J56" s="883"/>
      <c r="K56" s="286"/>
      <c r="L56" s="158"/>
      <c r="M56" s="300"/>
      <c r="N56" s="286"/>
      <c r="O56" s="286"/>
      <c r="P56" s="368"/>
      <c r="Q56" s="279">
        <v>52389110</v>
      </c>
      <c r="R56" s="310">
        <f t="shared" si="48"/>
        <v>115847257.70999999</v>
      </c>
      <c r="S56" s="375">
        <f t="shared" si="49"/>
        <v>63458147.709999993</v>
      </c>
      <c r="T56" s="528">
        <v>4389110</v>
      </c>
      <c r="U56" s="310">
        <v>48000000</v>
      </c>
      <c r="V56" s="63">
        <v>111458147.70999999</v>
      </c>
      <c r="W56" s="360">
        <f t="shared" si="2"/>
        <v>63458147.709999993</v>
      </c>
      <c r="X56" s="382"/>
      <c r="Y56" s="63"/>
      <c r="Z56" s="360"/>
      <c r="AA56" s="310"/>
      <c r="AB56" s="63"/>
      <c r="AC56" s="360"/>
      <c r="AD56" s="279"/>
      <c r="AE56" s="63"/>
      <c r="AF56" s="360"/>
      <c r="AG56" s="279"/>
      <c r="AH56" s="63"/>
      <c r="AI56" s="360"/>
      <c r="AJ56" s="425"/>
      <c r="AK56" s="397"/>
      <c r="AL56" s="334">
        <v>0</v>
      </c>
      <c r="AM56" s="161">
        <f t="shared" si="17"/>
        <v>0</v>
      </c>
      <c r="AN56" s="1013">
        <f t="shared" si="5"/>
        <v>0</v>
      </c>
      <c r="AO56" s="340">
        <v>0</v>
      </c>
      <c r="AP56" s="162">
        <v>0</v>
      </c>
      <c r="AQ56" s="1019">
        <f t="shared" si="41"/>
        <v>0</v>
      </c>
      <c r="AR56" s="401"/>
      <c r="AS56" s="259"/>
      <c r="AT56" s="341"/>
      <c r="AU56" s="540"/>
      <c r="AV56" s="401"/>
      <c r="AW56" s="259"/>
      <c r="AX56" s="341"/>
      <c r="BG56" s="617"/>
      <c r="BH56" s="621">
        <f>AF56-BG56</f>
        <v>0</v>
      </c>
      <c r="BI56" s="617"/>
      <c r="BJ56" s="621">
        <f t="shared" si="43"/>
        <v>0</v>
      </c>
      <c r="BM56" s="629">
        <f t="shared" si="18"/>
        <v>0</v>
      </c>
      <c r="BN56" s="629">
        <f t="shared" si="50"/>
        <v>0</v>
      </c>
      <c r="BO56" s="533">
        <f t="shared" si="14"/>
        <v>0</v>
      </c>
      <c r="BP56" s="533"/>
      <c r="BQ56" s="617"/>
      <c r="BR56" s="621">
        <f>AP56-BQ56</f>
        <v>0</v>
      </c>
      <c r="BS56" s="617"/>
      <c r="BT56" s="621">
        <f t="shared" si="45"/>
        <v>0</v>
      </c>
    </row>
    <row r="57" spans="1:74" s="145" customFormat="1" ht="18.75" hidden="1" customHeight="1" x14ac:dyDescent="0.3">
      <c r="A57" s="1418"/>
      <c r="B57" s="149"/>
      <c r="C57" s="1415"/>
      <c r="D57" s="432">
        <v>0</v>
      </c>
      <c r="E57" s="64">
        <f t="shared" si="47"/>
        <v>0</v>
      </c>
      <c r="F57" s="411">
        <f t="shared" si="1"/>
        <v>0</v>
      </c>
      <c r="G57" s="285"/>
      <c r="H57" s="158"/>
      <c r="I57" s="669">
        <f t="shared" si="19"/>
        <v>0</v>
      </c>
      <c r="J57" s="884"/>
      <c r="K57" s="287"/>
      <c r="L57" s="158"/>
      <c r="M57" s="302"/>
      <c r="N57" s="287"/>
      <c r="O57" s="287"/>
      <c r="P57" s="369"/>
      <c r="Q57" s="279">
        <v>0</v>
      </c>
      <c r="R57" s="310">
        <f t="shared" si="48"/>
        <v>0</v>
      </c>
      <c r="S57" s="375">
        <f t="shared" ref="S57:S59" si="51">R57-Q57</f>
        <v>0</v>
      </c>
      <c r="T57" s="529"/>
      <c r="U57" s="523"/>
      <c r="V57" s="163"/>
      <c r="W57" s="360">
        <f t="shared" si="2"/>
        <v>0</v>
      </c>
      <c r="X57" s="384"/>
      <c r="Y57" s="63">
        <f t="shared" si="40"/>
        <v>0</v>
      </c>
      <c r="Z57" s="360">
        <f>X57-W57</f>
        <v>0</v>
      </c>
      <c r="AA57" s="523"/>
      <c r="AB57" s="163"/>
      <c r="AC57" s="361"/>
      <c r="AD57" s="280"/>
      <c r="AE57" s="163"/>
      <c r="AF57" s="361"/>
      <c r="AG57" s="280"/>
      <c r="AH57" s="163"/>
      <c r="AI57" s="361"/>
      <c r="AJ57" s="427"/>
      <c r="AK57" s="398"/>
      <c r="AL57" s="334">
        <v>0</v>
      </c>
      <c r="AM57" s="161">
        <f t="shared" si="17"/>
        <v>0</v>
      </c>
      <c r="AN57" s="1013">
        <f t="shared" si="5"/>
        <v>0</v>
      </c>
      <c r="AO57" s="342">
        <v>0</v>
      </c>
      <c r="AP57" s="162">
        <v>0</v>
      </c>
      <c r="AQ57" s="1019">
        <f t="shared" si="41"/>
        <v>0</v>
      </c>
      <c r="AR57" s="402"/>
      <c r="AS57" s="262"/>
      <c r="AT57" s="343"/>
      <c r="AU57" s="544"/>
      <c r="AV57" s="402"/>
      <c r="AW57" s="262"/>
      <c r="AX57" s="343"/>
      <c r="BG57" s="617"/>
      <c r="BH57" s="621">
        <f>AF57-BG57</f>
        <v>0</v>
      </c>
      <c r="BI57" s="617"/>
      <c r="BJ57" s="621">
        <f t="shared" si="43"/>
        <v>0</v>
      </c>
      <c r="BM57" s="629">
        <f t="shared" si="18"/>
        <v>0</v>
      </c>
      <c r="BN57" s="629">
        <f t="shared" si="50"/>
        <v>0</v>
      </c>
      <c r="BO57" s="533">
        <f t="shared" si="14"/>
        <v>0</v>
      </c>
      <c r="BP57" s="533"/>
      <c r="BQ57" s="617"/>
      <c r="BR57" s="621">
        <f>AP57-BQ57</f>
        <v>0</v>
      </c>
      <c r="BS57" s="617"/>
      <c r="BT57" s="621">
        <f t="shared" si="45"/>
        <v>0</v>
      </c>
    </row>
    <row r="58" spans="1:74" s="145" customFormat="1" ht="33.75" hidden="1" customHeight="1" x14ac:dyDescent="0.3">
      <c r="A58" s="1418"/>
      <c r="B58" s="149"/>
      <c r="C58" s="1416"/>
      <c r="D58" s="432">
        <v>0</v>
      </c>
      <c r="E58" s="64">
        <f t="shared" si="47"/>
        <v>0</v>
      </c>
      <c r="F58" s="411">
        <f t="shared" si="1"/>
        <v>0</v>
      </c>
      <c r="G58" s="285"/>
      <c r="H58" s="158"/>
      <c r="I58" s="669">
        <f t="shared" si="19"/>
        <v>0</v>
      </c>
      <c r="J58" s="884"/>
      <c r="K58" s="287"/>
      <c r="L58" s="158"/>
      <c r="M58" s="302"/>
      <c r="N58" s="287"/>
      <c r="O58" s="287"/>
      <c r="P58" s="369"/>
      <c r="Q58" s="279">
        <v>0</v>
      </c>
      <c r="R58" s="310">
        <f t="shared" si="48"/>
        <v>0</v>
      </c>
      <c r="S58" s="375">
        <f t="shared" si="51"/>
        <v>0</v>
      </c>
      <c r="T58" s="529"/>
      <c r="U58" s="523"/>
      <c r="V58" s="163"/>
      <c r="W58" s="360">
        <f t="shared" si="2"/>
        <v>0</v>
      </c>
      <c r="X58" s="384"/>
      <c r="Y58" s="63">
        <f t="shared" si="40"/>
        <v>0</v>
      </c>
      <c r="Z58" s="360">
        <f>X58-W58</f>
        <v>0</v>
      </c>
      <c r="AA58" s="523"/>
      <c r="AB58" s="163"/>
      <c r="AC58" s="361"/>
      <c r="AD58" s="280"/>
      <c r="AE58" s="163"/>
      <c r="AF58" s="361"/>
      <c r="AG58" s="280"/>
      <c r="AH58" s="163"/>
      <c r="AI58" s="361"/>
      <c r="AJ58" s="427"/>
      <c r="AK58" s="398"/>
      <c r="AL58" s="334">
        <v>0</v>
      </c>
      <c r="AM58" s="161">
        <f t="shared" si="17"/>
        <v>0</v>
      </c>
      <c r="AN58" s="1013">
        <f t="shared" si="5"/>
        <v>0</v>
      </c>
      <c r="AO58" s="342">
        <v>0</v>
      </c>
      <c r="AP58" s="162">
        <v>0</v>
      </c>
      <c r="AQ58" s="1019">
        <f t="shared" si="41"/>
        <v>0</v>
      </c>
      <c r="AR58" s="402"/>
      <c r="AS58" s="262"/>
      <c r="AT58" s="343"/>
      <c r="AU58" s="544"/>
      <c r="AV58" s="402"/>
      <c r="AW58" s="262"/>
      <c r="AX58" s="343"/>
      <c r="BG58" s="617"/>
      <c r="BH58" s="621">
        <f>AF58-BG58</f>
        <v>0</v>
      </c>
      <c r="BI58" s="617"/>
      <c r="BJ58" s="621">
        <f t="shared" si="43"/>
        <v>0</v>
      </c>
      <c r="BM58" s="629">
        <f t="shared" si="18"/>
        <v>0</v>
      </c>
      <c r="BN58" s="629">
        <f t="shared" si="50"/>
        <v>0</v>
      </c>
      <c r="BO58" s="533">
        <f t="shared" si="14"/>
        <v>0</v>
      </c>
      <c r="BP58" s="533"/>
      <c r="BQ58" s="617"/>
      <c r="BR58" s="621">
        <f>AP58-BQ58</f>
        <v>0</v>
      </c>
      <c r="BS58" s="617"/>
      <c r="BT58" s="621">
        <f t="shared" si="45"/>
        <v>0</v>
      </c>
    </row>
    <row r="59" spans="1:74" ht="19.5" customHeight="1" x14ac:dyDescent="0.3">
      <c r="A59" s="1419"/>
      <c r="B59" s="140"/>
      <c r="C59" s="444">
        <v>244</v>
      </c>
      <c r="D59" s="431">
        <v>321089173.20999998</v>
      </c>
      <c r="E59" s="64">
        <f t="shared" si="47"/>
        <v>865486725.5</v>
      </c>
      <c r="F59" s="411">
        <f t="shared" si="1"/>
        <v>544397552.28999996</v>
      </c>
      <c r="G59" s="285">
        <v>3819615.4699999997</v>
      </c>
      <c r="H59" s="158">
        <f>J59+L59+O59</f>
        <v>3819615.4699999997</v>
      </c>
      <c r="I59" s="669">
        <f t="shared" si="19"/>
        <v>0</v>
      </c>
      <c r="J59" s="881"/>
      <c r="K59" s="285">
        <v>2389277.44</v>
      </c>
      <c r="L59" s="158">
        <v>2389277.44</v>
      </c>
      <c r="M59" s="298">
        <f>L59-K59</f>
        <v>0</v>
      </c>
      <c r="N59" s="285">
        <v>1430338.03</v>
      </c>
      <c r="O59" s="285">
        <v>1430338.03</v>
      </c>
      <c r="P59" s="367">
        <f>O59-N59</f>
        <v>0</v>
      </c>
      <c r="Q59" s="279">
        <v>297440872.04000002</v>
      </c>
      <c r="R59" s="310">
        <f t="shared" si="48"/>
        <v>841838424.32999992</v>
      </c>
      <c r="S59" s="375">
        <f t="shared" si="51"/>
        <v>544397552.28999996</v>
      </c>
      <c r="T59" s="528">
        <f>143149690.39</f>
        <v>143149690.38999999</v>
      </c>
      <c r="U59" s="310">
        <v>153500000</v>
      </c>
      <c r="V59" s="63">
        <v>697897552.28999996</v>
      </c>
      <c r="W59" s="360">
        <f>V59-U59</f>
        <v>544397552.28999996</v>
      </c>
      <c r="X59" s="382">
        <v>733581.65</v>
      </c>
      <c r="Y59" s="63">
        <v>733581.65</v>
      </c>
      <c r="Z59" s="360"/>
      <c r="AA59" s="310">
        <v>57600</v>
      </c>
      <c r="AB59" s="63">
        <v>57600</v>
      </c>
      <c r="AC59" s="360">
        <f>AB59-AA59</f>
        <v>0</v>
      </c>
      <c r="AD59" s="279"/>
      <c r="AE59" s="63"/>
      <c r="AF59" s="360"/>
      <c r="AG59" s="279"/>
      <c r="AH59" s="63"/>
      <c r="AI59" s="360"/>
      <c r="AJ59" s="425"/>
      <c r="AK59" s="395">
        <v>50000</v>
      </c>
      <c r="AL59" s="334">
        <v>19778685.696000002</v>
      </c>
      <c r="AM59" s="161">
        <f t="shared" si="17"/>
        <v>19778685.699999999</v>
      </c>
      <c r="AN59" s="1013">
        <f t="shared" si="5"/>
        <v>3.9999969303607941E-3</v>
      </c>
      <c r="AO59" s="338">
        <v>16879285.696000002</v>
      </c>
      <c r="AP59" s="162">
        <v>18130316.859999999</v>
      </c>
      <c r="AQ59" s="1019">
        <f t="shared" si="41"/>
        <v>1251031.1639999971</v>
      </c>
      <c r="AR59" s="324">
        <v>2899400</v>
      </c>
      <c r="AS59" s="162">
        <v>1259002.3700000001</v>
      </c>
      <c r="AT59" s="339">
        <f>AS59-AR59</f>
        <v>-1640397.63</v>
      </c>
      <c r="AU59" s="540"/>
      <c r="AV59" s="324"/>
      <c r="AW59" s="162">
        <v>389366.47</v>
      </c>
      <c r="AX59" s="339">
        <f>AW59-AV59</f>
        <v>389366.47</v>
      </c>
      <c r="BG59" s="617"/>
      <c r="BH59" s="621">
        <f>AE59-BG59</f>
        <v>0</v>
      </c>
      <c r="BI59" s="617">
        <v>6240714.6699999999</v>
      </c>
      <c r="BJ59" s="621">
        <f t="shared" si="43"/>
        <v>-6240714.6699999999</v>
      </c>
      <c r="BM59" s="629">
        <f t="shared" si="18"/>
        <v>19778685.696000002</v>
      </c>
      <c r="BN59" s="629">
        <f t="shared" si="50"/>
        <v>15301417.92</v>
      </c>
      <c r="BO59" s="533">
        <f t="shared" si="14"/>
        <v>4477267.7760000024</v>
      </c>
      <c r="BP59" s="533">
        <f>BN59</f>
        <v>15301417.92</v>
      </c>
      <c r="BQ59" s="617">
        <f>10892760.59-2332057.34+500000</f>
        <v>9060703.25</v>
      </c>
      <c r="BR59" s="621">
        <f>AO59-BQ59</f>
        <v>7818582.4460000023</v>
      </c>
      <c r="BS59" s="617">
        <v>6240714.6699999999</v>
      </c>
      <c r="BT59" s="621">
        <f t="shared" si="45"/>
        <v>-3341314.67</v>
      </c>
      <c r="BV59" s="117">
        <f>2595807.22+2416357.34</f>
        <v>5012164.5600000005</v>
      </c>
    </row>
    <row r="60" spans="1:74" ht="19.5" customHeight="1" x14ac:dyDescent="0.3">
      <c r="A60" s="1417" t="s">
        <v>184</v>
      </c>
      <c r="B60" s="547"/>
      <c r="C60" s="444">
        <v>243</v>
      </c>
      <c r="D60" s="431">
        <v>0</v>
      </c>
      <c r="E60" s="64">
        <f>H60+R60+AL60+AK60</f>
        <v>0</v>
      </c>
      <c r="F60" s="411">
        <f t="shared" si="1"/>
        <v>0</v>
      </c>
      <c r="G60" s="285"/>
      <c r="H60" s="158"/>
      <c r="I60" s="669">
        <f t="shared" si="19"/>
        <v>0</v>
      </c>
      <c r="J60" s="881"/>
      <c r="K60" s="285"/>
      <c r="L60" s="158"/>
      <c r="M60" s="298"/>
      <c r="N60" s="297"/>
      <c r="O60" s="285"/>
      <c r="P60" s="367"/>
      <c r="Q60" s="279"/>
      <c r="R60" s="310">
        <f t="shared" si="48"/>
        <v>0</v>
      </c>
      <c r="S60" s="375"/>
      <c r="T60" s="528"/>
      <c r="U60" s="310">
        <v>0</v>
      </c>
      <c r="V60" s="63">
        <v>0</v>
      </c>
      <c r="W60" s="360">
        <f t="shared" si="2"/>
        <v>0</v>
      </c>
      <c r="X60" s="382">
        <v>0</v>
      </c>
      <c r="Y60" s="63">
        <f t="shared" si="40"/>
        <v>0</v>
      </c>
      <c r="Z60" s="360">
        <f>X60-W60</f>
        <v>0</v>
      </c>
      <c r="AA60" s="310"/>
      <c r="AB60" s="63"/>
      <c r="AC60" s="360"/>
      <c r="AD60" s="279"/>
      <c r="AE60" s="63"/>
      <c r="AF60" s="360"/>
      <c r="AG60" s="279"/>
      <c r="AH60" s="63"/>
      <c r="AI60" s="360"/>
      <c r="AJ60" s="425">
        <v>0</v>
      </c>
      <c r="AK60" s="395">
        <v>0</v>
      </c>
      <c r="AL60" s="338">
        <v>0</v>
      </c>
      <c r="AM60" s="161">
        <f t="shared" si="17"/>
        <v>0</v>
      </c>
      <c r="AN60" s="1013">
        <f t="shared" si="5"/>
        <v>0</v>
      </c>
      <c r="AO60" s="338"/>
      <c r="AP60" s="162"/>
      <c r="AQ60" s="1019">
        <f t="shared" si="41"/>
        <v>0</v>
      </c>
      <c r="AR60" s="324"/>
      <c r="AS60" s="162"/>
      <c r="AT60" s="339"/>
      <c r="AU60" s="540">
        <v>0</v>
      </c>
      <c r="AV60" s="324"/>
      <c r="AW60" s="162"/>
      <c r="AX60" s="339"/>
      <c r="BG60" s="617"/>
      <c r="BH60" s="621">
        <f>AF60-BG60</f>
        <v>0</v>
      </c>
      <c r="BI60" s="617"/>
      <c r="BJ60" s="621">
        <f t="shared" si="43"/>
        <v>0</v>
      </c>
      <c r="BM60" s="629">
        <f t="shared" si="18"/>
        <v>0</v>
      </c>
      <c r="BN60" s="629">
        <f t="shared" si="50"/>
        <v>0</v>
      </c>
      <c r="BO60" s="533">
        <f t="shared" si="14"/>
        <v>0</v>
      </c>
      <c r="BP60" s="533"/>
      <c r="BQ60" s="617"/>
      <c r="BR60" s="621">
        <f>AP60-BQ60</f>
        <v>0</v>
      </c>
      <c r="BS60" s="617"/>
      <c r="BT60" s="621">
        <f t="shared" si="45"/>
        <v>0</v>
      </c>
    </row>
    <row r="61" spans="1:74" ht="16.5" customHeight="1" x14ac:dyDescent="0.3">
      <c r="A61" s="1419"/>
      <c r="B61" s="548"/>
      <c r="C61" s="444">
        <v>244</v>
      </c>
      <c r="D61" s="431">
        <v>1034</v>
      </c>
      <c r="E61" s="64">
        <f>H61+R61+AM61+AK61</f>
        <v>1034</v>
      </c>
      <c r="F61" s="411">
        <f t="shared" si="1"/>
        <v>0</v>
      </c>
      <c r="G61" s="285">
        <v>1034</v>
      </c>
      <c r="H61" s="158">
        <f>J61+L61+O61</f>
        <v>1034</v>
      </c>
      <c r="I61" s="669">
        <f t="shared" si="19"/>
        <v>0</v>
      </c>
      <c r="J61" s="881">
        <f>SUM(J62:J66)</f>
        <v>0</v>
      </c>
      <c r="K61" s="285">
        <v>1034</v>
      </c>
      <c r="L61" s="158">
        <v>1034</v>
      </c>
      <c r="M61" s="298">
        <f>L61-K61</f>
        <v>0</v>
      </c>
      <c r="N61" s="297"/>
      <c r="O61" s="285"/>
      <c r="P61" s="367">
        <f>O61-N61</f>
        <v>0</v>
      </c>
      <c r="Q61" s="279"/>
      <c r="R61" s="310">
        <f t="shared" si="48"/>
        <v>0</v>
      </c>
      <c r="S61" s="375">
        <f>R61-Q61</f>
        <v>0</v>
      </c>
      <c r="T61" s="528"/>
      <c r="U61" s="310"/>
      <c r="V61" s="63"/>
      <c r="W61" s="360">
        <f t="shared" si="2"/>
        <v>0</v>
      </c>
      <c r="X61" s="382"/>
      <c r="Y61" s="63">
        <f t="shared" si="40"/>
        <v>0</v>
      </c>
      <c r="Z61" s="360">
        <f>X61-W61</f>
        <v>0</v>
      </c>
      <c r="AA61" s="310"/>
      <c r="AB61" s="63"/>
      <c r="AC61" s="360">
        <f>AB61-AA61</f>
        <v>0</v>
      </c>
      <c r="AD61" s="279"/>
      <c r="AE61" s="63"/>
      <c r="AF61" s="360"/>
      <c r="AG61" s="279"/>
      <c r="AH61" s="63"/>
      <c r="AI61" s="360"/>
      <c r="AJ61" s="425">
        <f t="shared" ref="AJ61:AU61" si="52">SUM(AJ62:AJ66)</f>
        <v>0</v>
      </c>
      <c r="AK61" s="395">
        <f t="shared" si="52"/>
        <v>0</v>
      </c>
      <c r="AL61" s="338">
        <v>0</v>
      </c>
      <c r="AM61" s="161">
        <f t="shared" si="17"/>
        <v>0</v>
      </c>
      <c r="AN61" s="1013">
        <f t="shared" si="5"/>
        <v>0</v>
      </c>
      <c r="AO61" s="338"/>
      <c r="AP61" s="324"/>
      <c r="AQ61" s="1019"/>
      <c r="AR61" s="324"/>
      <c r="AS61" s="162"/>
      <c r="AT61" s="339">
        <f>AS61-AR61</f>
        <v>0</v>
      </c>
      <c r="AU61" s="540">
        <f t="shared" si="52"/>
        <v>0</v>
      </c>
      <c r="AV61" s="324"/>
      <c r="AW61" s="162"/>
      <c r="AX61" s="339">
        <f>AW61-AV61</f>
        <v>0</v>
      </c>
      <c r="AZ61" s="121" t="s">
        <v>237</v>
      </c>
      <c r="BA61" s="121" t="s">
        <v>197</v>
      </c>
      <c r="BB61" s="121" t="s">
        <v>197</v>
      </c>
      <c r="BC61" s="121"/>
      <c r="BD61" s="121"/>
      <c r="BE61" s="121"/>
      <c r="BF61" s="121"/>
      <c r="BG61" s="617"/>
      <c r="BH61" s="621">
        <f>AF61-BG61</f>
        <v>0</v>
      </c>
      <c r="BI61" s="617">
        <v>25587.66</v>
      </c>
      <c r="BJ61" s="621">
        <f t="shared" si="43"/>
        <v>-25587.66</v>
      </c>
      <c r="BK61" s="121"/>
      <c r="BL61" s="121"/>
      <c r="BM61" s="629">
        <f t="shared" si="18"/>
        <v>0</v>
      </c>
      <c r="BN61" s="629">
        <f t="shared" si="50"/>
        <v>25587.66</v>
      </c>
      <c r="BO61" s="533">
        <f t="shared" si="14"/>
        <v>-25587.66</v>
      </c>
      <c r="BP61" s="533">
        <f>BN61</f>
        <v>25587.66</v>
      </c>
      <c r="BQ61" s="617"/>
      <c r="BR61" s="621">
        <f>AP61-BQ61</f>
        <v>0</v>
      </c>
      <c r="BS61" s="617">
        <v>25587.66</v>
      </c>
      <c r="BT61" s="621">
        <f t="shared" si="45"/>
        <v>-25587.66</v>
      </c>
    </row>
    <row r="62" spans="1:74" x14ac:dyDescent="0.3">
      <c r="A62" s="1420" t="s">
        <v>185</v>
      </c>
      <c r="B62" s="1422"/>
      <c r="C62" s="977">
        <v>243</v>
      </c>
      <c r="D62" s="431">
        <v>860103.18</v>
      </c>
      <c r="E62" s="64">
        <f>H62+R62+AL62+AK62</f>
        <v>860103.18</v>
      </c>
      <c r="F62" s="411">
        <f t="shared" si="1"/>
        <v>0</v>
      </c>
      <c r="G62" s="285"/>
      <c r="H62" s="158"/>
      <c r="I62" s="669">
        <f t="shared" si="19"/>
        <v>0</v>
      </c>
      <c r="J62" s="881"/>
      <c r="K62" s="285"/>
      <c r="L62" s="158"/>
      <c r="M62" s="298"/>
      <c r="N62" s="297"/>
      <c r="O62" s="285"/>
      <c r="P62" s="367"/>
      <c r="Q62" s="279">
        <v>860103.18</v>
      </c>
      <c r="R62" s="310">
        <f t="shared" si="48"/>
        <v>860103.18</v>
      </c>
      <c r="S62" s="375">
        <f>R62-Q62</f>
        <v>0</v>
      </c>
      <c r="T62" s="528">
        <f>R104</f>
        <v>860103.18</v>
      </c>
      <c r="U62" s="310"/>
      <c r="V62" s="63"/>
      <c r="W62" s="360">
        <f t="shared" si="2"/>
        <v>0</v>
      </c>
      <c r="X62" s="382"/>
      <c r="Y62" s="63">
        <f t="shared" si="40"/>
        <v>0</v>
      </c>
      <c r="Z62" s="360">
        <f>X62-W62</f>
        <v>0</v>
      </c>
      <c r="AA62" s="310"/>
      <c r="AB62" s="63"/>
      <c r="AC62" s="360"/>
      <c r="AD62" s="279"/>
      <c r="AE62" s="63"/>
      <c r="AF62" s="360"/>
      <c r="AG62" s="279"/>
      <c r="AH62" s="63"/>
      <c r="AI62" s="360"/>
      <c r="AJ62" s="425"/>
      <c r="AK62" s="395"/>
      <c r="AL62" s="334">
        <v>0</v>
      </c>
      <c r="AM62" s="161">
        <f t="shared" si="17"/>
        <v>0</v>
      </c>
      <c r="AN62" s="1013">
        <f t="shared" si="5"/>
        <v>0</v>
      </c>
      <c r="AO62" s="338"/>
      <c r="AP62" s="162"/>
      <c r="AQ62" s="1019">
        <f t="shared" si="41"/>
        <v>0</v>
      </c>
      <c r="AR62" s="324"/>
      <c r="AS62" s="162"/>
      <c r="AT62" s="339"/>
      <c r="AU62" s="540"/>
      <c r="AV62" s="324"/>
      <c r="AW62" s="162"/>
      <c r="AX62" s="339"/>
      <c r="AZ62" s="118"/>
      <c r="BA62" s="146">
        <v>2621361</v>
      </c>
      <c r="BB62" s="611"/>
      <c r="BC62" s="636"/>
      <c r="BD62" s="636"/>
      <c r="BE62" s="636"/>
      <c r="BF62" s="636"/>
      <c r="BG62" s="617"/>
      <c r="BH62" s="621">
        <f>AF62-BG62</f>
        <v>0</v>
      </c>
      <c r="BI62" s="617"/>
      <c r="BJ62" s="621">
        <f>AH62-BI62</f>
        <v>0</v>
      </c>
      <c r="BK62" s="636"/>
      <c r="BL62" s="636"/>
      <c r="BM62" s="629">
        <f t="shared" si="18"/>
        <v>0</v>
      </c>
      <c r="BN62" s="629">
        <f t="shared" si="50"/>
        <v>0</v>
      </c>
      <c r="BO62" s="533">
        <f t="shared" si="14"/>
        <v>0</v>
      </c>
      <c r="BP62" s="533"/>
      <c r="BQ62" s="617"/>
      <c r="BR62" s="621">
        <f>AP62-BQ62</f>
        <v>0</v>
      </c>
      <c r="BS62" s="617"/>
      <c r="BT62" s="621">
        <f>AR62-BS62</f>
        <v>0</v>
      </c>
    </row>
    <row r="63" spans="1:74" x14ac:dyDescent="0.3">
      <c r="A63" s="1421"/>
      <c r="B63" s="1423"/>
      <c r="C63" s="977">
        <v>244</v>
      </c>
      <c r="D63" s="431">
        <v>230776734.66</v>
      </c>
      <c r="E63" s="64">
        <f>H63+R63+AM63+AK63</f>
        <v>277328236.04499996</v>
      </c>
      <c r="F63" s="411">
        <f t="shared" si="1"/>
        <v>46551501.384999961</v>
      </c>
      <c r="G63" s="285">
        <v>2019992.7</v>
      </c>
      <c r="H63" s="158">
        <f>J63+L63+O63</f>
        <v>2019992.7000000002</v>
      </c>
      <c r="I63" s="669">
        <f t="shared" si="19"/>
        <v>0</v>
      </c>
      <c r="J63" s="881"/>
      <c r="K63" s="285">
        <v>1247751.54</v>
      </c>
      <c r="L63" s="158">
        <v>1247751.54</v>
      </c>
      <c r="M63" s="298">
        <f>L63-K63</f>
        <v>0</v>
      </c>
      <c r="N63" s="367">
        <v>772241.16</v>
      </c>
      <c r="O63" s="158">
        <v>772241.16</v>
      </c>
      <c r="P63" s="367">
        <f>O63-N63</f>
        <v>0</v>
      </c>
      <c r="Q63" s="279">
        <v>226004857.31</v>
      </c>
      <c r="R63" s="310">
        <f>T63+V63+Y63+AB63+AE63+AH63</f>
        <v>272556358.69999999</v>
      </c>
      <c r="S63" s="375">
        <f>R63-Q63</f>
        <v>46551501.389999986</v>
      </c>
      <c r="T63" s="528">
        <f>88525993.1-1033200-36204</f>
        <v>87456589.099999994</v>
      </c>
      <c r="U63" s="310">
        <v>138442000</v>
      </c>
      <c r="V63" s="63">
        <v>184993501.38999999</v>
      </c>
      <c r="W63" s="360">
        <f t="shared" si="2"/>
        <v>46551501.389999986</v>
      </c>
      <c r="X63" s="382">
        <v>106268.21</v>
      </c>
      <c r="Y63" s="63">
        <f>106268.22-0.01</f>
        <v>106268.21</v>
      </c>
      <c r="Z63" s="360"/>
      <c r="AA63" s="310"/>
      <c r="AB63" s="63"/>
      <c r="AC63" s="360"/>
      <c r="AD63" s="279"/>
      <c r="AE63" s="63"/>
      <c r="AF63" s="360"/>
      <c r="AG63" s="279"/>
      <c r="AH63" s="63"/>
      <c r="AI63" s="360"/>
      <c r="AJ63" s="425"/>
      <c r="AK63" s="395"/>
      <c r="AL63" s="334">
        <v>745524.42</v>
      </c>
      <c r="AM63" s="161">
        <f t="shared" si="17"/>
        <v>2751884.645</v>
      </c>
      <c r="AN63" s="1013">
        <f t="shared" si="5"/>
        <v>2006360.2250000001</v>
      </c>
      <c r="AO63" s="338">
        <v>607649</v>
      </c>
      <c r="AP63" s="162">
        <f>2000000-0.005</f>
        <v>1999999.9950000001</v>
      </c>
      <c r="AQ63" s="1019">
        <f t="shared" si="41"/>
        <v>1392350.9950000001</v>
      </c>
      <c r="AR63" s="324">
        <v>137875.42000000001</v>
      </c>
      <c r="AS63" s="162">
        <v>541665.35</v>
      </c>
      <c r="AT63" s="339">
        <f>AS63-AR63</f>
        <v>403789.92999999993</v>
      </c>
      <c r="AU63" s="540"/>
      <c r="AV63" s="324"/>
      <c r="AW63" s="162">
        <v>210219.3</v>
      </c>
      <c r="AX63" s="339">
        <f>AW63-AV63</f>
        <v>210219.3</v>
      </c>
      <c r="AZ63" s="111"/>
      <c r="BA63" s="111">
        <v>487564.3</v>
      </c>
      <c r="BG63" s="617"/>
      <c r="BH63" s="621">
        <f>AE63-BG63</f>
        <v>0</v>
      </c>
      <c r="BI63" s="617">
        <v>2174384</v>
      </c>
      <c r="BJ63" s="621">
        <f t="shared" ref="BJ63:BJ66" si="53">AH63-BI63</f>
        <v>-2174384</v>
      </c>
      <c r="BM63" s="629">
        <f t="shared" si="18"/>
        <v>745524.42</v>
      </c>
      <c r="BN63" s="629">
        <f t="shared" si="50"/>
        <v>3971652.4699999997</v>
      </c>
      <c r="BO63" s="533">
        <f t="shared" si="14"/>
        <v>-3226128.05</v>
      </c>
      <c r="BP63" s="533">
        <f>BM63</f>
        <v>745524.42</v>
      </c>
      <c r="BQ63" s="617">
        <f>1878568.47-81300</f>
        <v>1797268.47</v>
      </c>
      <c r="BR63" s="621">
        <f>AO63-BQ63</f>
        <v>-1189619.47</v>
      </c>
      <c r="BS63" s="617">
        <v>2174384</v>
      </c>
      <c r="BT63" s="621">
        <f t="shared" si="45"/>
        <v>-2036508.58</v>
      </c>
    </row>
    <row r="64" spans="1:74" ht="31.5" x14ac:dyDescent="0.3">
      <c r="A64" s="437" t="s">
        <v>186</v>
      </c>
      <c r="B64" s="975"/>
      <c r="C64" s="977">
        <v>244</v>
      </c>
      <c r="D64" s="431">
        <v>0</v>
      </c>
      <c r="E64" s="59">
        <f>H64+R64+AL64+AK64</f>
        <v>0</v>
      </c>
      <c r="F64" s="411">
        <f t="shared" si="1"/>
        <v>0</v>
      </c>
      <c r="G64" s="285"/>
      <c r="H64" s="158"/>
      <c r="I64" s="669">
        <f t="shared" si="19"/>
        <v>0</v>
      </c>
      <c r="J64" s="881"/>
      <c r="K64" s="285"/>
      <c r="L64" s="158"/>
      <c r="M64" s="298"/>
      <c r="N64" s="367"/>
      <c r="O64" s="158"/>
      <c r="P64" s="367"/>
      <c r="Q64" s="279"/>
      <c r="R64" s="310">
        <f t="shared" si="48"/>
        <v>0</v>
      </c>
      <c r="S64" s="375"/>
      <c r="T64" s="528"/>
      <c r="U64" s="310"/>
      <c r="V64" s="63"/>
      <c r="W64" s="360">
        <f t="shared" si="2"/>
        <v>0</v>
      </c>
      <c r="X64" s="382"/>
      <c r="Y64" s="63">
        <f t="shared" si="40"/>
        <v>0</v>
      </c>
      <c r="Z64" s="360">
        <f>X64-W64</f>
        <v>0</v>
      </c>
      <c r="AA64" s="310"/>
      <c r="AB64" s="63"/>
      <c r="AC64" s="360"/>
      <c r="AD64" s="279"/>
      <c r="AE64" s="63"/>
      <c r="AF64" s="360"/>
      <c r="AG64" s="279"/>
      <c r="AH64" s="63"/>
      <c r="AI64" s="360"/>
      <c r="AJ64" s="425"/>
      <c r="AK64" s="395"/>
      <c r="AL64" s="334">
        <v>0</v>
      </c>
      <c r="AM64" s="161">
        <f t="shared" si="17"/>
        <v>0</v>
      </c>
      <c r="AN64" s="1013">
        <f t="shared" si="5"/>
        <v>0</v>
      </c>
      <c r="AO64" s="338"/>
      <c r="AP64" s="162"/>
      <c r="AQ64" s="1019">
        <f t="shared" si="41"/>
        <v>0</v>
      </c>
      <c r="AR64" s="324"/>
      <c r="AS64" s="162"/>
      <c r="AT64" s="339"/>
      <c r="AU64" s="540"/>
      <c r="AV64" s="324"/>
      <c r="AW64" s="162"/>
      <c r="AX64" s="339"/>
      <c r="AZ64" s="121" t="s">
        <v>237</v>
      </c>
      <c r="BA64" s="121" t="s">
        <v>197</v>
      </c>
      <c r="BG64" s="617"/>
      <c r="BH64" s="621">
        <f>AF64-BG64</f>
        <v>0</v>
      </c>
      <c r="BI64" s="617"/>
      <c r="BJ64" s="621">
        <f t="shared" si="53"/>
        <v>0</v>
      </c>
      <c r="BM64" s="629">
        <f t="shared" si="18"/>
        <v>0</v>
      </c>
      <c r="BN64" s="629">
        <f t="shared" si="50"/>
        <v>0</v>
      </c>
      <c r="BO64" s="533">
        <f t="shared" si="14"/>
        <v>0</v>
      </c>
      <c r="BP64" s="533"/>
      <c r="BQ64" s="617"/>
      <c r="BR64" s="621">
        <f>AP64-BQ64</f>
        <v>0</v>
      </c>
      <c r="BS64" s="617"/>
      <c r="BT64" s="621">
        <f t="shared" si="45"/>
        <v>0</v>
      </c>
    </row>
    <row r="65" spans="1:72" x14ac:dyDescent="0.3">
      <c r="A65" s="1420" t="s">
        <v>187</v>
      </c>
      <c r="B65" s="1424"/>
      <c r="C65" s="977">
        <v>243</v>
      </c>
      <c r="D65" s="431">
        <v>0</v>
      </c>
      <c r="E65" s="59">
        <f>H65+R65+AL65+AK65</f>
        <v>0</v>
      </c>
      <c r="F65" s="411">
        <f t="shared" si="1"/>
        <v>0</v>
      </c>
      <c r="G65" s="285"/>
      <c r="H65" s="158"/>
      <c r="I65" s="669">
        <f t="shared" si="19"/>
        <v>0</v>
      </c>
      <c r="J65" s="881"/>
      <c r="K65" s="285"/>
      <c r="L65" s="158"/>
      <c r="M65" s="298"/>
      <c r="N65" s="367"/>
      <c r="O65" s="158"/>
      <c r="P65" s="367"/>
      <c r="Q65" s="279"/>
      <c r="R65" s="310">
        <f t="shared" si="48"/>
        <v>0</v>
      </c>
      <c r="S65" s="375"/>
      <c r="T65" s="528"/>
      <c r="U65" s="310"/>
      <c r="V65" s="63"/>
      <c r="W65" s="360">
        <f t="shared" si="2"/>
        <v>0</v>
      </c>
      <c r="X65" s="382"/>
      <c r="Y65" s="63">
        <f t="shared" si="40"/>
        <v>0</v>
      </c>
      <c r="Z65" s="360">
        <f>X65-W65</f>
        <v>0</v>
      </c>
      <c r="AA65" s="310"/>
      <c r="AB65" s="63"/>
      <c r="AC65" s="360"/>
      <c r="AD65" s="279"/>
      <c r="AE65" s="63"/>
      <c r="AF65" s="360"/>
      <c r="AG65" s="279"/>
      <c r="AH65" s="63"/>
      <c r="AI65" s="360"/>
      <c r="AJ65" s="425"/>
      <c r="AK65" s="395"/>
      <c r="AL65" s="334">
        <v>0</v>
      </c>
      <c r="AM65" s="161">
        <f t="shared" si="17"/>
        <v>0</v>
      </c>
      <c r="AN65" s="1013">
        <f t="shared" si="5"/>
        <v>0</v>
      </c>
      <c r="AO65" s="338"/>
      <c r="AP65" s="162"/>
      <c r="AQ65" s="1019">
        <f t="shared" si="41"/>
        <v>0</v>
      </c>
      <c r="AR65" s="324"/>
      <c r="AS65" s="162"/>
      <c r="AT65" s="339"/>
      <c r="AU65" s="540"/>
      <c r="AV65" s="324"/>
      <c r="AW65" s="162"/>
      <c r="AX65" s="339"/>
      <c r="AZ65" s="118"/>
      <c r="BA65" s="146">
        <v>-260231.34</v>
      </c>
      <c r="BG65" s="617"/>
      <c r="BH65" s="621">
        <f>AF65-BG65</f>
        <v>0</v>
      </c>
      <c r="BI65" s="617"/>
      <c r="BJ65" s="621">
        <f t="shared" si="53"/>
        <v>0</v>
      </c>
      <c r="BM65" s="629">
        <f t="shared" si="18"/>
        <v>0</v>
      </c>
      <c r="BN65" s="629">
        <f t="shared" si="50"/>
        <v>0</v>
      </c>
      <c r="BO65" s="533">
        <f t="shared" si="14"/>
        <v>0</v>
      </c>
      <c r="BP65" s="533"/>
      <c r="BQ65" s="617"/>
      <c r="BR65" s="621">
        <f>AP65-BQ65</f>
        <v>0</v>
      </c>
      <c r="BS65" s="617"/>
      <c r="BT65" s="621">
        <f t="shared" si="45"/>
        <v>0</v>
      </c>
    </row>
    <row r="66" spans="1:72" x14ac:dyDescent="0.3">
      <c r="A66" s="1421"/>
      <c r="B66" s="1423"/>
      <c r="C66" s="977">
        <v>244</v>
      </c>
      <c r="D66" s="431">
        <v>150393593.84</v>
      </c>
      <c r="E66" s="64">
        <f>H66+R66+AM66+AK66</f>
        <v>214289292.44</v>
      </c>
      <c r="F66" s="411">
        <f t="shared" si="1"/>
        <v>63895698.599999994</v>
      </c>
      <c r="G66" s="285">
        <v>22183509.009999998</v>
      </c>
      <c r="H66" s="158">
        <f>J66+L66+O66</f>
        <v>22183509.009999998</v>
      </c>
      <c r="I66" s="669">
        <f t="shared" si="19"/>
        <v>0</v>
      </c>
      <c r="J66" s="881"/>
      <c r="K66" s="285">
        <v>13818675.92</v>
      </c>
      <c r="L66" s="158">
        <v>13818675.92</v>
      </c>
      <c r="M66" s="298">
        <f>L66-K66</f>
        <v>0</v>
      </c>
      <c r="N66" s="367">
        <v>8364833.0899999999</v>
      </c>
      <c r="O66" s="158">
        <v>8364833.0899999999</v>
      </c>
      <c r="P66" s="367">
        <f>O66-N66</f>
        <v>0</v>
      </c>
      <c r="Q66" s="279">
        <v>34763856.479999997</v>
      </c>
      <c r="R66" s="310">
        <f t="shared" si="48"/>
        <v>98659555.079999998</v>
      </c>
      <c r="S66" s="375">
        <f>R66-Q66</f>
        <v>63895698.600000001</v>
      </c>
      <c r="T66" s="528">
        <f>7077043.25-1435000-109027.16</f>
        <v>5533016.0899999999</v>
      </c>
      <c r="U66" s="310">
        <v>20000000</v>
      </c>
      <c r="V66" s="63">
        <v>83895698.609999999</v>
      </c>
      <c r="W66" s="360">
        <f t="shared" si="2"/>
        <v>63895698.609999999</v>
      </c>
      <c r="X66" s="382">
        <v>6369566.25</v>
      </c>
      <c r="Y66" s="63">
        <f>6369566.26-0.01</f>
        <v>6369566.25</v>
      </c>
      <c r="Z66" s="360"/>
      <c r="AA66" s="310">
        <v>2861274.13</v>
      </c>
      <c r="AB66" s="63">
        <v>2861274.13</v>
      </c>
      <c r="AC66" s="360">
        <f>AB66-AA66</f>
        <v>0</v>
      </c>
      <c r="AD66" s="279"/>
      <c r="AE66" s="63"/>
      <c r="AF66" s="360"/>
      <c r="AG66" s="279"/>
      <c r="AH66" s="63"/>
      <c r="AI66" s="360"/>
      <c r="AJ66" s="425"/>
      <c r="AK66" s="395"/>
      <c r="AL66" s="334">
        <v>95722936.533999994</v>
      </c>
      <c r="AM66" s="161">
        <f t="shared" si="17"/>
        <v>93446228.350000009</v>
      </c>
      <c r="AN66" s="1013">
        <f t="shared" si="5"/>
        <v>-2276708.1839999855</v>
      </c>
      <c r="AO66" s="338">
        <v>72017548.733999997</v>
      </c>
      <c r="AP66" s="162">
        <f>76818434.87</f>
        <v>76818434.870000005</v>
      </c>
      <c r="AQ66" s="1019">
        <f t="shared" si="41"/>
        <v>4800886.1360000074</v>
      </c>
      <c r="AR66" s="324">
        <f>23705387.8</f>
        <v>23705387.800000001</v>
      </c>
      <c r="AS66" s="162">
        <v>14350719.92</v>
      </c>
      <c r="AT66" s="339">
        <f>AS66-AR66</f>
        <v>-9354667.8800000008</v>
      </c>
      <c r="AU66" s="540"/>
      <c r="AV66" s="324"/>
      <c r="AW66" s="162">
        <v>2277073.56</v>
      </c>
      <c r="AX66" s="339">
        <f>AW66-AV66</f>
        <v>2277073.56</v>
      </c>
      <c r="AZ66" s="111">
        <v>74638998.689999998</v>
      </c>
      <c r="BA66" s="111">
        <v>25190635.949999999</v>
      </c>
      <c r="BG66" s="617"/>
      <c r="BH66" s="621">
        <f>AE66-BG66</f>
        <v>0</v>
      </c>
      <c r="BI66" s="617">
        <v>14782649</v>
      </c>
      <c r="BJ66" s="621">
        <f t="shared" si="53"/>
        <v>-14782649</v>
      </c>
      <c r="BM66" s="629">
        <f t="shared" si="18"/>
        <v>95722936.533999994</v>
      </c>
      <c r="BN66" s="629">
        <f t="shared" si="50"/>
        <v>81371069.319999993</v>
      </c>
      <c r="BO66" s="533">
        <f t="shared" si="14"/>
        <v>14351867.214000002</v>
      </c>
      <c r="BP66" s="533">
        <f>BN66</f>
        <v>81371069.319999993</v>
      </c>
      <c r="BQ66" s="617">
        <f>64959183.81-3000+1195603.28+500000-63366.77</f>
        <v>66588420.32</v>
      </c>
      <c r="BR66" s="621">
        <f>AO66-BQ66</f>
        <v>5429128.4139999971</v>
      </c>
      <c r="BS66" s="617">
        <v>14782649</v>
      </c>
      <c r="BT66" s="621">
        <f t="shared" si="45"/>
        <v>8922738.8000000007</v>
      </c>
    </row>
    <row r="67" spans="1:72" s="115" customFormat="1" ht="21.75" customHeight="1" x14ac:dyDescent="0.3">
      <c r="A67" s="435" t="s">
        <v>188</v>
      </c>
      <c r="B67" s="976">
        <v>300</v>
      </c>
      <c r="C67" s="436" t="s">
        <v>149</v>
      </c>
      <c r="D67" s="430">
        <v>0</v>
      </c>
      <c r="E67" s="59">
        <f t="shared" ref="E67:E74" si="54">H67+R67+AL67+AK67</f>
        <v>0</v>
      </c>
      <c r="F67" s="411">
        <f t="shared" si="1"/>
        <v>0</v>
      </c>
      <c r="G67" s="283"/>
      <c r="H67" s="157"/>
      <c r="I67" s="669">
        <f t="shared" si="19"/>
        <v>0</v>
      </c>
      <c r="J67" s="882"/>
      <c r="K67" s="283"/>
      <c r="L67" s="157"/>
      <c r="M67" s="294"/>
      <c r="N67" s="521"/>
      <c r="O67" s="157"/>
      <c r="P67" s="365"/>
      <c r="Q67" s="276"/>
      <c r="R67" s="307"/>
      <c r="S67" s="372"/>
      <c r="T67" s="525"/>
      <c r="U67" s="307">
        <v>0</v>
      </c>
      <c r="V67" s="153">
        <v>0</v>
      </c>
      <c r="W67" s="357">
        <f t="shared" si="2"/>
        <v>0</v>
      </c>
      <c r="X67" s="379">
        <v>0</v>
      </c>
      <c r="Y67" s="153">
        <f t="shared" ref="Y67:Y74" si="55">X67-W67</f>
        <v>0</v>
      </c>
      <c r="Z67" s="357">
        <f t="shared" ref="Z67:Z74" si="56">X67-W67</f>
        <v>0</v>
      </c>
      <c r="AA67" s="307"/>
      <c r="AB67" s="153"/>
      <c r="AC67" s="357"/>
      <c r="AD67" s="276"/>
      <c r="AE67" s="153"/>
      <c r="AF67" s="357"/>
      <c r="AG67" s="276"/>
      <c r="AH67" s="153"/>
      <c r="AI67" s="357"/>
      <c r="AJ67" s="422">
        <f>AJ69+AJ70</f>
        <v>0</v>
      </c>
      <c r="AK67" s="396">
        <f>SUM(AK69:AK70)</f>
        <v>0</v>
      </c>
      <c r="AL67" s="334">
        <v>0</v>
      </c>
      <c r="AM67" s="161">
        <f t="shared" si="17"/>
        <v>0</v>
      </c>
      <c r="AN67" s="1013">
        <f t="shared" si="5"/>
        <v>0</v>
      </c>
      <c r="AO67" s="334"/>
      <c r="AP67" s="161"/>
      <c r="AQ67" s="1019">
        <f t="shared" si="41"/>
        <v>0</v>
      </c>
      <c r="AR67" s="323"/>
      <c r="AS67" s="161"/>
      <c r="AT67" s="335"/>
      <c r="AU67" s="539">
        <f>SUM(AU69:AU70)</f>
        <v>0</v>
      </c>
      <c r="AV67" s="323"/>
      <c r="AW67" s="161"/>
      <c r="AX67" s="335"/>
      <c r="BG67" s="617"/>
      <c r="BH67" s="621">
        <f t="shared" ref="BH67:BH74" si="57">AF67-BG67</f>
        <v>0</v>
      </c>
      <c r="BI67" s="617"/>
      <c r="BJ67" s="621">
        <f>AH67-BI67</f>
        <v>0</v>
      </c>
      <c r="BM67" s="628">
        <f t="shared" si="18"/>
        <v>0</v>
      </c>
      <c r="BN67" s="628">
        <f t="shared" si="50"/>
        <v>0</v>
      </c>
      <c r="BO67" s="535">
        <f t="shared" si="14"/>
        <v>0</v>
      </c>
      <c r="BP67" s="533"/>
      <c r="BQ67" s="617"/>
      <c r="BR67" s="621">
        <f t="shared" ref="BR67:BR74" si="58">AP67-BQ67</f>
        <v>0</v>
      </c>
      <c r="BS67" s="617"/>
      <c r="BT67" s="621">
        <f>AR67-BS67</f>
        <v>0</v>
      </c>
    </row>
    <row r="68" spans="1:72" x14ac:dyDescent="0.3">
      <c r="A68" s="437" t="s">
        <v>92</v>
      </c>
      <c r="B68" s="133"/>
      <c r="C68" s="438"/>
      <c r="D68" s="431">
        <v>0</v>
      </c>
      <c r="E68" s="59">
        <f t="shared" si="54"/>
        <v>0</v>
      </c>
      <c r="F68" s="410">
        <f t="shared" si="1"/>
        <v>0</v>
      </c>
      <c r="G68" s="285"/>
      <c r="H68" s="158"/>
      <c r="I68" s="669">
        <f t="shared" si="19"/>
        <v>0</v>
      </c>
      <c r="J68" s="881"/>
      <c r="K68" s="285"/>
      <c r="L68" s="158"/>
      <c r="M68" s="298"/>
      <c r="N68" s="297"/>
      <c r="O68" s="285"/>
      <c r="P68" s="367"/>
      <c r="Q68" s="279"/>
      <c r="R68" s="310"/>
      <c r="S68" s="375"/>
      <c r="T68" s="528"/>
      <c r="U68" s="310"/>
      <c r="V68" s="63"/>
      <c r="W68" s="357">
        <f t="shared" si="2"/>
        <v>0</v>
      </c>
      <c r="X68" s="382"/>
      <c r="Y68" s="153">
        <f t="shared" si="55"/>
        <v>0</v>
      </c>
      <c r="Z68" s="357">
        <f t="shared" si="56"/>
        <v>0</v>
      </c>
      <c r="AA68" s="310"/>
      <c r="AB68" s="63"/>
      <c r="AC68" s="360"/>
      <c r="AD68" s="279"/>
      <c r="AE68" s="63"/>
      <c r="AF68" s="360"/>
      <c r="AG68" s="279"/>
      <c r="AH68" s="63"/>
      <c r="AI68" s="360"/>
      <c r="AJ68" s="425"/>
      <c r="AK68" s="395"/>
      <c r="AL68" s="334">
        <v>0</v>
      </c>
      <c r="AM68" s="161">
        <f t="shared" si="17"/>
        <v>0</v>
      </c>
      <c r="AN68" s="1013">
        <f t="shared" si="5"/>
        <v>0</v>
      </c>
      <c r="AO68" s="338"/>
      <c r="AP68" s="162"/>
      <c r="AQ68" s="1019"/>
      <c r="AR68" s="324"/>
      <c r="AS68" s="162"/>
      <c r="AT68" s="339"/>
      <c r="AU68" s="540"/>
      <c r="AV68" s="324"/>
      <c r="AW68" s="162"/>
      <c r="AX68" s="339"/>
      <c r="BG68" s="617"/>
      <c r="BH68" s="621">
        <f t="shared" si="57"/>
        <v>0</v>
      </c>
      <c r="BI68" s="617"/>
      <c r="BJ68" s="621">
        <f t="shared" ref="BJ68:BJ75" si="59">AH68-BI68</f>
        <v>0</v>
      </c>
      <c r="BM68" s="628">
        <f t="shared" si="18"/>
        <v>0</v>
      </c>
      <c r="BN68" s="628">
        <f t="shared" si="50"/>
        <v>0</v>
      </c>
      <c r="BO68" s="535">
        <f t="shared" si="14"/>
        <v>0</v>
      </c>
      <c r="BP68" s="533"/>
      <c r="BQ68" s="617"/>
      <c r="BR68" s="621">
        <f t="shared" si="58"/>
        <v>0</v>
      </c>
      <c r="BS68" s="617"/>
      <c r="BT68" s="621">
        <f t="shared" si="45"/>
        <v>0</v>
      </c>
    </row>
    <row r="69" spans="1:72" x14ac:dyDescent="0.3">
      <c r="A69" s="437" t="s">
        <v>189</v>
      </c>
      <c r="B69" s="975">
        <v>310</v>
      </c>
      <c r="C69" s="438"/>
      <c r="D69" s="431">
        <v>0</v>
      </c>
      <c r="E69" s="59">
        <f t="shared" si="54"/>
        <v>0</v>
      </c>
      <c r="F69" s="410">
        <f t="shared" si="1"/>
        <v>0</v>
      </c>
      <c r="G69" s="285"/>
      <c r="H69" s="158"/>
      <c r="I69" s="669">
        <f t="shared" si="19"/>
        <v>0</v>
      </c>
      <c r="J69" s="881"/>
      <c r="K69" s="285"/>
      <c r="L69" s="158"/>
      <c r="M69" s="298"/>
      <c r="N69" s="297"/>
      <c r="O69" s="285"/>
      <c r="P69" s="367"/>
      <c r="Q69" s="279"/>
      <c r="R69" s="310"/>
      <c r="S69" s="375"/>
      <c r="T69" s="528"/>
      <c r="U69" s="310"/>
      <c r="V69" s="63"/>
      <c r="W69" s="357">
        <f t="shared" si="2"/>
        <v>0</v>
      </c>
      <c r="X69" s="382"/>
      <c r="Y69" s="153">
        <f t="shared" si="55"/>
        <v>0</v>
      </c>
      <c r="Z69" s="357">
        <f t="shared" si="56"/>
        <v>0</v>
      </c>
      <c r="AA69" s="310"/>
      <c r="AB69" s="63"/>
      <c r="AC69" s="360"/>
      <c r="AD69" s="279"/>
      <c r="AE69" s="63"/>
      <c r="AF69" s="360"/>
      <c r="AG69" s="279"/>
      <c r="AH69" s="63"/>
      <c r="AI69" s="360"/>
      <c r="AJ69" s="425"/>
      <c r="AK69" s="395"/>
      <c r="AL69" s="334">
        <v>0</v>
      </c>
      <c r="AM69" s="161">
        <f t="shared" si="17"/>
        <v>0</v>
      </c>
      <c r="AN69" s="1013">
        <f t="shared" si="5"/>
        <v>0</v>
      </c>
      <c r="AO69" s="338"/>
      <c r="AP69" s="162"/>
      <c r="AQ69" s="1019"/>
      <c r="AR69" s="324"/>
      <c r="AS69" s="162"/>
      <c r="AT69" s="339"/>
      <c r="AU69" s="540"/>
      <c r="AV69" s="324"/>
      <c r="AW69" s="162"/>
      <c r="AX69" s="339"/>
      <c r="BG69" s="617"/>
      <c r="BH69" s="621">
        <f t="shared" si="57"/>
        <v>0</v>
      </c>
      <c r="BI69" s="617"/>
      <c r="BJ69" s="621">
        <f t="shared" si="59"/>
        <v>0</v>
      </c>
      <c r="BM69" s="628">
        <f t="shared" si="18"/>
        <v>0</v>
      </c>
      <c r="BN69" s="628">
        <f t="shared" si="50"/>
        <v>0</v>
      </c>
      <c r="BO69" s="535">
        <f t="shared" si="14"/>
        <v>0</v>
      </c>
      <c r="BP69" s="533"/>
      <c r="BQ69" s="617"/>
      <c r="BR69" s="621">
        <f t="shared" si="58"/>
        <v>0</v>
      </c>
      <c r="BS69" s="617"/>
      <c r="BT69" s="621">
        <f t="shared" si="45"/>
        <v>0</v>
      </c>
    </row>
    <row r="70" spans="1:72" x14ac:dyDescent="0.3">
      <c r="A70" s="437" t="s">
        <v>190</v>
      </c>
      <c r="B70" s="975">
        <v>320</v>
      </c>
      <c r="C70" s="438"/>
      <c r="D70" s="431">
        <v>0</v>
      </c>
      <c r="E70" s="59">
        <f t="shared" si="54"/>
        <v>0</v>
      </c>
      <c r="F70" s="410">
        <f t="shared" si="1"/>
        <v>0</v>
      </c>
      <c r="G70" s="285"/>
      <c r="H70" s="158"/>
      <c r="I70" s="669">
        <f t="shared" si="19"/>
        <v>0</v>
      </c>
      <c r="J70" s="881"/>
      <c r="K70" s="285"/>
      <c r="L70" s="158"/>
      <c r="M70" s="298"/>
      <c r="N70" s="297"/>
      <c r="O70" s="285"/>
      <c r="P70" s="367"/>
      <c r="Q70" s="279"/>
      <c r="R70" s="310"/>
      <c r="S70" s="375"/>
      <c r="T70" s="528"/>
      <c r="U70" s="310"/>
      <c r="V70" s="63"/>
      <c r="W70" s="357">
        <f t="shared" si="2"/>
        <v>0</v>
      </c>
      <c r="X70" s="382"/>
      <c r="Y70" s="153">
        <f t="shared" si="55"/>
        <v>0</v>
      </c>
      <c r="Z70" s="357">
        <f t="shared" si="56"/>
        <v>0</v>
      </c>
      <c r="AA70" s="310"/>
      <c r="AB70" s="63"/>
      <c r="AC70" s="360"/>
      <c r="AD70" s="279"/>
      <c r="AE70" s="63"/>
      <c r="AF70" s="360"/>
      <c r="AG70" s="279"/>
      <c r="AH70" s="63"/>
      <c r="AI70" s="360"/>
      <c r="AJ70" s="425"/>
      <c r="AK70" s="395"/>
      <c r="AL70" s="334">
        <v>0</v>
      </c>
      <c r="AM70" s="161">
        <f t="shared" si="17"/>
        <v>0</v>
      </c>
      <c r="AN70" s="1013">
        <f t="shared" si="5"/>
        <v>0</v>
      </c>
      <c r="AO70" s="338"/>
      <c r="AP70" s="162"/>
      <c r="AQ70" s="1019"/>
      <c r="AR70" s="324"/>
      <c r="AS70" s="162"/>
      <c r="AT70" s="339"/>
      <c r="AU70" s="540"/>
      <c r="AV70" s="324"/>
      <c r="AW70" s="162"/>
      <c r="AX70" s="339"/>
      <c r="BG70" s="617"/>
      <c r="BH70" s="621">
        <f t="shared" si="57"/>
        <v>0</v>
      </c>
      <c r="BI70" s="617"/>
      <c r="BJ70" s="621">
        <f t="shared" si="59"/>
        <v>0</v>
      </c>
      <c r="BM70" s="628">
        <f t="shared" si="18"/>
        <v>0</v>
      </c>
      <c r="BN70" s="628">
        <f t="shared" si="50"/>
        <v>0</v>
      </c>
      <c r="BO70" s="535">
        <f t="shared" si="14"/>
        <v>0</v>
      </c>
      <c r="BP70" s="533"/>
      <c r="BQ70" s="617"/>
      <c r="BR70" s="621">
        <f t="shared" si="58"/>
        <v>0</v>
      </c>
      <c r="BS70" s="617"/>
      <c r="BT70" s="621">
        <f t="shared" si="45"/>
        <v>0</v>
      </c>
    </row>
    <row r="71" spans="1:72" s="115" customFormat="1" x14ac:dyDescent="0.3">
      <c r="A71" s="435" t="s">
        <v>191</v>
      </c>
      <c r="B71" s="976">
        <v>400</v>
      </c>
      <c r="C71" s="442"/>
      <c r="D71" s="430">
        <f>D73</f>
        <v>-205614792.37</v>
      </c>
      <c r="E71" s="59">
        <f t="shared" si="54"/>
        <v>-205614792.37</v>
      </c>
      <c r="F71" s="410">
        <f t="shared" si="1"/>
        <v>0</v>
      </c>
      <c r="G71" s="283"/>
      <c r="H71" s="157"/>
      <c r="I71" s="669">
        <f t="shared" si="19"/>
        <v>0</v>
      </c>
      <c r="J71" s="882"/>
      <c r="K71" s="283"/>
      <c r="L71" s="157"/>
      <c r="M71" s="294"/>
      <c r="N71" s="293"/>
      <c r="O71" s="283"/>
      <c r="P71" s="365"/>
      <c r="Q71" s="276">
        <f>Q73</f>
        <v>-205614792.37</v>
      </c>
      <c r="R71" s="307">
        <f>R73</f>
        <v>-205614792.37</v>
      </c>
      <c r="S71" s="372"/>
      <c r="T71" s="525"/>
      <c r="U71" s="307"/>
      <c r="V71" s="153">
        <f>V73</f>
        <v>0</v>
      </c>
      <c r="W71" s="357">
        <f t="shared" si="2"/>
        <v>0</v>
      </c>
      <c r="X71" s="379">
        <v>0</v>
      </c>
      <c r="Y71" s="153">
        <f t="shared" si="55"/>
        <v>0</v>
      </c>
      <c r="Z71" s="357">
        <f t="shared" si="56"/>
        <v>0</v>
      </c>
      <c r="AA71" s="307"/>
      <c r="AB71" s="153"/>
      <c r="AC71" s="357"/>
      <c r="AD71" s="276"/>
      <c r="AE71" s="153"/>
      <c r="AF71" s="357"/>
      <c r="AG71" s="276"/>
      <c r="AH71" s="153"/>
      <c r="AI71" s="357"/>
      <c r="AJ71" s="422">
        <f>AJ73+AJ74</f>
        <v>0</v>
      </c>
      <c r="AK71" s="396">
        <v>0</v>
      </c>
      <c r="AL71" s="334">
        <v>0</v>
      </c>
      <c r="AM71" s="161">
        <f t="shared" si="17"/>
        <v>0</v>
      </c>
      <c r="AN71" s="1013">
        <f t="shared" si="5"/>
        <v>0</v>
      </c>
      <c r="AO71" s="334"/>
      <c r="AP71" s="161"/>
      <c r="AQ71" s="406"/>
      <c r="AR71" s="323"/>
      <c r="AS71" s="161"/>
      <c r="AT71" s="335"/>
      <c r="AU71" s="539">
        <f>AU73+AU74</f>
        <v>0</v>
      </c>
      <c r="AV71" s="323"/>
      <c r="AW71" s="161"/>
      <c r="AX71" s="335"/>
      <c r="BG71" s="617"/>
      <c r="BH71" s="621">
        <f t="shared" si="57"/>
        <v>0</v>
      </c>
      <c r="BI71" s="617"/>
      <c r="BJ71" s="621">
        <f t="shared" si="59"/>
        <v>0</v>
      </c>
      <c r="BM71" s="628">
        <f t="shared" si="18"/>
        <v>0</v>
      </c>
      <c r="BN71" s="628">
        <f t="shared" si="50"/>
        <v>0</v>
      </c>
      <c r="BO71" s="535">
        <f t="shared" si="14"/>
        <v>0</v>
      </c>
      <c r="BP71" s="533"/>
      <c r="BQ71" s="617"/>
      <c r="BR71" s="621">
        <f t="shared" si="58"/>
        <v>0</v>
      </c>
      <c r="BS71" s="617"/>
      <c r="BT71" s="621">
        <f t="shared" si="45"/>
        <v>0</v>
      </c>
    </row>
    <row r="72" spans="1:72" x14ac:dyDescent="0.3">
      <c r="A72" s="437" t="s">
        <v>92</v>
      </c>
      <c r="B72" s="133"/>
      <c r="C72" s="438"/>
      <c r="D72" s="431">
        <v>0</v>
      </c>
      <c r="E72" s="59">
        <f t="shared" si="54"/>
        <v>0</v>
      </c>
      <c r="F72" s="410">
        <f t="shared" si="1"/>
        <v>0</v>
      </c>
      <c r="G72" s="285"/>
      <c r="H72" s="158"/>
      <c r="I72" s="669">
        <f t="shared" si="19"/>
        <v>0</v>
      </c>
      <c r="J72" s="881"/>
      <c r="K72" s="285"/>
      <c r="L72" s="158"/>
      <c r="M72" s="298"/>
      <c r="N72" s="297"/>
      <c r="O72" s="285"/>
      <c r="P72" s="367"/>
      <c r="Q72" s="279"/>
      <c r="R72" s="310"/>
      <c r="S72" s="375"/>
      <c r="T72" s="528"/>
      <c r="U72" s="310"/>
      <c r="V72" s="63"/>
      <c r="W72" s="357">
        <f t="shared" si="2"/>
        <v>0</v>
      </c>
      <c r="X72" s="382"/>
      <c r="Y72" s="153">
        <f t="shared" si="55"/>
        <v>0</v>
      </c>
      <c r="Z72" s="357">
        <f t="shared" si="56"/>
        <v>0</v>
      </c>
      <c r="AA72" s="310"/>
      <c r="AB72" s="63"/>
      <c r="AC72" s="360"/>
      <c r="AD72" s="279"/>
      <c r="AE72" s="63"/>
      <c r="AF72" s="360"/>
      <c r="AG72" s="279"/>
      <c r="AH72" s="63"/>
      <c r="AI72" s="360"/>
      <c r="AJ72" s="425"/>
      <c r="AK72" s="395"/>
      <c r="AL72" s="334">
        <v>0</v>
      </c>
      <c r="AM72" s="161">
        <f t="shared" si="17"/>
        <v>0</v>
      </c>
      <c r="AN72" s="1013">
        <f t="shared" si="5"/>
        <v>0</v>
      </c>
      <c r="AO72" s="338"/>
      <c r="AP72" s="162"/>
      <c r="AQ72" s="1019"/>
      <c r="AR72" s="324"/>
      <c r="AS72" s="162"/>
      <c r="AT72" s="339"/>
      <c r="AU72" s="540"/>
      <c r="AV72" s="324"/>
      <c r="AW72" s="162"/>
      <c r="AX72" s="339"/>
      <c r="BG72" s="617"/>
      <c r="BH72" s="621">
        <f t="shared" si="57"/>
        <v>0</v>
      </c>
      <c r="BI72" s="617"/>
      <c r="BJ72" s="621">
        <f t="shared" si="59"/>
        <v>0</v>
      </c>
      <c r="BM72" s="628">
        <f t="shared" si="18"/>
        <v>0</v>
      </c>
      <c r="BN72" s="628">
        <f t="shared" si="50"/>
        <v>0</v>
      </c>
      <c r="BO72" s="535">
        <f t="shared" si="14"/>
        <v>0</v>
      </c>
      <c r="BP72" s="533"/>
      <c r="BQ72" s="617"/>
      <c r="BR72" s="621">
        <f t="shared" si="58"/>
        <v>0</v>
      </c>
      <c r="BS72" s="617"/>
      <c r="BT72" s="621">
        <f t="shared" si="45"/>
        <v>0</v>
      </c>
    </row>
    <row r="73" spans="1:72" x14ac:dyDescent="0.3">
      <c r="A73" s="437" t="s">
        <v>192</v>
      </c>
      <c r="B73" s="975">
        <v>410</v>
      </c>
      <c r="C73" s="438"/>
      <c r="D73" s="431">
        <v>-205614792.37</v>
      </c>
      <c r="E73" s="59">
        <f>H73+R73+AL73-AK73</f>
        <v>-205614792.37</v>
      </c>
      <c r="F73" s="410">
        <f t="shared" si="1"/>
        <v>0</v>
      </c>
      <c r="G73" s="285"/>
      <c r="H73" s="158"/>
      <c r="I73" s="669">
        <f t="shared" si="19"/>
        <v>0</v>
      </c>
      <c r="J73" s="881"/>
      <c r="K73" s="285"/>
      <c r="L73" s="158"/>
      <c r="M73" s="298"/>
      <c r="N73" s="297"/>
      <c r="O73" s="285"/>
      <c r="P73" s="367"/>
      <c r="Q73" s="279">
        <v>-205614792.37</v>
      </c>
      <c r="R73" s="63">
        <v>-205614792.37</v>
      </c>
      <c r="S73" s="375"/>
      <c r="T73" s="528"/>
      <c r="U73" s="310"/>
      <c r="V73" s="63"/>
      <c r="W73" s="357">
        <f t="shared" si="2"/>
        <v>0</v>
      </c>
      <c r="X73" s="382"/>
      <c r="Y73" s="153">
        <f t="shared" si="55"/>
        <v>0</v>
      </c>
      <c r="Z73" s="357">
        <f t="shared" si="56"/>
        <v>0</v>
      </c>
      <c r="AA73" s="310"/>
      <c r="AB73" s="63"/>
      <c r="AC73" s="360"/>
      <c r="AD73" s="279"/>
      <c r="AE73" s="63"/>
      <c r="AF73" s="360"/>
      <c r="AG73" s="279"/>
      <c r="AH73" s="63"/>
      <c r="AI73" s="360"/>
      <c r="AJ73" s="425"/>
      <c r="AK73" s="395"/>
      <c r="AL73" s="334">
        <v>0</v>
      </c>
      <c r="AM73" s="161">
        <f t="shared" si="17"/>
        <v>0</v>
      </c>
      <c r="AN73" s="1013">
        <f t="shared" si="5"/>
        <v>0</v>
      </c>
      <c r="AO73" s="338"/>
      <c r="AP73" s="162"/>
      <c r="AQ73" s="1019"/>
      <c r="AR73" s="324"/>
      <c r="AS73" s="162"/>
      <c r="AT73" s="339"/>
      <c r="AU73" s="540"/>
      <c r="AV73" s="324"/>
      <c r="AW73" s="162"/>
      <c r="AX73" s="339"/>
      <c r="BG73" s="617"/>
      <c r="BH73" s="621">
        <f t="shared" si="57"/>
        <v>0</v>
      </c>
      <c r="BI73" s="617"/>
      <c r="BJ73" s="621">
        <f t="shared" si="59"/>
        <v>0</v>
      </c>
      <c r="BM73" s="628">
        <f t="shared" si="18"/>
        <v>0</v>
      </c>
      <c r="BN73" s="628">
        <f t="shared" si="50"/>
        <v>0</v>
      </c>
      <c r="BO73" s="535">
        <f t="shared" si="14"/>
        <v>0</v>
      </c>
      <c r="BP73" s="533"/>
      <c r="BQ73" s="617"/>
      <c r="BR73" s="621">
        <f t="shared" si="58"/>
        <v>0</v>
      </c>
      <c r="BS73" s="617"/>
      <c r="BT73" s="621">
        <f t="shared" si="45"/>
        <v>0</v>
      </c>
    </row>
    <row r="74" spans="1:72" x14ac:dyDescent="0.3">
      <c r="A74" s="437" t="s">
        <v>193</v>
      </c>
      <c r="B74" s="975">
        <v>420</v>
      </c>
      <c r="C74" s="438"/>
      <c r="D74" s="431">
        <v>0</v>
      </c>
      <c r="E74" s="59">
        <f t="shared" si="54"/>
        <v>0</v>
      </c>
      <c r="F74" s="410">
        <f t="shared" si="1"/>
        <v>0</v>
      </c>
      <c r="G74" s="285"/>
      <c r="H74" s="158"/>
      <c r="I74" s="669">
        <f t="shared" si="19"/>
        <v>0</v>
      </c>
      <c r="J74" s="881"/>
      <c r="K74" s="285"/>
      <c r="L74" s="158"/>
      <c r="M74" s="298"/>
      <c r="N74" s="297"/>
      <c r="O74" s="285"/>
      <c r="P74" s="367"/>
      <c r="Q74" s="279"/>
      <c r="R74" s="310"/>
      <c r="S74" s="375"/>
      <c r="T74" s="528"/>
      <c r="U74" s="310"/>
      <c r="V74" s="63"/>
      <c r="W74" s="357">
        <f t="shared" si="2"/>
        <v>0</v>
      </c>
      <c r="X74" s="382"/>
      <c r="Y74" s="153">
        <f t="shared" si="55"/>
        <v>0</v>
      </c>
      <c r="Z74" s="357">
        <f t="shared" si="56"/>
        <v>0</v>
      </c>
      <c r="AA74" s="310"/>
      <c r="AB74" s="63"/>
      <c r="AC74" s="360"/>
      <c r="AD74" s="279"/>
      <c r="AE74" s="63"/>
      <c r="AF74" s="360"/>
      <c r="AG74" s="279"/>
      <c r="AH74" s="63"/>
      <c r="AI74" s="360"/>
      <c r="AJ74" s="425"/>
      <c r="AK74" s="395"/>
      <c r="AL74" s="334">
        <v>0</v>
      </c>
      <c r="AM74" s="161">
        <f t="shared" si="7"/>
        <v>0</v>
      </c>
      <c r="AN74" s="1013">
        <f t="shared" si="5"/>
        <v>0</v>
      </c>
      <c r="AO74" s="338"/>
      <c r="AP74" s="162"/>
      <c r="AQ74" s="1019"/>
      <c r="AR74" s="324"/>
      <c r="AS74" s="162"/>
      <c r="AT74" s="339"/>
      <c r="AU74" s="540"/>
      <c r="AV74" s="324"/>
      <c r="AW74" s="162"/>
      <c r="AX74" s="339"/>
      <c r="BG74" s="617"/>
      <c r="BH74" s="621">
        <f t="shared" si="57"/>
        <v>0</v>
      </c>
      <c r="BI74" s="617"/>
      <c r="BJ74" s="621">
        <f t="shared" si="59"/>
        <v>0</v>
      </c>
      <c r="BM74" s="628">
        <f t="shared" si="18"/>
        <v>0</v>
      </c>
      <c r="BN74" s="628">
        <f t="shared" si="50"/>
        <v>0</v>
      </c>
      <c r="BO74" s="535">
        <f t="shared" si="14"/>
        <v>0</v>
      </c>
      <c r="BP74" s="533"/>
      <c r="BQ74" s="617"/>
      <c r="BR74" s="621">
        <f t="shared" si="58"/>
        <v>0</v>
      </c>
      <c r="BS74" s="617"/>
      <c r="BT74" s="621">
        <f t="shared" si="45"/>
        <v>0</v>
      </c>
    </row>
    <row r="75" spans="1:72" s="115" customFormat="1" ht="17.25" customHeight="1" x14ac:dyDescent="0.3">
      <c r="A75" s="435" t="s">
        <v>194</v>
      </c>
      <c r="B75" s="976">
        <v>500</v>
      </c>
      <c r="C75" s="436" t="s">
        <v>149</v>
      </c>
      <c r="D75" s="430">
        <v>625060898.94000006</v>
      </c>
      <c r="E75" s="59">
        <f>H75+R75+AK75+AM75</f>
        <v>625060898.93499994</v>
      </c>
      <c r="F75" s="410">
        <f t="shared" si="1"/>
        <v>-5.0001144409179688E-3</v>
      </c>
      <c r="G75" s="157">
        <f>G23-G11</f>
        <v>21072590.976574481</v>
      </c>
      <c r="H75" s="157">
        <f>H23-H11</f>
        <v>21072590.980000019</v>
      </c>
      <c r="I75" s="669">
        <f t="shared" si="19"/>
        <v>3.4255385398864746E-3</v>
      </c>
      <c r="J75" s="882">
        <f>J23-J11</f>
        <v>16524140.506574497</v>
      </c>
      <c r="K75" s="157">
        <f>K23-K11</f>
        <v>4548450.4600000083</v>
      </c>
      <c r="L75" s="157">
        <f>L23-L11</f>
        <v>4548450.4600000083</v>
      </c>
      <c r="M75" s="298">
        <f>L75-K75</f>
        <v>0</v>
      </c>
      <c r="N75" s="157">
        <f>N23-N11</f>
        <v>9.9999979138374329E-3</v>
      </c>
      <c r="O75" s="157">
        <f>O23-O11</f>
        <v>9.9999979138374329E-3</v>
      </c>
      <c r="P75" s="365"/>
      <c r="Q75" s="1025">
        <v>593808468.51999998</v>
      </c>
      <c r="R75" s="307">
        <v>593808468.51999998</v>
      </c>
      <c r="S75" s="372">
        <f>R75-Q75</f>
        <v>0</v>
      </c>
      <c r="T75" s="525">
        <v>593808468.51999998</v>
      </c>
      <c r="U75" s="307">
        <v>0</v>
      </c>
      <c r="V75" s="63">
        <f>V11-V23</f>
        <v>-817150.38999986649</v>
      </c>
      <c r="W75" s="357">
        <f>V75-U75</f>
        <v>-817150.38999986649</v>
      </c>
      <c r="X75" s="307"/>
      <c r="Y75" s="63"/>
      <c r="Z75" s="357"/>
      <c r="AA75" s="63">
        <f>AA23-AA11</f>
        <v>0</v>
      </c>
      <c r="AB75" s="63">
        <f>AB23-AB11</f>
        <v>0</v>
      </c>
      <c r="AC75" s="63">
        <f>AC23-AC11</f>
        <v>0</v>
      </c>
      <c r="AD75" s="276">
        <v>0</v>
      </c>
      <c r="AE75" s="63">
        <f>AE23-AE11</f>
        <v>0</v>
      </c>
      <c r="AF75" s="357"/>
      <c r="AG75" s="307">
        <f>'расчет норматив'!AQ6+'расчет норматив'!AR6</f>
        <v>0</v>
      </c>
      <c r="AH75" s="63">
        <f>AH11-AH23</f>
        <v>817150.38999999966</v>
      </c>
      <c r="AI75" s="357">
        <f>AH75-AG75</f>
        <v>817150.38999999966</v>
      </c>
      <c r="AJ75" s="422">
        <v>0</v>
      </c>
      <c r="AK75" s="395"/>
      <c r="AL75" s="334">
        <v>10179839.442763567</v>
      </c>
      <c r="AM75" s="161">
        <f t="shared" ref="AM75:AN75" si="60">AM23-AM11</f>
        <v>10179839.435000002</v>
      </c>
      <c r="AN75" s="1013">
        <f t="shared" si="60"/>
        <v>-7.7635645866394043E-3</v>
      </c>
      <c r="AO75" s="334">
        <v>9808185.4527635574</v>
      </c>
      <c r="AP75" s="323">
        <f>AP23-AP11</f>
        <v>9808185.4449999928</v>
      </c>
      <c r="AQ75" s="406">
        <f>AQ23-AQ11</f>
        <v>-7.7635645866394043E-3</v>
      </c>
      <c r="AR75" s="323">
        <f>AR23-AR11</f>
        <v>371653.98999999464</v>
      </c>
      <c r="AS75" s="323">
        <f>AS23-AS11</f>
        <v>371653.99000000209</v>
      </c>
      <c r="AT75" s="406">
        <f t="shared" ref="AT75" si="61">AT23-AT11</f>
        <v>0</v>
      </c>
      <c r="AU75" s="539">
        <v>0</v>
      </c>
      <c r="AV75" s="323"/>
      <c r="AW75" s="323">
        <f t="shared" ref="AW75:AX75" si="62">AW23-AW11</f>
        <v>0</v>
      </c>
      <c r="AX75" s="406">
        <f t="shared" si="62"/>
        <v>0</v>
      </c>
      <c r="BG75" s="619"/>
      <c r="BH75" s="620"/>
      <c r="BI75" s="617">
        <v>1222485.57</v>
      </c>
      <c r="BJ75" s="621">
        <f t="shared" si="59"/>
        <v>-405335.1800000004</v>
      </c>
      <c r="BM75" s="632">
        <f>BM23-BM11</f>
        <v>10179839.442763567</v>
      </c>
      <c r="BN75" s="632">
        <f>BN23-BN11</f>
        <v>-12791385.120000064</v>
      </c>
      <c r="BO75" s="632"/>
      <c r="BP75" s="632">
        <f t="shared" ref="BP75" si="63">BP23-BP11</f>
        <v>-7266364.0435999632</v>
      </c>
      <c r="BQ75" s="619"/>
      <c r="BR75" s="620"/>
      <c r="BS75" s="617">
        <v>1222485.57</v>
      </c>
      <c r="BT75" s="621">
        <f t="shared" si="45"/>
        <v>-850831.58000000543</v>
      </c>
    </row>
    <row r="76" spans="1:72" s="115" customFormat="1" ht="19.5" thickBot="1" x14ac:dyDescent="0.35">
      <c r="A76" s="446" t="s">
        <v>195</v>
      </c>
      <c r="B76" s="447">
        <v>600</v>
      </c>
      <c r="C76" s="448" t="s">
        <v>149</v>
      </c>
      <c r="D76" s="1069">
        <f>D75+D11-D23+D71</f>
        <v>3.5762786865234375E-7</v>
      </c>
      <c r="E76" s="1056">
        <f>E75+E11-E23+E71</f>
        <v>3.5762786865234375E-7</v>
      </c>
      <c r="F76" s="413">
        <f t="shared" ref="F76" si="64">E76-D76</f>
        <v>0</v>
      </c>
      <c r="G76" s="407">
        <f>G11+G75-G23</f>
        <v>0</v>
      </c>
      <c r="H76" s="304">
        <f>H11+H75-H23</f>
        <v>0</v>
      </c>
      <c r="I76" s="670">
        <f t="shared" ref="I76:M76" si="65">I11+I75-I23</f>
        <v>0</v>
      </c>
      <c r="J76" s="1031">
        <f t="shared" si="65"/>
        <v>0</v>
      </c>
      <c r="K76" s="407">
        <f t="shared" si="65"/>
        <v>0</v>
      </c>
      <c r="L76" s="304">
        <f t="shared" si="65"/>
        <v>0</v>
      </c>
      <c r="M76" s="304">
        <f t="shared" si="65"/>
        <v>0</v>
      </c>
      <c r="N76" s="303">
        <f t="shared" ref="N76:AE76" si="66">N11+N75-N23</f>
        <v>0</v>
      </c>
      <c r="O76" s="304">
        <f t="shared" si="66"/>
        <v>0</v>
      </c>
      <c r="P76" s="370"/>
      <c r="Q76" s="1067">
        <f>Q75+Q11-Q23+Q71</f>
        <v>-3.5762786865234375E-7</v>
      </c>
      <c r="R76" s="1070">
        <f>R75+R11-R23+R71</f>
        <v>3.5762786865234375E-7</v>
      </c>
      <c r="S76" s="1066">
        <f t="shared" si="66"/>
        <v>0</v>
      </c>
      <c r="T76" s="530">
        <f>T11+T75-T23+T71</f>
        <v>205614792.37</v>
      </c>
      <c r="U76" s="388">
        <f t="shared" si="66"/>
        <v>0</v>
      </c>
      <c r="V76" s="388">
        <f>V11+V75-V23</f>
        <v>-1634300.779999733</v>
      </c>
      <c r="W76" s="362">
        <f t="shared" ref="W76" si="67">V76-U76</f>
        <v>-1634300.779999733</v>
      </c>
      <c r="X76" s="376">
        <f t="shared" si="66"/>
        <v>0</v>
      </c>
      <c r="Y76" s="388">
        <f t="shared" si="66"/>
        <v>0</v>
      </c>
      <c r="Z76" s="362">
        <f t="shared" si="66"/>
        <v>0</v>
      </c>
      <c r="AA76" s="388">
        <f t="shared" si="66"/>
        <v>0</v>
      </c>
      <c r="AB76" s="388">
        <f t="shared" si="66"/>
        <v>0</v>
      </c>
      <c r="AC76" s="388">
        <f t="shared" si="66"/>
        <v>0</v>
      </c>
      <c r="AD76" s="281">
        <v>0</v>
      </c>
      <c r="AE76" s="388">
        <f t="shared" si="66"/>
        <v>0</v>
      </c>
      <c r="AF76" s="362">
        <f t="shared" ref="AF76" si="68">AE76-AD76</f>
        <v>0</v>
      </c>
      <c r="AG76" s="281"/>
      <c r="AH76" s="388">
        <f>AH11+AH75-AH23</f>
        <v>1634300.7800000003</v>
      </c>
      <c r="AI76" s="362">
        <f t="shared" ref="AI76" si="69">AH76-AG76</f>
        <v>1634300.7800000003</v>
      </c>
      <c r="AJ76" s="428">
        <f t="shared" ref="AJ76:AU76" si="70">AJ11+AJ75-AJ23</f>
        <v>0</v>
      </c>
      <c r="AK76" s="399">
        <f t="shared" si="70"/>
        <v>0</v>
      </c>
      <c r="AL76" s="344">
        <v>0</v>
      </c>
      <c r="AM76" s="345">
        <f>AM11+AM75-AM23</f>
        <v>0</v>
      </c>
      <c r="AN76" s="1014">
        <f t="shared" ref="AN76:AS76" si="71">AN11+AN75-AN23</f>
        <v>0</v>
      </c>
      <c r="AO76" s="344">
        <v>0</v>
      </c>
      <c r="AP76" s="345">
        <f t="shared" si="71"/>
        <v>0</v>
      </c>
      <c r="AQ76" s="346">
        <f t="shared" si="71"/>
        <v>0</v>
      </c>
      <c r="AR76" s="390">
        <v>0</v>
      </c>
      <c r="AS76" s="345">
        <f t="shared" si="71"/>
        <v>0</v>
      </c>
      <c r="AT76" s="346"/>
      <c r="AU76" s="545">
        <f t="shared" si="70"/>
        <v>0</v>
      </c>
      <c r="AV76" s="390">
        <v>0</v>
      </c>
      <c r="AW76" s="345">
        <f t="shared" ref="AW76" si="72">AW11+AW75-AW23</f>
        <v>0</v>
      </c>
      <c r="AX76" s="346"/>
      <c r="BG76" s="623">
        <f>BG23</f>
        <v>0</v>
      </c>
      <c r="BH76" s="624">
        <f>SUM(BH26:BH74)</f>
        <v>15071900</v>
      </c>
      <c r="BI76" s="623">
        <f>BI23</f>
        <v>69438047.340000004</v>
      </c>
      <c r="BJ76" s="624">
        <f>SUM(BJ26:BJ74)</f>
        <v>-79413362.149999991</v>
      </c>
      <c r="BM76" s="628">
        <f t="shared" si="18"/>
        <v>0</v>
      </c>
      <c r="BN76" s="628"/>
      <c r="BO76" s="604"/>
      <c r="BP76" s="531"/>
      <c r="BQ76" s="623">
        <f>BQ23</f>
        <v>262223617.94999999</v>
      </c>
      <c r="BR76" s="624">
        <f>SUM(BR26:BR74)</f>
        <v>103077143.47892708</v>
      </c>
      <c r="BS76" s="623">
        <f>BS23</f>
        <v>69438047.340000004</v>
      </c>
      <c r="BT76" s="624">
        <f>SUM(BT26:BT74)</f>
        <v>23912198.940000005</v>
      </c>
    </row>
    <row r="77" spans="1:72" s="115" customFormat="1" ht="19.5" hidden="1" customHeight="1" thickBot="1" x14ac:dyDescent="0.35">
      <c r="A77" s="463"/>
      <c r="B77" s="464"/>
      <c r="C77" s="465"/>
      <c r="D77" s="466"/>
      <c r="E77" s="466"/>
      <c r="F77" s="466"/>
      <c r="G77" s="466"/>
      <c r="H77" s="466"/>
      <c r="I77" s="471"/>
      <c r="J77" s="466"/>
      <c r="K77" s="466"/>
      <c r="L77" s="466"/>
      <c r="M77" s="466"/>
      <c r="N77" s="466"/>
      <c r="O77" s="466"/>
      <c r="P77" s="466"/>
      <c r="Q77" s="466"/>
      <c r="R77" s="466"/>
      <c r="S77" s="466"/>
      <c r="T77" s="466"/>
      <c r="U77" s="466"/>
      <c r="V77" s="466"/>
      <c r="W77" s="466"/>
      <c r="X77" s="466"/>
      <c r="Y77" s="466"/>
      <c r="Z77" s="466"/>
      <c r="AA77" s="466"/>
      <c r="AB77" s="466"/>
      <c r="AC77" s="466"/>
      <c r="AD77" s="466"/>
      <c r="AE77" s="466"/>
      <c r="AF77" s="466"/>
      <c r="AG77" s="466"/>
      <c r="AH77" s="466"/>
      <c r="AI77" s="466"/>
      <c r="AJ77" s="466"/>
      <c r="AK77" s="466"/>
      <c r="AL77" s="466"/>
      <c r="AM77" s="466"/>
      <c r="AN77" s="466"/>
      <c r="AO77" s="466"/>
      <c r="AP77" s="466"/>
      <c r="AQ77" s="466"/>
      <c r="AR77" s="466"/>
      <c r="AS77" s="466"/>
      <c r="AT77" s="466"/>
      <c r="AU77" s="466"/>
      <c r="AV77" s="466"/>
      <c r="AW77" s="466"/>
      <c r="AX77" s="466"/>
      <c r="BM77" s="604"/>
      <c r="BN77" s="604"/>
      <c r="BO77" s="604"/>
      <c r="BP77" s="531"/>
      <c r="BQ77" s="607"/>
    </row>
    <row r="78" spans="1:72" s="115" customFormat="1" hidden="1" x14ac:dyDescent="0.3">
      <c r="A78" s="463"/>
      <c r="B78" s="464"/>
      <c r="C78" s="465"/>
      <c r="D78" s="157">
        <f>D23-D11</f>
        <v>419446106.56999993</v>
      </c>
      <c r="E78" s="157">
        <f t="shared" ref="E78:AU78" si="73">E23-E11</f>
        <v>419446106.56499958</v>
      </c>
      <c r="F78" s="157">
        <f t="shared" si="73"/>
        <v>-5.0003528594970703E-3</v>
      </c>
      <c r="G78" s="157">
        <f t="shared" si="73"/>
        <v>21072590.976574481</v>
      </c>
      <c r="H78" s="157">
        <f t="shared" si="73"/>
        <v>21072590.980000019</v>
      </c>
      <c r="I78" s="157">
        <f t="shared" si="73"/>
        <v>3.4255385398864746E-3</v>
      </c>
      <c r="J78" s="157">
        <f t="shared" si="73"/>
        <v>16524140.506574497</v>
      </c>
      <c r="K78" s="157">
        <f t="shared" si="73"/>
        <v>4548450.4600000083</v>
      </c>
      <c r="L78" s="157">
        <f t="shared" si="73"/>
        <v>4548450.4600000083</v>
      </c>
      <c r="M78" s="157">
        <f t="shared" si="73"/>
        <v>0</v>
      </c>
      <c r="N78" s="157">
        <f t="shared" si="73"/>
        <v>9.9999979138374329E-3</v>
      </c>
      <c r="O78" s="157">
        <f t="shared" si="73"/>
        <v>9.9999979138374329E-3</v>
      </c>
      <c r="P78" s="157">
        <f t="shared" si="73"/>
        <v>0</v>
      </c>
      <c r="Q78" s="157">
        <f t="shared" si="73"/>
        <v>388193676.15000033</v>
      </c>
      <c r="R78" s="157">
        <f t="shared" si="73"/>
        <v>388193676.14999962</v>
      </c>
      <c r="S78" s="157">
        <f t="shared" si="73"/>
        <v>0</v>
      </c>
      <c r="T78" s="157">
        <f t="shared" si="73"/>
        <v>388193676.14999998</v>
      </c>
      <c r="U78" s="157">
        <f t="shared" si="73"/>
        <v>0</v>
      </c>
      <c r="V78" s="157">
        <f t="shared" si="73"/>
        <v>817150.38999986649</v>
      </c>
      <c r="W78" s="157">
        <f t="shared" si="73"/>
        <v>817150.38999986649</v>
      </c>
      <c r="X78" s="157">
        <f t="shared" si="73"/>
        <v>0</v>
      </c>
      <c r="Y78" s="157">
        <f t="shared" ref="Y78" si="74">Y23-Y11</f>
        <v>0</v>
      </c>
      <c r="Z78" s="157">
        <f t="shared" ref="Z78" si="75">Z23-Z11</f>
        <v>0</v>
      </c>
      <c r="AA78" s="157">
        <f t="shared" si="73"/>
        <v>0</v>
      </c>
      <c r="AB78" s="157">
        <f t="shared" si="73"/>
        <v>0</v>
      </c>
      <c r="AC78" s="157">
        <f t="shared" si="73"/>
        <v>0</v>
      </c>
      <c r="AD78" s="157"/>
      <c r="AE78" s="157"/>
      <c r="AF78" s="157"/>
      <c r="AG78" s="157"/>
      <c r="AH78" s="157"/>
      <c r="AI78" s="157"/>
      <c r="AJ78" s="157">
        <f t="shared" si="73"/>
        <v>0</v>
      </c>
      <c r="AK78" s="157">
        <f t="shared" si="73"/>
        <v>0</v>
      </c>
      <c r="AL78" s="157">
        <f t="shared" si="73"/>
        <v>10179839.442763567</v>
      </c>
      <c r="AM78" s="157">
        <f t="shared" si="73"/>
        <v>10179839.435000002</v>
      </c>
      <c r="AN78" s="157">
        <f t="shared" si="73"/>
        <v>-7.7635645866394043E-3</v>
      </c>
      <c r="AO78" s="157">
        <f t="shared" si="73"/>
        <v>9808185.4527635574</v>
      </c>
      <c r="AP78" s="157">
        <f t="shared" si="73"/>
        <v>9808185.4449999928</v>
      </c>
      <c r="AQ78" s="157">
        <f t="shared" si="73"/>
        <v>-7.7635645866394043E-3</v>
      </c>
      <c r="AR78" s="157">
        <f t="shared" si="73"/>
        <v>371653.98999999464</v>
      </c>
      <c r="AS78" s="157">
        <f t="shared" si="73"/>
        <v>371653.99000000209</v>
      </c>
      <c r="AT78" s="157">
        <f t="shared" si="73"/>
        <v>0</v>
      </c>
      <c r="AU78" s="157">
        <f t="shared" si="73"/>
        <v>0</v>
      </c>
      <c r="AV78" s="467"/>
      <c r="AW78" s="467"/>
      <c r="AX78" s="467"/>
      <c r="BM78" s="604"/>
      <c r="BN78" s="604"/>
      <c r="BO78" s="604"/>
      <c r="BP78" s="531"/>
      <c r="BQ78" s="607"/>
    </row>
    <row r="79" spans="1:72" s="115" customFormat="1" hidden="1" x14ac:dyDescent="0.3">
      <c r="A79" s="463"/>
      <c r="B79" s="464"/>
      <c r="C79" s="465"/>
      <c r="D79" s="466">
        <f>D78+D76</f>
        <v>419446106.57000029</v>
      </c>
      <c r="E79" s="466">
        <f t="shared" ref="E79:AU79" si="76">E78+E76</f>
        <v>419446106.56499994</v>
      </c>
      <c r="F79" s="466">
        <f t="shared" si="76"/>
        <v>-5.0003528594970703E-3</v>
      </c>
      <c r="G79" s="466">
        <f t="shared" si="76"/>
        <v>21072590.976574481</v>
      </c>
      <c r="H79" s="466">
        <f t="shared" si="76"/>
        <v>21072590.980000019</v>
      </c>
      <c r="I79" s="466">
        <f t="shared" si="76"/>
        <v>3.4255385398864746E-3</v>
      </c>
      <c r="J79" s="466">
        <f t="shared" si="76"/>
        <v>16524140.506574497</v>
      </c>
      <c r="K79" s="466">
        <f t="shared" si="76"/>
        <v>4548450.4600000083</v>
      </c>
      <c r="L79" s="466">
        <f t="shared" si="76"/>
        <v>4548450.4600000083</v>
      </c>
      <c r="M79" s="466">
        <f t="shared" si="76"/>
        <v>0</v>
      </c>
      <c r="N79" s="466">
        <f t="shared" si="76"/>
        <v>9.9999979138374329E-3</v>
      </c>
      <c r="O79" s="466">
        <f t="shared" si="76"/>
        <v>9.9999979138374329E-3</v>
      </c>
      <c r="P79" s="466">
        <f t="shared" si="76"/>
        <v>0</v>
      </c>
      <c r="Q79" s="466">
        <f t="shared" si="76"/>
        <v>388193676.14999998</v>
      </c>
      <c r="R79" s="466">
        <f t="shared" si="76"/>
        <v>388193676.14999998</v>
      </c>
      <c r="S79" s="466">
        <f t="shared" si="76"/>
        <v>0</v>
      </c>
      <c r="T79" s="466">
        <f t="shared" si="76"/>
        <v>593808468.51999998</v>
      </c>
      <c r="U79" s="466">
        <f t="shared" si="76"/>
        <v>0</v>
      </c>
      <c r="V79" s="466">
        <f t="shared" si="76"/>
        <v>-817150.38999986649</v>
      </c>
      <c r="W79" s="466">
        <f t="shared" si="76"/>
        <v>-817150.38999986649</v>
      </c>
      <c r="X79" s="466">
        <f t="shared" si="76"/>
        <v>0</v>
      </c>
      <c r="Y79" s="466">
        <f t="shared" ref="Y79" si="77">Y78+Y76</f>
        <v>0</v>
      </c>
      <c r="Z79" s="466">
        <f t="shared" ref="Z79" si="78">Z78+Z76</f>
        <v>0</v>
      </c>
      <c r="AA79" s="466">
        <f t="shared" si="76"/>
        <v>0</v>
      </c>
      <c r="AB79" s="466">
        <f t="shared" si="76"/>
        <v>0</v>
      </c>
      <c r="AC79" s="466">
        <f t="shared" si="76"/>
        <v>0</v>
      </c>
      <c r="AD79" s="466"/>
      <c r="AE79" s="466"/>
      <c r="AF79" s="466"/>
      <c r="AG79" s="466"/>
      <c r="AH79" s="466"/>
      <c r="AI79" s="466"/>
      <c r="AJ79" s="466">
        <f t="shared" si="76"/>
        <v>0</v>
      </c>
      <c r="AK79" s="466">
        <f t="shared" si="76"/>
        <v>0</v>
      </c>
      <c r="AL79" s="466">
        <f t="shared" si="76"/>
        <v>10179839.442763567</v>
      </c>
      <c r="AM79" s="466">
        <f t="shared" si="76"/>
        <v>10179839.435000002</v>
      </c>
      <c r="AN79" s="466">
        <f t="shared" si="76"/>
        <v>-7.7635645866394043E-3</v>
      </c>
      <c r="AO79" s="466">
        <f t="shared" si="76"/>
        <v>9808185.4527635574</v>
      </c>
      <c r="AP79" s="466">
        <f t="shared" si="76"/>
        <v>9808185.4449999928</v>
      </c>
      <c r="AQ79" s="466">
        <f t="shared" si="76"/>
        <v>-7.7635645866394043E-3</v>
      </c>
      <c r="AR79" s="466">
        <f t="shared" si="76"/>
        <v>371653.98999999464</v>
      </c>
      <c r="AS79" s="466">
        <f t="shared" si="76"/>
        <v>371653.99000000209</v>
      </c>
      <c r="AT79" s="466">
        <f t="shared" si="76"/>
        <v>0</v>
      </c>
      <c r="AU79" s="466">
        <f t="shared" si="76"/>
        <v>0</v>
      </c>
      <c r="AV79" s="466"/>
      <c r="AW79" s="466"/>
      <c r="AX79" s="466"/>
      <c r="BM79" s="604"/>
      <c r="BN79" s="604"/>
      <c r="BO79" s="604"/>
      <c r="BP79" s="531"/>
      <c r="BQ79" s="607"/>
    </row>
    <row r="80" spans="1:72" s="115" customFormat="1" hidden="1" x14ac:dyDescent="0.3">
      <c r="A80" s="463"/>
      <c r="B80" s="464"/>
      <c r="C80" s="465"/>
      <c r="D80" s="466" t="b">
        <f>D75=D79</f>
        <v>0</v>
      </c>
      <c r="E80" s="466" t="b">
        <f t="shared" ref="E80:AU80" si="79">E75=E79</f>
        <v>0</v>
      </c>
      <c r="F80" s="466" t="b">
        <f t="shared" si="79"/>
        <v>0</v>
      </c>
      <c r="G80" s="466" t="b">
        <f t="shared" si="79"/>
        <v>1</v>
      </c>
      <c r="H80" s="466" t="b">
        <f t="shared" si="79"/>
        <v>1</v>
      </c>
      <c r="I80" s="466" t="b">
        <f t="shared" si="79"/>
        <v>1</v>
      </c>
      <c r="J80" s="466" t="b">
        <f t="shared" si="79"/>
        <v>1</v>
      </c>
      <c r="K80" s="466" t="b">
        <f t="shared" si="79"/>
        <v>1</v>
      </c>
      <c r="L80" s="466" t="b">
        <f t="shared" si="79"/>
        <v>1</v>
      </c>
      <c r="M80" s="466" t="b">
        <f t="shared" si="79"/>
        <v>1</v>
      </c>
      <c r="N80" s="466" t="b">
        <f t="shared" si="79"/>
        <v>1</v>
      </c>
      <c r="O80" s="466" t="b">
        <f t="shared" si="79"/>
        <v>1</v>
      </c>
      <c r="P80" s="466" t="b">
        <f t="shared" si="79"/>
        <v>1</v>
      </c>
      <c r="Q80" s="466" t="b">
        <f t="shared" si="79"/>
        <v>0</v>
      </c>
      <c r="R80" s="466" t="b">
        <f t="shared" si="79"/>
        <v>0</v>
      </c>
      <c r="S80" s="466" t="b">
        <f t="shared" si="79"/>
        <v>1</v>
      </c>
      <c r="T80" s="466" t="b">
        <f t="shared" si="79"/>
        <v>1</v>
      </c>
      <c r="U80" s="466" t="b">
        <f t="shared" si="79"/>
        <v>1</v>
      </c>
      <c r="V80" s="466" t="b">
        <f t="shared" si="79"/>
        <v>1</v>
      </c>
      <c r="W80" s="466" t="b">
        <f t="shared" si="79"/>
        <v>1</v>
      </c>
      <c r="X80" s="466" t="b">
        <f t="shared" si="79"/>
        <v>1</v>
      </c>
      <c r="Y80" s="466" t="b">
        <f t="shared" ref="Y80" si="80">Y75=Y79</f>
        <v>1</v>
      </c>
      <c r="Z80" s="466" t="b">
        <f t="shared" ref="Z80" si="81">Z75=Z79</f>
        <v>1</v>
      </c>
      <c r="AA80" s="466" t="b">
        <f t="shared" si="79"/>
        <v>1</v>
      </c>
      <c r="AB80" s="466" t="b">
        <f t="shared" si="79"/>
        <v>1</v>
      </c>
      <c r="AC80" s="466" t="b">
        <f t="shared" si="79"/>
        <v>1</v>
      </c>
      <c r="AD80" s="466"/>
      <c r="AE80" s="466"/>
      <c r="AF80" s="466"/>
      <c r="AG80" s="466"/>
      <c r="AH80" s="466"/>
      <c r="AI80" s="466"/>
      <c r="AJ80" s="466" t="b">
        <f t="shared" si="79"/>
        <v>1</v>
      </c>
      <c r="AK80" s="466" t="b">
        <f t="shared" si="79"/>
        <v>1</v>
      </c>
      <c r="AL80" s="466" t="b">
        <f t="shared" si="79"/>
        <v>1</v>
      </c>
      <c r="AM80" s="466" t="b">
        <f t="shared" si="79"/>
        <v>1</v>
      </c>
      <c r="AN80" s="466" t="b">
        <f t="shared" si="79"/>
        <v>1</v>
      </c>
      <c r="AO80" s="466" t="b">
        <f t="shared" si="79"/>
        <v>1</v>
      </c>
      <c r="AP80" s="466" t="b">
        <f t="shared" si="79"/>
        <v>1</v>
      </c>
      <c r="AQ80" s="466" t="b">
        <f t="shared" si="79"/>
        <v>1</v>
      </c>
      <c r="AR80" s="466" t="b">
        <f t="shared" si="79"/>
        <v>1</v>
      </c>
      <c r="AS80" s="466" t="b">
        <f t="shared" si="79"/>
        <v>1</v>
      </c>
      <c r="AT80" s="466" t="b">
        <f t="shared" si="79"/>
        <v>1</v>
      </c>
      <c r="AU80" s="466" t="b">
        <f t="shared" si="79"/>
        <v>1</v>
      </c>
      <c r="AV80" s="466"/>
      <c r="AW80" s="466"/>
      <c r="AX80" s="466"/>
      <c r="BM80" s="604"/>
      <c r="BN80" s="604"/>
      <c r="BO80" s="604"/>
      <c r="BP80" s="531"/>
      <c r="BQ80" s="607"/>
    </row>
    <row r="81" spans="1:69" s="115" customFormat="1" hidden="1" x14ac:dyDescent="0.3">
      <c r="A81" s="463"/>
      <c r="B81" s="464"/>
      <c r="C81" s="465"/>
      <c r="D81" s="466"/>
      <c r="E81" s="466">
        <f>E23-E11</f>
        <v>419446106.56499958</v>
      </c>
      <c r="F81" s="466"/>
      <c r="G81" s="466"/>
      <c r="H81" s="466"/>
      <c r="I81" s="466"/>
      <c r="J81" s="466"/>
      <c r="K81" s="466"/>
      <c r="L81" s="466"/>
      <c r="M81" s="466"/>
      <c r="N81" s="466"/>
      <c r="O81" s="466"/>
      <c r="P81" s="466"/>
      <c r="Q81" s="466"/>
      <c r="R81" s="466"/>
      <c r="S81" s="466"/>
      <c r="T81" s="466"/>
      <c r="U81" s="466"/>
      <c r="V81" s="466"/>
      <c r="W81" s="466"/>
      <c r="X81" s="466"/>
      <c r="Y81" s="466"/>
      <c r="Z81" s="466"/>
      <c r="AA81" s="466"/>
      <c r="AB81" s="466"/>
      <c r="AC81" s="466"/>
      <c r="AD81" s="466"/>
      <c r="AE81" s="466"/>
      <c r="AF81" s="466"/>
      <c r="AG81" s="466"/>
      <c r="AH81" s="466"/>
      <c r="AI81" s="466"/>
      <c r="AJ81" s="466"/>
      <c r="AK81" s="466"/>
      <c r="AL81" s="466"/>
      <c r="AM81" s="466"/>
      <c r="AN81" s="466"/>
      <c r="AO81" s="466"/>
      <c r="AP81" s="466"/>
      <c r="AQ81" s="466"/>
      <c r="AR81" s="466"/>
      <c r="AS81" s="466"/>
      <c r="AT81" s="466"/>
      <c r="AU81" s="466"/>
      <c r="AV81" s="466"/>
      <c r="AW81" s="466"/>
      <c r="AX81" s="466"/>
      <c r="BM81" s="604"/>
      <c r="BN81" s="604"/>
      <c r="BO81" s="604"/>
      <c r="BP81" s="531"/>
      <c r="BQ81" s="607"/>
    </row>
    <row r="82" spans="1:69" s="115" customFormat="1" hidden="1" x14ac:dyDescent="0.3">
      <c r="A82" s="463"/>
      <c r="B82" s="464"/>
      <c r="C82" s="465"/>
      <c r="D82" s="466"/>
      <c r="E82" s="466"/>
      <c r="F82" s="466"/>
      <c r="G82" s="466"/>
      <c r="H82" s="466"/>
      <c r="I82" s="466"/>
      <c r="J82" s="466"/>
      <c r="K82" s="466"/>
      <c r="L82" s="466"/>
      <c r="M82" s="466"/>
      <c r="N82" s="466"/>
      <c r="O82" s="466"/>
      <c r="P82" s="466"/>
      <c r="Q82" s="466"/>
      <c r="R82" s="466"/>
      <c r="S82" s="466"/>
      <c r="T82" s="466"/>
      <c r="U82" s="466"/>
      <c r="V82" s="466">
        <v>824053700</v>
      </c>
      <c r="W82" s="466"/>
      <c r="X82" s="466"/>
      <c r="Y82" s="466"/>
      <c r="Z82" s="466"/>
      <c r="AA82" s="466"/>
      <c r="AB82" s="466"/>
      <c r="AC82" s="466"/>
      <c r="AD82" s="466"/>
      <c r="AE82" s="466"/>
      <c r="AF82" s="466"/>
      <c r="AG82" s="466"/>
      <c r="AH82" s="466"/>
      <c r="AI82" s="466"/>
      <c r="AJ82" s="466"/>
      <c r="AK82" s="466"/>
      <c r="AL82" s="466"/>
      <c r="AM82" s="466"/>
      <c r="AN82" s="466"/>
      <c r="AO82" s="466"/>
      <c r="AP82" s="466">
        <f>AO75-AP75</f>
        <v>7.7635645866394043E-3</v>
      </c>
      <c r="AQ82" s="466"/>
      <c r="AR82" s="466"/>
      <c r="AS82" s="466"/>
      <c r="AT82" s="466"/>
      <c r="AU82" s="466"/>
      <c r="AV82" s="466"/>
      <c r="AW82" s="466"/>
      <c r="AX82" s="466"/>
      <c r="BM82" s="604"/>
      <c r="BN82" s="604"/>
      <c r="BO82" s="604"/>
      <c r="BP82" s="531"/>
      <c r="BQ82" s="607"/>
    </row>
    <row r="83" spans="1:69" s="115" customFormat="1" hidden="1" x14ac:dyDescent="0.3">
      <c r="A83" s="463"/>
      <c r="B83" s="464"/>
      <c r="C83" s="465"/>
      <c r="D83" s="466"/>
      <c r="E83" s="466"/>
      <c r="F83" s="466">
        <f>F11-F23</f>
        <v>5.0003528594970703E-3</v>
      </c>
      <c r="G83" s="466"/>
      <c r="H83" s="466"/>
      <c r="I83" s="466"/>
      <c r="J83" s="466"/>
      <c r="K83" s="466"/>
      <c r="L83" s="466"/>
      <c r="M83" s="466"/>
      <c r="N83" s="466"/>
      <c r="O83" s="466"/>
      <c r="P83" s="466"/>
      <c r="Q83" s="466"/>
      <c r="R83" s="466"/>
      <c r="S83" s="466"/>
      <c r="T83" s="466"/>
      <c r="U83" s="466"/>
      <c r="V83" s="466">
        <f>V82-X11-AA11-1896500.82-6372300</f>
        <v>786775320.70999992</v>
      </c>
      <c r="W83" s="466"/>
      <c r="X83" s="466"/>
      <c r="Y83" s="466"/>
      <c r="Z83" s="466"/>
      <c r="AA83" s="466"/>
      <c r="AB83" s="466"/>
      <c r="AC83" s="466"/>
      <c r="AD83" s="466"/>
      <c r="AE83" s="466"/>
      <c r="AF83" s="466"/>
      <c r="AG83" s="466"/>
      <c r="AH83" s="466"/>
      <c r="AI83" s="466"/>
      <c r="AJ83" s="466"/>
      <c r="AK83" s="466"/>
      <c r="AL83" s="466"/>
      <c r="AM83" s="466"/>
      <c r="AN83" s="466"/>
      <c r="AO83" s="466"/>
      <c r="AP83" s="466"/>
      <c r="AQ83" s="466"/>
      <c r="AR83" s="466"/>
      <c r="AS83" s="466"/>
      <c r="AT83" s="466"/>
      <c r="AU83" s="466"/>
      <c r="AV83" s="466"/>
      <c r="AW83" s="466"/>
      <c r="AX83" s="466"/>
      <c r="BM83" s="604"/>
      <c r="BN83" s="604"/>
      <c r="BO83" s="604"/>
      <c r="BP83" s="531"/>
      <c r="BQ83" s="607"/>
    </row>
    <row r="84" spans="1:69" s="115" customFormat="1" hidden="1" x14ac:dyDescent="0.3">
      <c r="A84" s="463"/>
      <c r="B84" s="464"/>
      <c r="C84" s="465"/>
      <c r="D84" s="466"/>
      <c r="E84" s="466"/>
      <c r="F84" s="466" t="b">
        <f>F76=F83</f>
        <v>0</v>
      </c>
      <c r="G84" s="466"/>
      <c r="H84" s="466"/>
      <c r="I84" s="466"/>
      <c r="J84" s="466"/>
      <c r="K84" s="466"/>
      <c r="L84" s="466"/>
      <c r="M84" s="466"/>
      <c r="N84" s="466"/>
      <c r="O84" s="466"/>
      <c r="P84" s="466"/>
      <c r="Q84" s="466"/>
      <c r="R84" s="466"/>
      <c r="S84" s="466"/>
      <c r="T84" s="466"/>
      <c r="U84" s="466"/>
      <c r="V84" s="466"/>
      <c r="W84" s="466"/>
      <c r="X84" s="466"/>
      <c r="Y84" s="466"/>
      <c r="Z84" s="466"/>
      <c r="AA84" s="466"/>
      <c r="AB84" s="466"/>
      <c r="AC84" s="466"/>
      <c r="AD84" s="466"/>
      <c r="AE84" s="466"/>
      <c r="AF84" s="466"/>
      <c r="AG84" s="466"/>
      <c r="AH84" s="466"/>
      <c r="AI84" s="466"/>
      <c r="AJ84" s="466"/>
      <c r="AK84" s="466"/>
      <c r="AL84" s="466"/>
      <c r="AM84" s="466"/>
      <c r="AN84" s="466"/>
      <c r="AO84" s="466"/>
      <c r="AP84" s="466"/>
      <c r="AQ84" s="466"/>
      <c r="AR84" s="466"/>
      <c r="AS84" s="466"/>
      <c r="AT84" s="466"/>
      <c r="AU84" s="466"/>
      <c r="AV84" s="466"/>
      <c r="AW84" s="466"/>
      <c r="AX84" s="466"/>
      <c r="BM84" s="604"/>
      <c r="BN84" s="604"/>
      <c r="BO84" s="604"/>
      <c r="BP84" s="531"/>
      <c r="BQ84" s="607"/>
    </row>
    <row r="85" spans="1:69" s="115" customFormat="1" hidden="1" x14ac:dyDescent="0.3">
      <c r="A85" s="463"/>
      <c r="B85" s="464"/>
      <c r="C85" s="465"/>
      <c r="D85" s="466"/>
      <c r="E85" s="466"/>
      <c r="F85" s="466"/>
      <c r="G85" s="466"/>
      <c r="H85" s="466"/>
      <c r="I85" s="466"/>
      <c r="J85" s="466"/>
      <c r="K85" s="466"/>
      <c r="L85" s="466"/>
      <c r="M85" s="466"/>
      <c r="N85" s="466"/>
      <c r="O85" s="466"/>
      <c r="P85" s="466"/>
      <c r="Q85" s="466"/>
      <c r="R85" s="466"/>
      <c r="S85" s="466"/>
      <c r="T85" s="466"/>
      <c r="U85" s="466"/>
      <c r="V85" s="466"/>
      <c r="W85" s="466"/>
      <c r="X85" s="466"/>
      <c r="Y85" s="466"/>
      <c r="Z85" s="466"/>
      <c r="AA85" s="466"/>
      <c r="AB85" s="466"/>
      <c r="AC85" s="466"/>
      <c r="AD85" s="466"/>
      <c r="AE85" s="466"/>
      <c r="AF85" s="466"/>
      <c r="AG85" s="466"/>
      <c r="AH85" s="466"/>
      <c r="AI85" s="466"/>
      <c r="AJ85" s="466"/>
      <c r="AK85" s="466"/>
      <c r="AL85" s="466"/>
      <c r="AM85" s="466"/>
      <c r="AN85" s="466"/>
      <c r="AO85" s="466"/>
      <c r="AP85" s="466"/>
      <c r="AQ85" s="466"/>
      <c r="AR85" s="466"/>
      <c r="AS85" s="466"/>
      <c r="AT85" s="466"/>
      <c r="AU85" s="466"/>
      <c r="AV85" s="466"/>
      <c r="AW85" s="466"/>
      <c r="AX85" s="466"/>
      <c r="BM85" s="604"/>
      <c r="BN85" s="604"/>
      <c r="BO85" s="604"/>
      <c r="BP85" s="531"/>
      <c r="BQ85" s="607"/>
    </row>
    <row r="86" spans="1:69" s="115" customFormat="1" hidden="1" x14ac:dyDescent="0.3">
      <c r="A86" s="463"/>
      <c r="B86" s="464"/>
      <c r="C86" s="465"/>
      <c r="D86" s="466"/>
      <c r="E86" s="466"/>
      <c r="F86" s="466"/>
      <c r="G86" s="283">
        <v>493797.89</v>
      </c>
      <c r="H86" s="157">
        <v>493797.8900000155</v>
      </c>
      <c r="I86" s="298">
        <v>1.548323780298233E-8</v>
      </c>
      <c r="J86" s="467"/>
      <c r="K86" s="467"/>
      <c r="L86" s="467"/>
      <c r="M86" s="467"/>
      <c r="N86" s="467"/>
      <c r="O86" s="467"/>
      <c r="P86" s="467"/>
      <c r="Q86" s="468"/>
      <c r="R86" s="468"/>
      <c r="S86" s="468"/>
      <c r="T86" s="468"/>
      <c r="U86" s="468"/>
      <c r="V86" s="468"/>
      <c r="W86" s="468"/>
      <c r="X86" s="468"/>
      <c r="Y86" s="468"/>
      <c r="Z86" s="468"/>
      <c r="AA86" s="468"/>
      <c r="AB86" s="468"/>
      <c r="AC86" s="468"/>
      <c r="AD86" s="468"/>
      <c r="AE86" s="468"/>
      <c r="AF86" s="468"/>
      <c r="AG86" s="468"/>
      <c r="AH86" s="468"/>
      <c r="AI86" s="468"/>
      <c r="AJ86" s="469"/>
      <c r="AK86" s="469"/>
      <c r="AL86" s="470"/>
      <c r="AM86" s="470"/>
      <c r="AN86" s="470"/>
      <c r="AO86" s="470"/>
      <c r="AP86" s="470"/>
      <c r="AQ86" s="470"/>
      <c r="AR86" s="470"/>
      <c r="AS86" s="470"/>
      <c r="AT86" s="470"/>
      <c r="AU86" s="470"/>
      <c r="AV86" s="470"/>
      <c r="AW86" s="470"/>
      <c r="AX86" s="470"/>
      <c r="BM86" s="604"/>
      <c r="BN86" s="604"/>
      <c r="BO86" s="604"/>
      <c r="BP86" s="531"/>
      <c r="BQ86" s="607"/>
    </row>
    <row r="87" spans="1:69" ht="19.5" hidden="1" thickBot="1" x14ac:dyDescent="0.35">
      <c r="G87" s="407">
        <v>-2.1200180053710938E-3</v>
      </c>
      <c r="H87" s="304">
        <v>0</v>
      </c>
      <c r="I87" s="377">
        <v>2.1200180053710938E-3</v>
      </c>
      <c r="J87" s="117"/>
      <c r="K87" s="117"/>
      <c r="L87" s="117"/>
      <c r="M87" s="117"/>
      <c r="N87" s="117"/>
      <c r="O87" s="117"/>
      <c r="P87" s="117"/>
      <c r="Q87" s="117"/>
      <c r="R87" s="117"/>
      <c r="S87" s="117"/>
      <c r="T87" s="111">
        <v>49006743.600000001</v>
      </c>
      <c r="U87" s="117" t="s">
        <v>237</v>
      </c>
      <c r="V87" s="117"/>
      <c r="W87" s="117"/>
      <c r="X87" s="117"/>
      <c r="Y87" s="117"/>
      <c r="Z87" s="117"/>
      <c r="AA87" s="117"/>
      <c r="AB87" s="117"/>
      <c r="AC87" s="117"/>
      <c r="AD87" s="117"/>
      <c r="AE87" s="117"/>
      <c r="AF87" s="117"/>
      <c r="AG87" s="117"/>
      <c r="AH87" s="117"/>
      <c r="AI87" s="117"/>
      <c r="AL87" s="137">
        <f>AL23-AL11</f>
        <v>10179839.442763567</v>
      </c>
      <c r="AM87" s="137">
        <f>AM23-AM11</f>
        <v>10179839.435000002</v>
      </c>
      <c r="AO87" s="137">
        <f>AO23-AO11</f>
        <v>9808185.4527635574</v>
      </c>
      <c r="AP87" s="137">
        <f>AP23-AP11</f>
        <v>9808185.4449999928</v>
      </c>
      <c r="AQ87" s="137"/>
      <c r="AR87" s="137">
        <f t="shared" ref="AR87:AS87" si="82">AR23-AR11</f>
        <v>371653.98999999464</v>
      </c>
      <c r="AS87" s="137">
        <f t="shared" si="82"/>
        <v>371653.99000000209</v>
      </c>
    </row>
    <row r="88" spans="1:69" hidden="1" x14ac:dyDescent="0.3">
      <c r="D88" s="111">
        <f>D23-D11</f>
        <v>419446106.56999993</v>
      </c>
      <c r="G88" s="466"/>
      <c r="H88" s="466"/>
      <c r="I88" s="471"/>
      <c r="J88" s="117"/>
      <c r="K88" s="111"/>
      <c r="L88" s="111"/>
      <c r="M88" s="111"/>
      <c r="N88" s="117"/>
      <c r="O88" s="117"/>
      <c r="P88" s="117"/>
      <c r="Q88" s="117"/>
      <c r="R88" s="117"/>
      <c r="S88" s="117"/>
      <c r="T88" s="111">
        <f>T76-T87</f>
        <v>156608048.77000001</v>
      </c>
      <c r="U88" s="117" t="s">
        <v>197</v>
      </c>
      <c r="V88" s="117"/>
      <c r="W88" s="117"/>
      <c r="X88" s="117"/>
      <c r="Y88" s="117"/>
      <c r="Z88" s="117"/>
      <c r="AA88" s="117"/>
      <c r="AB88" s="117"/>
      <c r="AC88" s="117"/>
      <c r="AD88" s="117"/>
      <c r="AE88" s="117"/>
      <c r="AF88" s="117"/>
      <c r="AG88" s="117"/>
      <c r="AH88" s="117"/>
      <c r="AI88" s="117"/>
    </row>
    <row r="89" spans="1:69" hidden="1" x14ac:dyDescent="0.3">
      <c r="G89" s="157">
        <v>493797.8921200037</v>
      </c>
      <c r="H89" s="157">
        <v>493797.8900000155</v>
      </c>
      <c r="I89" s="157">
        <v>-2.1199882030487061E-3</v>
      </c>
      <c r="J89" s="117">
        <v>211</v>
      </c>
      <c r="K89" s="111">
        <v>170582.06</v>
      </c>
      <c r="L89" s="111"/>
      <c r="M89" s="111"/>
      <c r="N89" s="117"/>
      <c r="O89" s="117"/>
      <c r="P89" s="117"/>
      <c r="Q89" s="117"/>
      <c r="R89" s="117"/>
      <c r="S89" s="117"/>
      <c r="T89" s="117"/>
      <c r="U89" s="117"/>
      <c r="V89" s="117"/>
      <c r="W89" s="117"/>
      <c r="X89" s="117"/>
      <c r="Y89" s="117"/>
      <c r="Z89" s="117"/>
      <c r="AA89" s="117"/>
      <c r="AB89" s="117"/>
      <c r="AC89" s="117"/>
      <c r="AD89" s="117"/>
      <c r="AE89" s="117"/>
      <c r="AF89" s="117"/>
      <c r="AG89" s="117"/>
      <c r="AH89" s="117"/>
      <c r="AI89" s="117"/>
      <c r="AJ89" s="117">
        <v>211</v>
      </c>
      <c r="AK89" s="137">
        <v>109680.99846390169</v>
      </c>
      <c r="AO89" s="263"/>
      <c r="AP89" s="263"/>
      <c r="AQ89" s="263"/>
      <c r="AR89" s="137">
        <v>2818.05</v>
      </c>
      <c r="AS89" s="137"/>
      <c r="AT89" s="137"/>
      <c r="AU89" s="151">
        <v>221</v>
      </c>
      <c r="AV89" s="151"/>
      <c r="AW89" s="151"/>
      <c r="AX89" s="151"/>
    </row>
    <row r="90" spans="1:69" hidden="1" x14ac:dyDescent="0.3">
      <c r="G90" s="466">
        <v>493797.88999998569</v>
      </c>
      <c r="H90" s="466">
        <v>493797.8900000155</v>
      </c>
      <c r="I90" s="466">
        <v>2.9802322387695313E-8</v>
      </c>
      <c r="J90" s="117">
        <v>213</v>
      </c>
      <c r="K90" s="111">
        <f>K89*30.2%+0.01</f>
        <v>51515.792119999998</v>
      </c>
      <c r="L90" s="111"/>
      <c r="M90" s="111"/>
      <c r="N90" s="117"/>
      <c r="O90" s="117"/>
      <c r="P90" s="117"/>
      <c r="Q90" s="117"/>
      <c r="R90" s="117"/>
      <c r="S90" s="117"/>
      <c r="T90" s="117"/>
      <c r="U90" s="117"/>
      <c r="V90" s="117"/>
      <c r="W90" s="117"/>
      <c r="X90" s="117"/>
      <c r="Y90" s="117"/>
      <c r="Z90" s="117"/>
      <c r="AA90" s="117"/>
      <c r="AB90" s="117"/>
      <c r="AC90" s="117"/>
      <c r="AD90" s="117"/>
      <c r="AE90" s="117"/>
      <c r="AF90" s="117"/>
      <c r="AG90" s="117"/>
      <c r="AH90" s="117"/>
      <c r="AI90" s="117"/>
      <c r="AJ90" s="117">
        <v>213</v>
      </c>
      <c r="AK90" s="137">
        <v>33123.660000000003</v>
      </c>
      <c r="AO90" s="263"/>
      <c r="AP90" s="263"/>
      <c r="AQ90" s="263"/>
      <c r="AR90" s="137">
        <v>63920</v>
      </c>
      <c r="AS90" s="137"/>
      <c r="AT90" s="137"/>
      <c r="AU90" s="151">
        <v>310</v>
      </c>
      <c r="AV90" s="151"/>
      <c r="AW90" s="151"/>
      <c r="AX90" s="151"/>
    </row>
    <row r="91" spans="1:69" hidden="1" x14ac:dyDescent="0.3">
      <c r="G91" s="466" t="b">
        <v>0</v>
      </c>
      <c r="H91" s="466" t="b">
        <v>1</v>
      </c>
      <c r="I91" s="466" t="b">
        <v>0</v>
      </c>
      <c r="J91" s="117">
        <v>226</v>
      </c>
      <c r="K91" s="111">
        <v>176906.04</v>
      </c>
      <c r="L91" s="111"/>
      <c r="M91" s="111"/>
      <c r="N91" s="117"/>
      <c r="O91" s="117"/>
      <c r="P91" s="117"/>
      <c r="Q91" s="111"/>
      <c r="R91" s="111"/>
      <c r="S91" s="111"/>
      <c r="T91" s="111"/>
      <c r="U91" s="117"/>
      <c r="V91" s="117"/>
      <c r="W91" s="117"/>
      <c r="X91" s="117"/>
      <c r="Y91" s="117"/>
      <c r="Z91" s="117"/>
      <c r="AA91" s="117"/>
      <c r="AB91" s="117"/>
      <c r="AC91" s="117"/>
      <c r="AD91" s="117"/>
      <c r="AE91" s="117"/>
      <c r="AF91" s="117"/>
      <c r="AG91" s="117"/>
      <c r="AH91" s="117"/>
      <c r="AI91" s="117"/>
      <c r="AK91" s="137">
        <f>SUM(AK89:AK90)</f>
        <v>142804.65846390169</v>
      </c>
      <c r="AO91" s="264">
        <f>AO75</f>
        <v>9808185.4527635574</v>
      </c>
      <c r="AP91" s="264"/>
      <c r="AQ91" s="264"/>
      <c r="AR91" s="137">
        <v>1155747.52</v>
      </c>
      <c r="AS91" s="137"/>
      <c r="AT91" s="137"/>
      <c r="AU91" s="151">
        <v>340</v>
      </c>
      <c r="AV91" s="151"/>
      <c r="AW91" s="151"/>
      <c r="AX91" s="151"/>
    </row>
    <row r="92" spans="1:69" hidden="1" x14ac:dyDescent="0.3">
      <c r="G92" s="117"/>
      <c r="H92" s="117"/>
      <c r="I92" s="117"/>
      <c r="J92" s="117">
        <v>340</v>
      </c>
      <c r="K92" s="111">
        <v>94794</v>
      </c>
      <c r="L92" s="111"/>
      <c r="M92" s="111"/>
      <c r="N92" s="117"/>
      <c r="O92" s="117"/>
      <c r="P92" s="117"/>
      <c r="Q92" s="117"/>
      <c r="R92" s="117"/>
      <c r="S92" s="117"/>
      <c r="T92" s="117"/>
      <c r="U92" s="117"/>
      <c r="V92" s="117"/>
      <c r="W92" s="117"/>
      <c r="X92" s="117"/>
      <c r="Y92" s="117"/>
      <c r="Z92" s="117"/>
      <c r="AA92" s="117"/>
      <c r="AB92" s="117"/>
      <c r="AC92" s="117"/>
      <c r="AD92" s="117"/>
      <c r="AE92" s="117"/>
      <c r="AF92" s="117"/>
      <c r="AG92" s="117"/>
      <c r="AH92" s="117"/>
      <c r="AI92" s="117"/>
    </row>
    <row r="93" spans="1:69" s="531" customFormat="1" hidden="1" x14ac:dyDescent="0.3">
      <c r="C93" s="532"/>
      <c r="H93" s="535">
        <f>H23-H86</f>
        <v>239248393.09</v>
      </c>
      <c r="K93" s="533">
        <f>SUM(K89:K92)</f>
        <v>493797.89211999997</v>
      </c>
      <c r="L93" s="533"/>
      <c r="M93" s="533"/>
      <c r="AK93" s="534"/>
      <c r="AL93" s="534"/>
      <c r="AM93" s="534"/>
      <c r="AN93" s="534"/>
      <c r="BQ93" s="602"/>
    </row>
    <row r="94" spans="1:69" s="531" customFormat="1" hidden="1" x14ac:dyDescent="0.3">
      <c r="C94" s="532"/>
      <c r="G94" s="531" t="s">
        <v>450</v>
      </c>
      <c r="H94" s="535">
        <f>212239200+57300000</f>
        <v>269539200</v>
      </c>
      <c r="I94" s="533">
        <f>H94+H86</f>
        <v>270032997.88999999</v>
      </c>
      <c r="K94" s="533"/>
      <c r="L94" s="533"/>
      <c r="M94" s="533"/>
      <c r="AK94" s="534"/>
      <c r="AL94" s="534"/>
      <c r="AM94" s="534"/>
      <c r="AN94" s="534"/>
      <c r="BQ94" s="602"/>
    </row>
    <row r="95" spans="1:69" hidden="1" x14ac:dyDescent="0.3">
      <c r="G95" s="117"/>
      <c r="H95" s="111">
        <f>H94-H93</f>
        <v>30290806.909999996</v>
      </c>
      <c r="I95" s="117"/>
      <c r="J95" s="117"/>
      <c r="K95" s="111"/>
      <c r="L95" s="111"/>
      <c r="M95" s="111"/>
      <c r="N95" s="117"/>
      <c r="O95" s="117"/>
      <c r="P95" s="117"/>
      <c r="Q95" s="117"/>
      <c r="R95" s="117"/>
      <c r="S95" s="117"/>
      <c r="T95" s="117"/>
      <c r="U95" s="117"/>
      <c r="V95" s="117"/>
      <c r="W95" s="117"/>
      <c r="X95" s="117"/>
      <c r="Y95" s="117"/>
      <c r="Z95" s="117"/>
      <c r="AA95" s="117"/>
      <c r="AB95" s="117"/>
      <c r="AC95" s="117"/>
      <c r="AD95" s="117"/>
      <c r="AE95" s="117"/>
      <c r="AF95" s="117"/>
      <c r="AG95" s="117"/>
      <c r="AH95" s="117"/>
      <c r="AI95" s="117"/>
    </row>
    <row r="96" spans="1:69" hidden="1" x14ac:dyDescent="0.3">
      <c r="G96" s="117"/>
      <c r="H96" s="117"/>
      <c r="I96" s="117"/>
      <c r="J96" s="117"/>
      <c r="K96" s="117"/>
      <c r="L96" s="117"/>
      <c r="M96" s="117"/>
      <c r="N96" s="117"/>
      <c r="O96" s="117"/>
      <c r="P96" s="117"/>
      <c r="Q96" s="117"/>
      <c r="R96" s="117"/>
      <c r="S96" s="117"/>
      <c r="T96" s="117"/>
      <c r="U96" s="117"/>
      <c r="V96" s="117"/>
      <c r="W96" s="117"/>
      <c r="X96" s="117"/>
      <c r="Y96" s="117"/>
      <c r="Z96" s="117"/>
      <c r="AA96" s="117"/>
      <c r="AB96" s="117"/>
      <c r="AC96" s="117"/>
      <c r="AD96" s="117"/>
      <c r="AE96" s="117"/>
      <c r="AF96" s="117"/>
      <c r="AG96" s="117"/>
      <c r="AH96" s="117"/>
      <c r="AI96" s="117"/>
    </row>
    <row r="97" spans="5:69" hidden="1" x14ac:dyDescent="0.3">
      <c r="E97" s="111">
        <f>E45-T45-AM45</f>
        <v>2294985709.3799996</v>
      </c>
      <c r="G97" s="117"/>
      <c r="H97" s="117"/>
      <c r="I97" s="117"/>
      <c r="J97" s="117"/>
      <c r="K97" s="117"/>
      <c r="L97" s="117"/>
      <c r="M97" s="117"/>
      <c r="N97" s="117"/>
      <c r="O97" s="117"/>
      <c r="P97" s="117"/>
      <c r="Q97" s="117"/>
      <c r="R97" s="117"/>
      <c r="S97" s="117"/>
      <c r="T97" s="117"/>
      <c r="U97" s="117"/>
      <c r="V97" s="117"/>
      <c r="W97" s="117"/>
      <c r="X97" s="117"/>
      <c r="Y97" s="117"/>
      <c r="Z97" s="117"/>
      <c r="AA97" s="117"/>
      <c r="AB97" s="117"/>
      <c r="AC97" s="117"/>
      <c r="AD97" s="117"/>
      <c r="AE97" s="117"/>
      <c r="AF97" s="117"/>
      <c r="AG97" s="117"/>
      <c r="AH97" s="117"/>
      <c r="AI97" s="117"/>
    </row>
    <row r="98" spans="5:69" hidden="1" x14ac:dyDescent="0.3">
      <c r="G98" s="117"/>
      <c r="H98" s="117"/>
      <c r="I98" s="117"/>
      <c r="J98" s="117"/>
      <c r="K98" s="117"/>
      <c r="L98" s="117"/>
      <c r="M98" s="117"/>
      <c r="N98" s="117"/>
      <c r="O98" s="117"/>
      <c r="P98" s="117"/>
      <c r="Q98" s="117"/>
      <c r="R98" s="117"/>
      <c r="S98" s="117"/>
      <c r="T98" s="117"/>
      <c r="U98" s="117"/>
      <c r="V98" s="117"/>
      <c r="W98" s="117"/>
      <c r="X98" s="117"/>
      <c r="Y98" s="117"/>
      <c r="Z98" s="117"/>
      <c r="AA98" s="117"/>
      <c r="AB98" s="117"/>
      <c r="AC98" s="117"/>
      <c r="AD98" s="117"/>
      <c r="AE98" s="117"/>
      <c r="AF98" s="117"/>
      <c r="AG98" s="117"/>
      <c r="AH98" s="117"/>
      <c r="AI98" s="117"/>
    </row>
    <row r="99" spans="5:69" hidden="1" x14ac:dyDescent="0.3">
      <c r="G99" s="117"/>
      <c r="H99" s="117"/>
      <c r="I99" s="117"/>
      <c r="J99" s="117"/>
      <c r="K99" s="117"/>
      <c r="L99" s="117"/>
      <c r="M99" s="117"/>
      <c r="N99" s="117"/>
      <c r="O99" s="117"/>
      <c r="P99" s="117"/>
      <c r="Q99" s="117"/>
      <c r="R99" s="1030" t="s">
        <v>908</v>
      </c>
      <c r="S99" s="117"/>
      <c r="T99" s="117"/>
      <c r="U99" s="117"/>
      <c r="V99" s="602" t="s">
        <v>905</v>
      </c>
      <c r="W99" s="111">
        <f>SUM(W51:W98)</f>
        <v>1003365699.2300003</v>
      </c>
      <c r="X99" s="602" t="s">
        <v>906</v>
      </c>
      <c r="Y99" s="117"/>
      <c r="Z99" s="117"/>
      <c r="AA99" s="117"/>
      <c r="AB99" s="602" t="s">
        <v>907</v>
      </c>
      <c r="AC99" s="117"/>
      <c r="AD99" s="117"/>
      <c r="AE99" s="117"/>
      <c r="AF99" s="117"/>
      <c r="AG99" s="117"/>
      <c r="AH99" s="117"/>
      <c r="AI99" s="117"/>
      <c r="BQ99" s="605"/>
    </row>
    <row r="100" spans="5:69" hidden="1" x14ac:dyDescent="0.3">
      <c r="E100" s="111"/>
      <c r="G100" s="117"/>
      <c r="H100" s="111">
        <f>H24-L100-L101-L102</f>
        <v>170782400.00000003</v>
      </c>
      <c r="I100" s="117"/>
      <c r="J100" s="117"/>
      <c r="K100" s="117">
        <v>211</v>
      </c>
      <c r="L100" s="111">
        <f>Санкционирование!AV25</f>
        <v>12712935.3365745</v>
      </c>
      <c r="M100" s="111">
        <f>L100</f>
        <v>12712935.3365745</v>
      </c>
      <c r="N100" s="117"/>
      <c r="O100" s="117"/>
      <c r="P100" s="117"/>
      <c r="Q100" s="880" t="s">
        <v>917</v>
      </c>
      <c r="R100" s="111">
        <v>146375908.19999999</v>
      </c>
      <c r="S100" s="117"/>
      <c r="T100" s="117"/>
      <c r="U100" s="117"/>
      <c r="V100" s="117">
        <v>211</v>
      </c>
      <c r="W100" s="117"/>
      <c r="X100" s="111">
        <f>'расчет норматив'!AC10</f>
        <v>130723623.19</v>
      </c>
      <c r="Y100" s="117"/>
      <c r="Z100" s="117"/>
      <c r="AA100" s="117"/>
      <c r="AB100" s="111">
        <f>115806600+15362600</f>
        <v>131169200</v>
      </c>
      <c r="AC100" s="117"/>
      <c r="AD100" s="117"/>
      <c r="AE100" s="117"/>
      <c r="AF100" s="117"/>
      <c r="AG100" s="117"/>
      <c r="AH100" s="117"/>
      <c r="AI100" s="117"/>
      <c r="AK100" s="1032">
        <v>530061.06000000006</v>
      </c>
      <c r="AP100" s="970">
        <v>9808185.4700000044</v>
      </c>
      <c r="AS100" s="111">
        <f>AS75-AR75</f>
        <v>7.4505805969238281E-9</v>
      </c>
      <c r="BP100" s="533">
        <f>BP75-AL75</f>
        <v>-17446203.48636353</v>
      </c>
      <c r="BQ100" s="605">
        <v>261252050.31999999</v>
      </c>
    </row>
    <row r="101" spans="5:69" hidden="1" x14ac:dyDescent="0.3">
      <c r="E101" s="117">
        <v>205614792.37</v>
      </c>
      <c r="G101" s="117"/>
      <c r="H101" s="111">
        <f>AB103-H100</f>
        <v>0</v>
      </c>
      <c r="I101" s="117"/>
      <c r="J101" s="117"/>
      <c r="K101" s="117">
        <v>213</v>
      </c>
      <c r="L101" s="111">
        <f>Санкционирование!AV26</f>
        <v>4311035.7434254978</v>
      </c>
      <c r="M101" s="111">
        <f>'Лист2 (2)'!F13</f>
        <v>3811205.169999999</v>
      </c>
      <c r="N101" s="111">
        <f>L101-M101</f>
        <v>499830.57342549879</v>
      </c>
      <c r="O101" s="111">
        <f>'расчет норматив'!AC8+L100+L101</f>
        <v>187806371.08477378</v>
      </c>
      <c r="P101" s="117"/>
      <c r="Q101" s="880" t="s">
        <v>919</v>
      </c>
      <c r="R101" s="111">
        <v>429259.19</v>
      </c>
      <c r="S101" s="117"/>
      <c r="T101" s="117">
        <v>205614792.37</v>
      </c>
      <c r="U101" s="117"/>
      <c r="V101" s="117">
        <v>213</v>
      </c>
      <c r="W101" s="117"/>
      <c r="X101" s="111">
        <f>'расчет норматив'!AC11</f>
        <v>39613200</v>
      </c>
      <c r="Y101" s="117"/>
      <c r="Z101" s="117"/>
      <c r="AA101" s="117"/>
      <c r="AB101" s="111">
        <f>34973700+4639500</f>
        <v>39613200</v>
      </c>
      <c r="AC101" s="117"/>
      <c r="AD101" s="117"/>
      <c r="AE101" s="117"/>
      <c r="AF101" s="117"/>
      <c r="AG101" s="117"/>
      <c r="AH101" s="117"/>
      <c r="AI101" s="117"/>
      <c r="AJ101" s="117">
        <v>211</v>
      </c>
      <c r="AK101" s="1032">
        <f>AK100/1.302</f>
        <v>407112.94930875581</v>
      </c>
      <c r="BQ101" s="605">
        <f>BQ100-BQ76</f>
        <v>-971567.62999999523</v>
      </c>
    </row>
    <row r="102" spans="5:69" hidden="1" x14ac:dyDescent="0.3">
      <c r="E102" s="111">
        <f>E11+E75-E23</f>
        <v>205614792.37000036</v>
      </c>
      <c r="G102" s="117"/>
      <c r="H102" s="117"/>
      <c r="I102" s="117"/>
      <c r="J102" s="117"/>
      <c r="K102" s="117">
        <v>212</v>
      </c>
      <c r="L102" s="111">
        <f>Санкционирование!AV27</f>
        <v>79091.530000000028</v>
      </c>
      <c r="M102" s="117"/>
      <c r="N102" s="111">
        <f>L102</f>
        <v>79091.530000000028</v>
      </c>
      <c r="O102" s="111">
        <f>H24</f>
        <v>187885462.61000001</v>
      </c>
      <c r="P102" s="117"/>
      <c r="Q102" s="880" t="s">
        <v>918</v>
      </c>
      <c r="R102" s="111">
        <v>4389110</v>
      </c>
      <c r="S102" s="117"/>
      <c r="T102" s="117">
        <v>203001361.21000001</v>
      </c>
      <c r="U102" s="117"/>
      <c r="V102" s="117">
        <v>212</v>
      </c>
      <c r="W102" s="117"/>
      <c r="X102" s="111">
        <f>'расчет норматив'!AC12</f>
        <v>445576.81477379624</v>
      </c>
      <c r="Y102" s="117"/>
      <c r="Z102" s="117"/>
      <c r="AA102" s="117"/>
      <c r="AB102" s="117"/>
      <c r="AC102" s="117"/>
      <c r="AD102" s="117"/>
      <c r="AE102" s="117"/>
      <c r="AF102" s="117"/>
      <c r="AG102" s="117"/>
      <c r="AH102" s="117"/>
      <c r="AI102" s="117"/>
      <c r="AJ102" s="117">
        <v>213</v>
      </c>
      <c r="AK102" s="1032">
        <f>AK101*0.302</f>
        <v>122948.11069124425</v>
      </c>
    </row>
    <row r="103" spans="5:69" hidden="1" x14ac:dyDescent="0.3">
      <c r="G103" s="117"/>
      <c r="H103" s="117"/>
      <c r="I103" s="117"/>
      <c r="J103" s="117"/>
      <c r="K103" s="117">
        <v>221</v>
      </c>
      <c r="L103" s="111">
        <f>Санкционирование!AV47</f>
        <v>385393.10000000003</v>
      </c>
      <c r="M103" s="117"/>
      <c r="N103" s="111">
        <f t="shared" ref="N103:N113" si="83">L103</f>
        <v>385393.10000000003</v>
      </c>
      <c r="O103" s="117"/>
      <c r="P103" s="117"/>
      <c r="Q103" s="880" t="s">
        <v>920</v>
      </c>
      <c r="R103" s="111">
        <v>137961180.06</v>
      </c>
      <c r="S103" s="117"/>
      <c r="T103" s="117">
        <f>T101-T102</f>
        <v>2613431.1599999964</v>
      </c>
      <c r="U103" s="117"/>
      <c r="V103" s="117"/>
      <c r="W103" s="117"/>
      <c r="X103" s="111">
        <f>SUM(X100:X102)</f>
        <v>170782400.0047738</v>
      </c>
      <c r="Y103" s="117"/>
      <c r="Z103" s="117"/>
      <c r="AA103" s="117"/>
      <c r="AB103" s="111">
        <f>SUM(AB100:AB102)</f>
        <v>170782400</v>
      </c>
      <c r="AC103" s="117"/>
      <c r="AD103" s="117"/>
      <c r="AE103" s="137">
        <f>X103-AB103</f>
        <v>4.7737956047058105E-3</v>
      </c>
      <c r="AF103" s="117"/>
      <c r="AG103" s="117"/>
      <c r="AH103" s="117"/>
      <c r="AI103" s="117"/>
      <c r="AK103" s="1032">
        <f>AK101+AK102</f>
        <v>530061.06000000006</v>
      </c>
    </row>
    <row r="104" spans="5:69" hidden="1" x14ac:dyDescent="0.3">
      <c r="E104" s="111">
        <f>E75-D75</f>
        <v>-5.0001144409179688E-3</v>
      </c>
      <c r="G104" s="117"/>
      <c r="H104" s="117"/>
      <c r="I104" s="117"/>
      <c r="J104" s="117"/>
      <c r="K104" s="117">
        <v>222</v>
      </c>
      <c r="L104" s="111">
        <f>Санкционирование!AV48</f>
        <v>0</v>
      </c>
      <c r="M104" s="117"/>
      <c r="N104" s="111">
        <f t="shared" si="83"/>
        <v>0</v>
      </c>
      <c r="O104" s="117"/>
      <c r="P104" s="117"/>
      <c r="Q104" s="880" t="s">
        <v>922</v>
      </c>
      <c r="R104" s="111">
        <v>860103.18</v>
      </c>
      <c r="S104" s="117"/>
      <c r="T104" s="117"/>
      <c r="U104" s="117"/>
      <c r="V104" s="117"/>
      <c r="W104" s="117"/>
      <c r="X104" s="117"/>
      <c r="Y104" s="117"/>
      <c r="Z104" s="117"/>
      <c r="AA104" s="117"/>
      <c r="AB104" s="602" t="s">
        <v>908</v>
      </c>
      <c r="AC104" s="117"/>
      <c r="AD104" s="117"/>
      <c r="AE104" s="117"/>
      <c r="AF104" s="117"/>
      <c r="AG104" s="117"/>
      <c r="AH104" s="117"/>
      <c r="AI104" s="117"/>
    </row>
    <row r="105" spans="5:69" hidden="1" x14ac:dyDescent="0.3">
      <c r="G105" s="117"/>
      <c r="H105" s="117"/>
      <c r="I105" s="117"/>
      <c r="J105" s="117"/>
      <c r="K105" s="117">
        <v>223</v>
      </c>
      <c r="L105" s="111">
        <f>Санкционирование!AV49</f>
        <v>804094.59999999963</v>
      </c>
      <c r="M105" s="117"/>
      <c r="N105" s="111">
        <f t="shared" si="83"/>
        <v>804094.59999999963</v>
      </c>
      <c r="O105" s="117"/>
      <c r="P105" s="117"/>
      <c r="Q105" s="880" t="s">
        <v>921</v>
      </c>
      <c r="R105" s="111">
        <v>87456589.090000004</v>
      </c>
      <c r="S105" s="117"/>
      <c r="T105" s="117"/>
      <c r="U105" s="117"/>
      <c r="V105" s="117">
        <v>211</v>
      </c>
      <c r="W105" s="117"/>
      <c r="X105" s="111">
        <f>L100</f>
        <v>12712935.3365745</v>
      </c>
      <c r="Y105" s="117"/>
      <c r="Z105" s="117"/>
      <c r="AA105" s="117"/>
      <c r="AB105" s="111">
        <f>L100</f>
        <v>12712935.3365745</v>
      </c>
      <c r="AC105" s="117"/>
      <c r="AD105" s="117"/>
      <c r="AE105" s="117"/>
      <c r="AF105" s="117"/>
      <c r="AG105" s="117"/>
      <c r="AH105" s="117"/>
      <c r="AI105" s="117"/>
    </row>
    <row r="106" spans="5:69" hidden="1" x14ac:dyDescent="0.3">
      <c r="G106" s="117"/>
      <c r="H106" s="117"/>
      <c r="I106" s="117"/>
      <c r="J106" s="117"/>
      <c r="K106" s="117">
        <v>225</v>
      </c>
      <c r="L106" s="111">
        <f>Санкционирование!AV54</f>
        <v>9226.5200000004843</v>
      </c>
      <c r="M106" s="117"/>
      <c r="N106" s="111">
        <f t="shared" si="83"/>
        <v>9226.5200000004843</v>
      </c>
      <c r="O106" s="117"/>
      <c r="P106" s="117"/>
      <c r="Q106" s="880" t="s">
        <v>923</v>
      </c>
      <c r="R106" s="111">
        <v>5533016.0999999996</v>
      </c>
      <c r="S106" s="117"/>
      <c r="T106" s="117"/>
      <c r="U106" s="117"/>
      <c r="V106" s="117">
        <v>213</v>
      </c>
      <c r="W106" s="117"/>
      <c r="X106" s="111">
        <f>L101</f>
        <v>4311035.7434254978</v>
      </c>
      <c r="Y106" s="117"/>
      <c r="Z106" s="117"/>
      <c r="AA106" s="117"/>
      <c r="AB106" s="111">
        <f>L101</f>
        <v>4311035.7434254978</v>
      </c>
      <c r="AC106" s="117"/>
      <c r="AD106" s="117"/>
      <c r="AE106" s="117"/>
      <c r="AF106" s="117"/>
      <c r="AG106" s="117"/>
      <c r="AH106" s="117"/>
      <c r="AI106" s="117"/>
    </row>
    <row r="107" spans="5:69" hidden="1" x14ac:dyDescent="0.3">
      <c r="G107" s="117"/>
      <c r="H107" s="117"/>
      <c r="I107" s="117"/>
      <c r="J107" s="117"/>
      <c r="K107" s="117">
        <v>226</v>
      </c>
      <c r="L107" s="111">
        <f>Санкционирование!AV58</f>
        <v>213871.7200000002</v>
      </c>
      <c r="M107" s="117"/>
      <c r="N107" s="111">
        <f t="shared" si="83"/>
        <v>213871.7200000002</v>
      </c>
      <c r="O107" s="117"/>
      <c r="P107" s="117"/>
      <c r="Q107" s="880"/>
      <c r="R107" s="111"/>
      <c r="S107" s="117"/>
      <c r="T107" s="117"/>
      <c r="U107" s="117"/>
      <c r="V107" s="117">
        <v>212</v>
      </c>
      <c r="W107" s="117"/>
      <c r="X107" s="111">
        <f>L102</f>
        <v>79091.530000000028</v>
      </c>
      <c r="Y107" s="117"/>
      <c r="Z107" s="117"/>
      <c r="AA107" s="117"/>
      <c r="AB107" s="111">
        <f>L102</f>
        <v>79091.530000000028</v>
      </c>
      <c r="AC107" s="117"/>
      <c r="AD107" s="117"/>
      <c r="AE107" s="117"/>
      <c r="AF107" s="117"/>
      <c r="AG107" s="117"/>
      <c r="AH107" s="117"/>
      <c r="AI107" s="117"/>
    </row>
    <row r="108" spans="5:69" hidden="1" x14ac:dyDescent="0.3">
      <c r="G108" s="117"/>
      <c r="H108" s="117"/>
      <c r="I108" s="117"/>
      <c r="J108" s="117"/>
      <c r="K108" s="117">
        <v>290</v>
      </c>
      <c r="L108" s="111">
        <f>Санкционирование!AV60</f>
        <v>1034</v>
      </c>
      <c r="M108" s="117"/>
      <c r="N108" s="111">
        <f t="shared" si="83"/>
        <v>1034</v>
      </c>
      <c r="O108" s="117"/>
      <c r="P108" s="111">
        <v>3814919.6568</v>
      </c>
      <c r="Q108" s="880"/>
      <c r="R108" s="111"/>
      <c r="S108" s="117"/>
      <c r="T108" s="117"/>
      <c r="U108" s="117"/>
      <c r="V108" s="117"/>
      <c r="W108" s="117"/>
      <c r="X108" s="117"/>
      <c r="Y108" s="117"/>
      <c r="Z108" s="117"/>
      <c r="AA108" s="117"/>
      <c r="AB108" s="117"/>
      <c r="AC108" s="117"/>
      <c r="AD108" s="117"/>
      <c r="AE108" s="117"/>
      <c r="AF108" s="117"/>
      <c r="AG108" s="117"/>
      <c r="AH108" s="117"/>
      <c r="AI108" s="117"/>
    </row>
    <row r="109" spans="5:69" hidden="1" x14ac:dyDescent="0.3">
      <c r="G109" s="117"/>
      <c r="H109" s="117"/>
      <c r="I109" s="117"/>
      <c r="J109" s="117"/>
      <c r="K109" s="117">
        <v>310</v>
      </c>
      <c r="L109" s="111">
        <f>Санкционирование!AV62</f>
        <v>73247.479999999981</v>
      </c>
      <c r="M109" s="117"/>
      <c r="N109" s="111">
        <f t="shared" si="83"/>
        <v>73247.479999999981</v>
      </c>
      <c r="O109" s="117"/>
      <c r="P109" s="111">
        <f>P108+L111+L112+L113</f>
        <v>5201006.3068000004</v>
      </c>
      <c r="Q109" s="880"/>
      <c r="R109" s="111"/>
      <c r="S109" s="117"/>
      <c r="T109" s="117"/>
      <c r="U109" s="117"/>
      <c r="V109" s="117"/>
      <c r="W109" s="117"/>
      <c r="X109" s="111">
        <f>X100+X101+X102+X106+X105+X107</f>
        <v>187885462.61477378</v>
      </c>
      <c r="Y109" s="117"/>
      <c r="Z109" s="117"/>
      <c r="AA109" s="117"/>
      <c r="AB109" s="111">
        <f>AB100+AB101+AB105+AB106+AB107</f>
        <v>187885462.60999998</v>
      </c>
      <c r="AC109" s="117"/>
      <c r="AD109" s="117"/>
      <c r="AE109" s="137">
        <f>X109-AB109</f>
        <v>4.7737956047058105E-3</v>
      </c>
      <c r="AF109" s="117"/>
      <c r="AG109" s="117"/>
      <c r="AH109" s="117"/>
      <c r="AI109" s="117"/>
    </row>
    <row r="110" spans="5:69" hidden="1" x14ac:dyDescent="0.3">
      <c r="G110" s="117"/>
      <c r="H110" s="117"/>
      <c r="I110" s="117"/>
      <c r="J110" s="117"/>
      <c r="K110" s="117">
        <v>340</v>
      </c>
      <c r="L110" s="111">
        <f>Санкционирование!AV65</f>
        <v>1096574.299999997</v>
      </c>
      <c r="M110" s="117"/>
      <c r="N110" s="111">
        <f t="shared" si="83"/>
        <v>1096574.299999997</v>
      </c>
      <c r="O110" s="117"/>
      <c r="P110" s="117"/>
      <c r="Q110" s="880"/>
      <c r="R110" s="111"/>
      <c r="S110" s="117"/>
      <c r="T110" s="117"/>
      <c r="U110" s="117"/>
      <c r="V110" s="117"/>
      <c r="W110" s="117"/>
      <c r="X110" s="117"/>
      <c r="Y110" s="117"/>
      <c r="Z110" s="117"/>
      <c r="AA110" s="117"/>
      <c r="AB110" s="117"/>
      <c r="AC110" s="117"/>
      <c r="AD110" s="117"/>
      <c r="AE110" s="117"/>
      <c r="AF110" s="117"/>
      <c r="AG110" s="117"/>
      <c r="AH110" s="117"/>
      <c r="AI110" s="117"/>
    </row>
    <row r="111" spans="5:69" hidden="1" x14ac:dyDescent="0.3">
      <c r="G111" s="117"/>
      <c r="H111" s="117"/>
      <c r="I111" s="117"/>
      <c r="J111" s="117"/>
      <c r="K111" s="117">
        <v>851</v>
      </c>
      <c r="L111" s="111">
        <f>Санкционирование!AV37</f>
        <v>1075176.6200000001</v>
      </c>
      <c r="M111" s="117"/>
      <c r="N111" s="111">
        <f t="shared" si="83"/>
        <v>1075176.6200000001</v>
      </c>
      <c r="O111" s="117"/>
      <c r="P111" s="117"/>
      <c r="Q111" s="880"/>
      <c r="R111" s="111">
        <f>R75-S75</f>
        <v>593808468.51999998</v>
      </c>
      <c r="S111" s="117"/>
      <c r="T111" s="117"/>
      <c r="U111" s="117"/>
      <c r="V111" s="117"/>
      <c r="W111" s="117"/>
      <c r="X111" s="117"/>
      <c r="Y111" s="117"/>
      <c r="Z111" s="117"/>
      <c r="AA111" s="117"/>
      <c r="AB111" s="117"/>
      <c r="AC111" s="117"/>
      <c r="AD111" s="117"/>
      <c r="AE111" s="117"/>
      <c r="AF111" s="117"/>
      <c r="AG111" s="117"/>
      <c r="AH111" s="117"/>
      <c r="AI111" s="117"/>
    </row>
    <row r="112" spans="5:69" hidden="1" x14ac:dyDescent="0.3">
      <c r="G112" s="117"/>
      <c r="H112" s="117"/>
      <c r="I112" s="117"/>
      <c r="J112" s="117"/>
      <c r="K112" s="117">
        <v>852</v>
      </c>
      <c r="L112" s="111">
        <f>Санкционирование!AV38</f>
        <v>209267.46000000002</v>
      </c>
      <c r="M112" s="117"/>
      <c r="N112" s="111">
        <f t="shared" si="83"/>
        <v>209267.46000000002</v>
      </c>
      <c r="O112" s="117"/>
      <c r="P112" s="117"/>
      <c r="Q112" s="880"/>
      <c r="R112" s="111"/>
      <c r="S112" s="117"/>
      <c r="T112" s="117"/>
      <c r="U112" s="117"/>
      <c r="V112" s="117"/>
      <c r="W112" s="117"/>
      <c r="X112" s="117"/>
      <c r="Y112" s="117"/>
      <c r="Z112" s="117"/>
      <c r="AA112" s="117"/>
      <c r="AB112" s="117"/>
      <c r="AC112" s="117"/>
      <c r="AD112" s="117"/>
      <c r="AE112" s="117"/>
      <c r="AF112" s="117"/>
      <c r="AG112" s="117"/>
      <c r="AH112" s="117"/>
      <c r="AI112" s="117"/>
    </row>
    <row r="113" spans="7:35" hidden="1" x14ac:dyDescent="0.3">
      <c r="G113" s="117"/>
      <c r="H113" s="117"/>
      <c r="I113" s="117"/>
      <c r="J113" s="117"/>
      <c r="K113" s="117">
        <v>853</v>
      </c>
      <c r="L113" s="111">
        <f>Санкционирование!AV39</f>
        <v>101642.56999999999</v>
      </c>
      <c r="M113" s="117"/>
      <c r="N113" s="111">
        <f t="shared" si="83"/>
        <v>101642.56999999999</v>
      </c>
      <c r="O113" s="117"/>
      <c r="P113" s="117"/>
      <c r="Q113" s="880"/>
      <c r="R113" s="111"/>
      <c r="S113" s="117"/>
      <c r="T113" s="117"/>
      <c r="U113" s="111">
        <f>1216891000.01-V11</f>
        <v>-1005000000.0000002</v>
      </c>
      <c r="V113" s="117"/>
      <c r="W113" s="117"/>
      <c r="X113" s="117"/>
      <c r="Y113" s="117"/>
      <c r="Z113" s="117"/>
      <c r="AA113" s="117"/>
      <c r="AB113" s="117"/>
      <c r="AC113" s="117"/>
      <c r="AD113" s="117"/>
      <c r="AE113" s="117"/>
      <c r="AF113" s="117"/>
      <c r="AG113" s="117"/>
      <c r="AH113" s="117"/>
      <c r="AI113" s="117"/>
    </row>
    <row r="114" spans="7:35" hidden="1" x14ac:dyDescent="0.3">
      <c r="G114" s="117"/>
      <c r="H114" s="117"/>
      <c r="I114" s="117"/>
      <c r="J114" s="117"/>
      <c r="K114" s="880" t="s">
        <v>293</v>
      </c>
      <c r="L114" s="111">
        <f>SUM(L100:L113)</f>
        <v>21072590.98</v>
      </c>
      <c r="M114" s="117"/>
      <c r="N114" s="111">
        <f>SUM(N100:N113)</f>
        <v>4548450.4734254964</v>
      </c>
      <c r="O114" s="117"/>
      <c r="P114" s="117"/>
      <c r="Q114" s="880"/>
      <c r="R114" s="111"/>
      <c r="S114" s="117"/>
      <c r="T114" s="117"/>
      <c r="U114" s="117"/>
      <c r="V114" s="117"/>
      <c r="W114" s="117"/>
      <c r="X114" s="117"/>
      <c r="Y114" s="117"/>
      <c r="Z114" s="117"/>
      <c r="AA114" s="117"/>
      <c r="AB114" s="117"/>
      <c r="AC114" s="117"/>
      <c r="AD114" s="117"/>
      <c r="AE114" s="117"/>
      <c r="AF114" s="117"/>
      <c r="AG114" s="117"/>
      <c r="AH114" s="117"/>
      <c r="AI114" s="117"/>
    </row>
    <row r="115" spans="7:35" hidden="1" x14ac:dyDescent="0.3">
      <c r="G115" s="117"/>
      <c r="H115" s="117"/>
      <c r="I115" s="117"/>
      <c r="J115" s="117"/>
      <c r="K115" s="117"/>
      <c r="L115" s="111" t="b">
        <f>L114=Санкционирование!AV22</f>
        <v>1</v>
      </c>
      <c r="M115" s="117"/>
      <c r="N115" s="117"/>
      <c r="O115" s="117"/>
      <c r="P115" s="117"/>
      <c r="Q115" s="880"/>
      <c r="R115" s="117"/>
      <c r="S115" s="117"/>
      <c r="T115" s="117"/>
      <c r="U115" s="117"/>
      <c r="V115" s="117"/>
      <c r="W115" s="117"/>
      <c r="X115" s="117"/>
      <c r="Y115" s="117"/>
      <c r="Z115" s="117"/>
      <c r="AA115" s="117"/>
      <c r="AB115" s="117"/>
      <c r="AC115" s="117"/>
      <c r="AD115" s="117"/>
      <c r="AE115" s="117"/>
      <c r="AF115" s="117"/>
      <c r="AG115" s="117"/>
      <c r="AH115" s="117"/>
      <c r="AI115" s="117"/>
    </row>
    <row r="116" spans="7:35" hidden="1" x14ac:dyDescent="0.3">
      <c r="G116" s="117"/>
      <c r="H116" s="117"/>
      <c r="I116" s="117"/>
      <c r="J116" s="117"/>
      <c r="K116" s="117"/>
      <c r="L116" s="111">
        <f>'[2]декабрь 2018'!$M$39</f>
        <v>21072590.979999892</v>
      </c>
      <c r="M116" s="117"/>
      <c r="N116" s="117"/>
      <c r="O116" s="117"/>
      <c r="P116" s="117"/>
      <c r="Q116" s="880"/>
      <c r="R116" s="117"/>
      <c r="S116" s="117"/>
      <c r="T116" s="117"/>
      <c r="U116" s="117"/>
      <c r="V116" s="117"/>
      <c r="W116" s="117"/>
      <c r="X116" s="117"/>
      <c r="Y116" s="117"/>
      <c r="Z116" s="117"/>
      <c r="AA116" s="117"/>
      <c r="AB116" s="117"/>
      <c r="AC116" s="117"/>
      <c r="AD116" s="117"/>
      <c r="AE116" s="117"/>
      <c r="AF116" s="117"/>
      <c r="AG116" s="117"/>
      <c r="AH116" s="117"/>
      <c r="AI116" s="117"/>
    </row>
    <row r="117" spans="7:35" hidden="1" x14ac:dyDescent="0.3">
      <c r="G117" s="117"/>
      <c r="H117" s="117"/>
      <c r="I117" s="117"/>
      <c r="J117" s="117"/>
      <c r="K117" s="117"/>
      <c r="L117" s="111">
        <f>H75-L114</f>
        <v>0</v>
      </c>
      <c r="M117" s="117"/>
      <c r="N117" s="117"/>
      <c r="O117" s="117"/>
      <c r="P117" s="117"/>
      <c r="Q117" s="880"/>
      <c r="R117" s="117"/>
      <c r="S117" s="117"/>
      <c r="T117" s="117"/>
      <c r="U117" s="117"/>
      <c r="V117" s="117"/>
      <c r="W117" s="117"/>
      <c r="X117" s="117"/>
      <c r="Y117" s="117"/>
      <c r="Z117" s="117"/>
      <c r="AA117" s="117"/>
      <c r="AB117" s="117"/>
      <c r="AC117" s="117"/>
      <c r="AD117" s="117"/>
      <c r="AE117" s="117"/>
      <c r="AF117" s="117"/>
      <c r="AG117" s="117"/>
      <c r="AH117" s="117"/>
      <c r="AI117" s="117"/>
    </row>
    <row r="118" spans="7:35" hidden="1" x14ac:dyDescent="0.3">
      <c r="G118" s="117"/>
      <c r="H118" s="117"/>
      <c r="I118" s="117"/>
      <c r="J118" s="117"/>
      <c r="K118" s="117"/>
      <c r="L118" s="117"/>
      <c r="M118" s="117"/>
      <c r="N118" s="117"/>
      <c r="O118" s="117"/>
      <c r="P118" s="117"/>
      <c r="Q118" s="117"/>
      <c r="R118" s="117"/>
      <c r="S118" s="117"/>
      <c r="T118" s="117"/>
      <c r="U118" s="117"/>
      <c r="V118" s="117"/>
      <c r="W118" s="117"/>
      <c r="X118" s="117"/>
      <c r="Y118" s="117"/>
      <c r="Z118" s="117"/>
      <c r="AA118" s="117"/>
      <c r="AB118" s="117"/>
      <c r="AC118" s="117"/>
      <c r="AD118" s="117"/>
      <c r="AE118" s="117"/>
      <c r="AF118" s="117"/>
      <c r="AG118" s="117"/>
      <c r="AH118" s="117"/>
      <c r="AI118" s="117"/>
    </row>
    <row r="119" spans="7:35" hidden="1" x14ac:dyDescent="0.3">
      <c r="G119" s="117"/>
      <c r="H119" s="117"/>
      <c r="I119" s="117"/>
      <c r="J119" s="117"/>
      <c r="K119" s="117"/>
      <c r="L119" s="117"/>
      <c r="M119" s="117"/>
      <c r="N119" s="117"/>
      <c r="O119" s="117"/>
      <c r="P119" s="117"/>
      <c r="Q119" s="117"/>
      <c r="R119" s="117"/>
      <c r="S119" s="117"/>
      <c r="T119" s="117"/>
      <c r="U119" s="117"/>
      <c r="V119" s="117"/>
      <c r="W119" s="117"/>
      <c r="X119" s="117"/>
      <c r="Y119" s="117"/>
      <c r="Z119" s="117"/>
      <c r="AA119" s="117"/>
      <c r="AB119" s="117"/>
      <c r="AC119" s="117"/>
      <c r="AD119" s="117"/>
      <c r="AE119" s="117"/>
      <c r="AF119" s="117"/>
      <c r="AG119" s="117"/>
      <c r="AH119" s="117"/>
      <c r="AI119" s="117"/>
    </row>
    <row r="120" spans="7:35" hidden="1" x14ac:dyDescent="0.3">
      <c r="G120" s="117"/>
      <c r="H120" s="117"/>
      <c r="I120" s="117"/>
      <c r="J120" s="117"/>
      <c r="K120" s="117"/>
      <c r="L120" s="117"/>
      <c r="M120" s="117"/>
      <c r="N120" s="117"/>
      <c r="O120" s="117"/>
      <c r="P120" s="117"/>
      <c r="Q120" s="117"/>
      <c r="R120" s="117"/>
      <c r="S120" s="117"/>
      <c r="T120" s="117"/>
      <c r="U120" s="117"/>
      <c r="V120" s="117"/>
      <c r="W120" s="117"/>
      <c r="X120" s="117"/>
      <c r="Y120" s="117"/>
      <c r="Z120" s="117"/>
      <c r="AA120" s="117"/>
      <c r="AB120" s="117"/>
      <c r="AC120" s="117"/>
      <c r="AD120" s="117"/>
      <c r="AE120" s="117"/>
      <c r="AF120" s="117"/>
      <c r="AG120" s="117"/>
      <c r="AH120" s="117"/>
      <c r="AI120" s="117"/>
    </row>
    <row r="121" spans="7:35" hidden="1" x14ac:dyDescent="0.3">
      <c r="G121" s="117"/>
      <c r="H121" s="117"/>
      <c r="I121" s="117"/>
      <c r="J121" s="117"/>
      <c r="K121" s="117"/>
      <c r="L121" s="117"/>
      <c r="M121" s="117"/>
      <c r="N121" s="117"/>
      <c r="O121" s="117"/>
      <c r="P121" s="117"/>
      <c r="Q121" s="117"/>
      <c r="R121" s="117"/>
      <c r="S121" s="117"/>
      <c r="T121" s="117"/>
      <c r="U121" s="117"/>
      <c r="V121" s="117"/>
      <c r="W121" s="117"/>
      <c r="X121" s="117"/>
      <c r="Y121" s="117"/>
      <c r="Z121" s="117"/>
      <c r="AA121" s="117"/>
      <c r="AB121" s="117"/>
      <c r="AC121" s="117"/>
      <c r="AD121" s="117"/>
      <c r="AE121" s="117"/>
      <c r="AF121" s="117"/>
      <c r="AG121" s="117"/>
      <c r="AH121" s="117"/>
      <c r="AI121" s="117"/>
    </row>
    <row r="122" spans="7:35" hidden="1" x14ac:dyDescent="0.3">
      <c r="G122" s="117"/>
      <c r="H122" s="117"/>
      <c r="I122" s="117"/>
      <c r="J122" s="117"/>
      <c r="K122" s="117"/>
      <c r="L122" s="117"/>
      <c r="M122" s="117"/>
      <c r="N122" s="117"/>
      <c r="O122" s="117"/>
      <c r="P122" s="117"/>
      <c r="Q122" s="117"/>
      <c r="R122" s="117"/>
      <c r="S122" s="117"/>
      <c r="T122" s="117"/>
      <c r="U122" s="117"/>
      <c r="V122" s="117"/>
      <c r="W122" s="117"/>
      <c r="X122" s="117"/>
      <c r="Y122" s="117"/>
      <c r="Z122" s="117"/>
      <c r="AA122" s="117"/>
      <c r="AB122" s="117"/>
      <c r="AC122" s="117"/>
      <c r="AD122" s="117"/>
      <c r="AE122" s="117"/>
      <c r="AF122" s="117"/>
      <c r="AG122" s="117"/>
      <c r="AH122" s="117"/>
      <c r="AI122" s="117"/>
    </row>
  </sheetData>
  <mergeCells count="53">
    <mergeCell ref="AL8:AX8"/>
    <mergeCell ref="G7:AX7"/>
    <mergeCell ref="D6:AX6"/>
    <mergeCell ref="BQ8:BR8"/>
    <mergeCell ref="BS8:BT8"/>
    <mergeCell ref="AA8:AA9"/>
    <mergeCell ref="AJ8:AJ9"/>
    <mergeCell ref="AG8:AG9"/>
    <mergeCell ref="AH8:AH9"/>
    <mergeCell ref="AI8:AI9"/>
    <mergeCell ref="AK8:AK9"/>
    <mergeCell ref="BG8:BH8"/>
    <mergeCell ref="BI8:BJ8"/>
    <mergeCell ref="Z8:Z9"/>
    <mergeCell ref="Y8:Y9"/>
    <mergeCell ref="A31:A32"/>
    <mergeCell ref="AD8:AD9"/>
    <mergeCell ref="AE8:AE9"/>
    <mergeCell ref="AF8:AF9"/>
    <mergeCell ref="A6:A9"/>
    <mergeCell ref="AB8:AB9"/>
    <mergeCell ref="AC8:AC9"/>
    <mergeCell ref="W8:W9"/>
    <mergeCell ref="V8:V9"/>
    <mergeCell ref="X8:X9"/>
    <mergeCell ref="B26:B28"/>
    <mergeCell ref="B36:B40"/>
    <mergeCell ref="U8:U9"/>
    <mergeCell ref="G8:G9"/>
    <mergeCell ref="Q8:Q9"/>
    <mergeCell ref="T8:T9"/>
    <mergeCell ref="J8:P8"/>
    <mergeCell ref="H8:H9"/>
    <mergeCell ref="R8:R9"/>
    <mergeCell ref="I8:I9"/>
    <mergeCell ref="B6:B9"/>
    <mergeCell ref="C6:C9"/>
    <mergeCell ref="D7:D9"/>
    <mergeCell ref="S8:S9"/>
    <mergeCell ref="E7:E9"/>
    <mergeCell ref="F7:F9"/>
    <mergeCell ref="B29:B32"/>
    <mergeCell ref="A62:A63"/>
    <mergeCell ref="B62:B63"/>
    <mergeCell ref="A65:A66"/>
    <mergeCell ref="B65:B66"/>
    <mergeCell ref="B45:B46"/>
    <mergeCell ref="A52:A55"/>
    <mergeCell ref="C52:C54"/>
    <mergeCell ref="A56:A59"/>
    <mergeCell ref="C56:C58"/>
    <mergeCell ref="A60:A61"/>
    <mergeCell ref="B42:B44"/>
  </mergeCells>
  <pageMargins left="0" right="0" top="0.31496062992125984" bottom="0.15748031496062992" header="0.19685039370078741" footer="0.15748031496062992"/>
  <pageSetup paperSize="8" scale="48" fitToWidth="0" orientation="landscape" r:id="rId1"/>
  <rowBreaks count="1" manualBreakCount="1">
    <brk id="35" max="38" man="1"/>
  </rowBreaks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50"/>
    <pageSetUpPr fitToPage="1"/>
  </sheetPr>
  <dimension ref="A1:BW121"/>
  <sheetViews>
    <sheetView showZeros="0" zoomScale="70" zoomScaleNormal="70" zoomScaleSheetLayoutView="100" workbookViewId="0">
      <pane xSplit="3" ySplit="9" topLeftCell="H16" activePane="bottomRight" state="frozen"/>
      <selection pane="topRight" activeCell="D1" sqref="D1"/>
      <selection pane="bottomLeft" activeCell="A10" sqref="A10"/>
      <selection pane="bottomRight" activeCell="O27" sqref="O27"/>
    </sheetView>
  </sheetViews>
  <sheetFormatPr defaultColWidth="9.140625" defaultRowHeight="18.75" x14ac:dyDescent="0.3"/>
  <cols>
    <col min="1" max="1" width="45" style="117" customWidth="1"/>
    <col min="2" max="2" width="9" style="117" customWidth="1"/>
    <col min="3" max="3" width="17.85546875" style="124" customWidth="1"/>
    <col min="4" max="6" width="18.42578125" style="117" hidden="1" customWidth="1"/>
    <col min="7" max="7" width="18.85546875" style="155" hidden="1" customWidth="1"/>
    <col min="8" max="8" width="18.85546875" style="155" customWidth="1"/>
    <col min="9" max="9" width="18.85546875" style="155" hidden="1" customWidth="1"/>
    <col min="10" max="10" width="18.85546875" style="155" customWidth="1"/>
    <col min="11" max="11" width="18.28515625" style="155" hidden="1" customWidth="1"/>
    <col min="12" max="12" width="18.28515625" style="155" customWidth="1"/>
    <col min="13" max="14" width="18.28515625" style="155" hidden="1" customWidth="1"/>
    <col min="15" max="15" width="18.28515625" style="155" customWidth="1"/>
    <col min="16" max="16" width="18.28515625" style="155" hidden="1" customWidth="1"/>
    <col min="17" max="17" width="20.28515625" style="152" hidden="1" customWidth="1"/>
    <col min="18" max="18" width="24.140625" style="152" customWidth="1"/>
    <col min="19" max="19" width="24.140625" style="152" hidden="1" customWidth="1"/>
    <col min="20" max="20" width="20.28515625" style="152" customWidth="1"/>
    <col min="21" max="21" width="20.28515625" style="152" hidden="1" customWidth="1"/>
    <col min="22" max="22" width="20.28515625" style="152" customWidth="1"/>
    <col min="23" max="24" width="20.28515625" style="152" hidden="1" customWidth="1"/>
    <col min="25" max="25" width="20.28515625" style="152" customWidth="1"/>
    <col min="26" max="27" width="20.28515625" style="152" hidden="1" customWidth="1"/>
    <col min="28" max="28" width="20.28515625" style="152" customWidth="1"/>
    <col min="29" max="30" width="20.28515625" style="152" hidden="1" customWidth="1"/>
    <col min="31" max="31" width="20.28515625" style="152" customWidth="1"/>
    <col min="32" max="33" width="20.28515625" style="152" hidden="1" customWidth="1"/>
    <col min="34" max="34" width="20.28515625" style="152" customWidth="1"/>
    <col min="35" max="35" width="20.28515625" style="152" hidden="1" customWidth="1"/>
    <col min="36" max="36" width="16.7109375" style="117" hidden="1" customWidth="1"/>
    <col min="37" max="37" width="16.7109375" style="125" customWidth="1"/>
    <col min="38" max="38" width="18.7109375" style="125" hidden="1" customWidth="1"/>
    <col min="39" max="39" width="23.5703125" style="125" customWidth="1"/>
    <col min="40" max="40" width="17.42578125" style="125" hidden="1" customWidth="1"/>
    <col min="41" max="41" width="17.5703125" style="117" hidden="1" customWidth="1"/>
    <col min="42" max="42" width="17.5703125" style="117" customWidth="1"/>
    <col min="43" max="44" width="17.5703125" style="117" hidden="1" customWidth="1"/>
    <col min="45" max="45" width="17.5703125" style="117" customWidth="1"/>
    <col min="46" max="46" width="17.5703125" style="117" hidden="1" customWidth="1"/>
    <col min="47" max="48" width="18" style="117" hidden="1" customWidth="1"/>
    <col min="49" max="49" width="18" style="117" customWidth="1"/>
    <col min="50" max="50" width="18" style="117" hidden="1" customWidth="1"/>
    <col min="51" max="51" width="9.5703125" style="117" hidden="1" customWidth="1"/>
    <col min="52" max="52" width="22.42578125" style="117" hidden="1" customWidth="1"/>
    <col min="53" max="53" width="17.140625" style="117" hidden="1" customWidth="1"/>
    <col min="54" max="54" width="15.140625" style="117" hidden="1" customWidth="1"/>
    <col min="55" max="55" width="18.140625" style="117" hidden="1" customWidth="1"/>
    <col min="56" max="56" width="18.85546875" style="117" hidden="1" customWidth="1"/>
    <col min="57" max="57" width="19.85546875" style="117" hidden="1" customWidth="1"/>
    <col min="58" max="58" width="15.140625" style="117" hidden="1" customWidth="1"/>
    <col min="59" max="59" width="22.85546875" style="117" hidden="1" customWidth="1"/>
    <col min="60" max="60" width="20.28515625" style="117" hidden="1" customWidth="1"/>
    <col min="61" max="62" width="21" style="117" hidden="1" customWidth="1"/>
    <col min="63" max="64" width="15.140625" style="117" hidden="1" customWidth="1"/>
    <col min="65" max="67" width="22" style="531" hidden="1" customWidth="1"/>
    <col min="68" max="68" width="21.140625" style="531" hidden="1" customWidth="1"/>
    <col min="69" max="69" width="21.140625" style="602" hidden="1" customWidth="1"/>
    <col min="70" max="70" width="20" style="117" hidden="1" customWidth="1"/>
    <col min="71" max="71" width="18" style="117" hidden="1" customWidth="1"/>
    <col min="72" max="72" width="21.7109375" style="117" hidden="1" customWidth="1"/>
    <col min="73" max="73" width="14.42578125" style="117" hidden="1" customWidth="1"/>
    <col min="74" max="74" width="13.5703125" style="117" hidden="1" customWidth="1"/>
    <col min="75" max="75" width="15" style="117" hidden="1" customWidth="1"/>
    <col min="76" max="77" width="0" style="117" hidden="1" customWidth="1"/>
    <col min="78" max="16384" width="9.140625" style="117"/>
  </cols>
  <sheetData>
    <row r="1" spans="1:75" x14ac:dyDescent="0.3">
      <c r="A1" s="123" t="s">
        <v>131</v>
      </c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1"/>
      <c r="R1" s="111"/>
      <c r="S1" s="111"/>
      <c r="T1" s="111"/>
      <c r="U1" s="111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</row>
    <row r="2" spans="1:75" x14ac:dyDescent="0.3">
      <c r="A2" s="126" t="s">
        <v>132</v>
      </c>
      <c r="G2" s="117"/>
      <c r="H2" s="117"/>
      <c r="I2" s="117"/>
      <c r="J2" s="117"/>
      <c r="K2" s="117"/>
      <c r="L2" s="117"/>
      <c r="M2" s="117"/>
      <c r="N2" s="117"/>
      <c r="O2" s="117"/>
      <c r="P2" s="117"/>
      <c r="Q2" s="111"/>
      <c r="R2" s="111"/>
      <c r="S2" s="111"/>
      <c r="T2" s="111"/>
      <c r="U2" s="111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Z2" s="127" t="s">
        <v>240</v>
      </c>
      <c r="BA2" s="127" t="s">
        <v>241</v>
      </c>
    </row>
    <row r="3" spans="1:75" x14ac:dyDescent="0.3">
      <c r="A3" s="126"/>
      <c r="E3" s="111">
        <f>E22-E10+E75</f>
        <v>625060898.94506431</v>
      </c>
      <c r="F3" s="111"/>
      <c r="G3" s="117"/>
      <c r="H3" s="111">
        <f>'расчет норматив'!J32</f>
        <v>218669599.31117821</v>
      </c>
      <c r="I3" s="111">
        <f>H10-H22</f>
        <v>-21072590.976300776</v>
      </c>
      <c r="J3" s="117"/>
      <c r="K3" s="117"/>
      <c r="L3" s="111">
        <f>'расчет норматив'!Z6+'ПФХД 2019 с разбивкой  (2)'!L74</f>
        <v>73111481.362712368</v>
      </c>
      <c r="M3" s="117"/>
      <c r="N3" s="117"/>
      <c r="O3" s="117" t="b">
        <f>O10='расчет норматив'!AA6</f>
        <v>1</v>
      </c>
      <c r="P3" s="117"/>
      <c r="Q3" s="111">
        <f>Q10-Q22</f>
        <v>-390807107.31000018</v>
      </c>
      <c r="R3" s="111">
        <f>Q3+Q74</f>
        <v>203001361.2099998</v>
      </c>
      <c r="S3" s="111"/>
      <c r="T3" s="111"/>
      <c r="U3" s="111"/>
      <c r="V3" s="128"/>
      <c r="W3" s="128"/>
      <c r="X3" s="117"/>
      <c r="Y3" s="128"/>
      <c r="Z3" s="128"/>
      <c r="AA3" s="117"/>
      <c r="AB3" s="117"/>
      <c r="AC3" s="117"/>
      <c r="AD3" s="117"/>
      <c r="AE3" s="117"/>
      <c r="AF3" s="117"/>
      <c r="AG3" s="117"/>
      <c r="AH3" s="117"/>
      <c r="AI3" s="117"/>
      <c r="AO3" s="111"/>
      <c r="AP3" s="111"/>
      <c r="AQ3" s="111"/>
    </row>
    <row r="4" spans="1:75" ht="19.5" thickBot="1" x14ac:dyDescent="0.35">
      <c r="A4" s="129"/>
      <c r="G4" s="117"/>
      <c r="H4" s="117"/>
      <c r="I4" s="117"/>
      <c r="J4" s="117"/>
      <c r="K4" s="117"/>
      <c r="L4" s="117"/>
      <c r="M4" s="111">
        <f>K10+N10</f>
        <v>113643500</v>
      </c>
      <c r="N4" s="117">
        <f>M4/2906.41</f>
        <v>39100.987128450564</v>
      </c>
      <c r="O4" s="111">
        <f>L10+O10</f>
        <v>113643500</v>
      </c>
      <c r="P4" s="117"/>
      <c r="Q4" s="117"/>
      <c r="R4" s="117"/>
      <c r="S4" s="117"/>
      <c r="T4" s="117"/>
      <c r="U4" s="117"/>
      <c r="V4" s="117"/>
      <c r="W4" s="117"/>
      <c r="X4" s="117"/>
      <c r="Y4" s="117"/>
      <c r="Z4" s="117"/>
      <c r="AA4" s="117"/>
      <c r="AB4" s="117"/>
      <c r="AC4" s="117"/>
      <c r="AD4" s="117"/>
      <c r="AE4" s="117"/>
      <c r="AF4" s="117"/>
      <c r="AG4" s="117"/>
      <c r="AH4" s="117"/>
      <c r="AI4" s="117"/>
      <c r="AO4" s="111"/>
      <c r="AP4" s="111"/>
      <c r="AQ4" s="111"/>
    </row>
    <row r="5" spans="1:75" ht="19.5" customHeight="1" thickBot="1" x14ac:dyDescent="0.35">
      <c r="A5" s="1453" t="s">
        <v>88</v>
      </c>
      <c r="B5" s="1439" t="s">
        <v>133</v>
      </c>
      <c r="C5" s="1440" t="s">
        <v>134</v>
      </c>
      <c r="D5" s="1460" t="s">
        <v>135</v>
      </c>
      <c r="E5" s="1461"/>
      <c r="F5" s="1461"/>
      <c r="G5" s="1461"/>
      <c r="H5" s="1461"/>
      <c r="I5" s="1461"/>
      <c r="J5" s="1461"/>
      <c r="K5" s="1461"/>
      <c r="L5" s="1461"/>
      <c r="M5" s="1461"/>
      <c r="N5" s="1461"/>
      <c r="O5" s="1461"/>
      <c r="P5" s="1461"/>
      <c r="Q5" s="1461"/>
      <c r="R5" s="1461"/>
      <c r="S5" s="1461"/>
      <c r="T5" s="1461"/>
      <c r="U5" s="1461"/>
      <c r="V5" s="1461"/>
      <c r="W5" s="1461"/>
      <c r="X5" s="1461"/>
      <c r="Y5" s="1461"/>
      <c r="Z5" s="1461"/>
      <c r="AA5" s="1461"/>
      <c r="AB5" s="1461"/>
      <c r="AC5" s="1461"/>
      <c r="AD5" s="1461"/>
      <c r="AE5" s="1461"/>
      <c r="AF5" s="1461"/>
      <c r="AG5" s="1461"/>
      <c r="AH5" s="1461"/>
      <c r="AI5" s="1461"/>
      <c r="AJ5" s="1461"/>
      <c r="AK5" s="1461"/>
      <c r="AL5" s="1461"/>
      <c r="AM5" s="1461"/>
      <c r="AN5" s="1461"/>
      <c r="AO5" s="1461"/>
      <c r="AP5" s="1461"/>
      <c r="AQ5" s="1461"/>
      <c r="AR5" s="1461"/>
      <c r="AS5" s="1461"/>
      <c r="AT5" s="1461"/>
      <c r="AU5" s="1461"/>
      <c r="AV5" s="1461"/>
      <c r="AW5" s="1461"/>
      <c r="AX5" s="1462"/>
    </row>
    <row r="6" spans="1:75" ht="15.75" customHeight="1" thickBot="1" x14ac:dyDescent="0.35">
      <c r="A6" s="1454"/>
      <c r="B6" s="1383"/>
      <c r="C6" s="1441"/>
      <c r="D6" s="1442" t="s">
        <v>136</v>
      </c>
      <c r="E6" s="1439" t="s">
        <v>402</v>
      </c>
      <c r="F6" s="1440" t="s">
        <v>395</v>
      </c>
      <c r="G6" s="1460" t="s">
        <v>137</v>
      </c>
      <c r="H6" s="1461"/>
      <c r="I6" s="1461"/>
      <c r="J6" s="1461"/>
      <c r="K6" s="1461"/>
      <c r="L6" s="1461"/>
      <c r="M6" s="1461"/>
      <c r="N6" s="1461"/>
      <c r="O6" s="1461"/>
      <c r="P6" s="1461"/>
      <c r="Q6" s="1461"/>
      <c r="R6" s="1461"/>
      <c r="S6" s="1461"/>
      <c r="T6" s="1461"/>
      <c r="U6" s="1461"/>
      <c r="V6" s="1461"/>
      <c r="W6" s="1461"/>
      <c r="X6" s="1461"/>
      <c r="Y6" s="1461"/>
      <c r="Z6" s="1461"/>
      <c r="AA6" s="1461"/>
      <c r="AB6" s="1461"/>
      <c r="AC6" s="1461"/>
      <c r="AD6" s="1461"/>
      <c r="AE6" s="1461"/>
      <c r="AF6" s="1461"/>
      <c r="AG6" s="1461"/>
      <c r="AH6" s="1461"/>
      <c r="AI6" s="1461"/>
      <c r="AJ6" s="1461"/>
      <c r="AK6" s="1461"/>
      <c r="AL6" s="1461"/>
      <c r="AM6" s="1461"/>
      <c r="AN6" s="1461"/>
      <c r="AO6" s="1461"/>
      <c r="AP6" s="1461"/>
      <c r="AQ6" s="1461"/>
      <c r="AR6" s="1461"/>
      <c r="AS6" s="1461"/>
      <c r="AT6" s="1461"/>
      <c r="AU6" s="1461"/>
      <c r="AV6" s="1461"/>
      <c r="AW6" s="1461"/>
      <c r="AX6" s="1462"/>
    </row>
    <row r="7" spans="1:75" ht="96" customHeight="1" thickBot="1" x14ac:dyDescent="0.35">
      <c r="A7" s="1454"/>
      <c r="B7" s="1383"/>
      <c r="C7" s="1441"/>
      <c r="D7" s="1443"/>
      <c r="E7" s="1383"/>
      <c r="F7" s="1441"/>
      <c r="G7" s="1427" t="s">
        <v>138</v>
      </c>
      <c r="H7" s="1434" t="s">
        <v>397</v>
      </c>
      <c r="I7" s="1437" t="s">
        <v>395</v>
      </c>
      <c r="J7" s="1433" t="s">
        <v>363</v>
      </c>
      <c r="K7" s="1433"/>
      <c r="L7" s="1433"/>
      <c r="M7" s="1433"/>
      <c r="N7" s="1433"/>
      <c r="O7" s="1433"/>
      <c r="P7" s="1433"/>
      <c r="Q7" s="1448" t="s">
        <v>140</v>
      </c>
      <c r="R7" s="1449" t="s">
        <v>403</v>
      </c>
      <c r="S7" s="1469" t="s">
        <v>395</v>
      </c>
      <c r="T7" s="1431" t="s">
        <v>360</v>
      </c>
      <c r="U7" s="1425" t="s">
        <v>359</v>
      </c>
      <c r="V7" s="1449" t="s">
        <v>405</v>
      </c>
      <c r="W7" s="1451" t="s">
        <v>395</v>
      </c>
      <c r="X7" s="1455" t="s">
        <v>253</v>
      </c>
      <c r="Y7" s="1449" t="s">
        <v>965</v>
      </c>
      <c r="Z7" s="1451" t="s">
        <v>966</v>
      </c>
      <c r="AA7" s="1425" t="s">
        <v>142</v>
      </c>
      <c r="AB7" s="1449" t="s">
        <v>404</v>
      </c>
      <c r="AC7" s="1451" t="s">
        <v>395</v>
      </c>
      <c r="AD7" s="1448" t="s">
        <v>488</v>
      </c>
      <c r="AE7" s="1449" t="s">
        <v>489</v>
      </c>
      <c r="AF7" s="1451" t="s">
        <v>395</v>
      </c>
      <c r="AG7" s="1448" t="s">
        <v>490</v>
      </c>
      <c r="AH7" s="1449" t="s">
        <v>645</v>
      </c>
      <c r="AI7" s="1451" t="s">
        <v>395</v>
      </c>
      <c r="AJ7" s="1465" t="s">
        <v>143</v>
      </c>
      <c r="AK7" s="1467" t="s">
        <v>144</v>
      </c>
      <c r="AL7" s="1457" t="s">
        <v>145</v>
      </c>
      <c r="AM7" s="1458"/>
      <c r="AN7" s="1458"/>
      <c r="AO7" s="1458"/>
      <c r="AP7" s="1458"/>
      <c r="AQ7" s="1458"/>
      <c r="AR7" s="1458"/>
      <c r="AS7" s="1458"/>
      <c r="AT7" s="1458"/>
      <c r="AU7" s="1458"/>
      <c r="AV7" s="1458"/>
      <c r="AW7" s="1458"/>
      <c r="AX7" s="1459"/>
      <c r="BG7" s="1463" t="s">
        <v>506</v>
      </c>
      <c r="BH7" s="1464"/>
      <c r="BI7" s="1463" t="s">
        <v>197</v>
      </c>
      <c r="BJ7" s="1464"/>
      <c r="BQ7" s="1463" t="s">
        <v>506</v>
      </c>
      <c r="BR7" s="1464"/>
      <c r="BS7" s="1463" t="s">
        <v>197</v>
      </c>
      <c r="BT7" s="1464"/>
    </row>
    <row r="8" spans="1:75" ht="114.75" customHeight="1" x14ac:dyDescent="0.3">
      <c r="A8" s="1454"/>
      <c r="B8" s="1383"/>
      <c r="C8" s="1441"/>
      <c r="D8" s="1443"/>
      <c r="E8" s="1383"/>
      <c r="F8" s="1441"/>
      <c r="G8" s="1428"/>
      <c r="H8" s="1435"/>
      <c r="I8" s="1438"/>
      <c r="J8" s="885" t="s">
        <v>235</v>
      </c>
      <c r="K8" s="311" t="s">
        <v>365</v>
      </c>
      <c r="L8" s="289" t="s">
        <v>398</v>
      </c>
      <c r="M8" s="290" t="s">
        <v>395</v>
      </c>
      <c r="N8" s="288" t="s">
        <v>366</v>
      </c>
      <c r="O8" s="311" t="s">
        <v>399</v>
      </c>
      <c r="P8" s="363" t="s">
        <v>396</v>
      </c>
      <c r="Q8" s="1430"/>
      <c r="R8" s="1426"/>
      <c r="S8" s="1470"/>
      <c r="T8" s="1432"/>
      <c r="U8" s="1426"/>
      <c r="V8" s="1450"/>
      <c r="W8" s="1452"/>
      <c r="X8" s="1456"/>
      <c r="Y8" s="1450"/>
      <c r="Z8" s="1452"/>
      <c r="AA8" s="1426"/>
      <c r="AB8" s="1450"/>
      <c r="AC8" s="1452"/>
      <c r="AD8" s="1430"/>
      <c r="AE8" s="1450"/>
      <c r="AF8" s="1452"/>
      <c r="AG8" s="1430"/>
      <c r="AH8" s="1450"/>
      <c r="AI8" s="1452"/>
      <c r="AJ8" s="1466"/>
      <c r="AK8" s="1468"/>
      <c r="AL8" s="329" t="s">
        <v>364</v>
      </c>
      <c r="AM8" s="330" t="s">
        <v>406</v>
      </c>
      <c r="AN8" s="1011" t="s">
        <v>395</v>
      </c>
      <c r="AO8" s="329" t="s">
        <v>139</v>
      </c>
      <c r="AP8" s="330" t="s">
        <v>401</v>
      </c>
      <c r="AQ8" s="1015" t="s">
        <v>395</v>
      </c>
      <c r="AR8" s="389" t="s">
        <v>146</v>
      </c>
      <c r="AS8" s="330" t="s">
        <v>400</v>
      </c>
      <c r="AT8" s="331" t="s">
        <v>395</v>
      </c>
      <c r="AU8" s="537" t="s">
        <v>147</v>
      </c>
      <c r="AV8" s="389" t="s">
        <v>915</v>
      </c>
      <c r="AW8" s="330" t="s">
        <v>916</v>
      </c>
      <c r="AX8" s="331" t="s">
        <v>395</v>
      </c>
      <c r="BC8" s="608" t="s">
        <v>507</v>
      </c>
      <c r="BD8" s="627" t="s">
        <v>508</v>
      </c>
      <c r="BE8" s="627" t="s">
        <v>395</v>
      </c>
      <c r="BF8" s="627" t="s">
        <v>509</v>
      </c>
      <c r="BG8" s="612" t="s">
        <v>505</v>
      </c>
      <c r="BH8" s="613" t="s">
        <v>395</v>
      </c>
      <c r="BI8" s="612" t="s">
        <v>505</v>
      </c>
      <c r="BJ8" s="613" t="s">
        <v>395</v>
      </c>
      <c r="BM8" s="608" t="s">
        <v>507</v>
      </c>
      <c r="BN8" s="627" t="s">
        <v>508</v>
      </c>
      <c r="BO8" s="627" t="s">
        <v>395</v>
      </c>
      <c r="BP8" s="627" t="s">
        <v>509</v>
      </c>
      <c r="BQ8" s="612" t="s">
        <v>505</v>
      </c>
      <c r="BR8" s="613" t="s">
        <v>395</v>
      </c>
      <c r="BS8" s="612" t="s">
        <v>505</v>
      </c>
      <c r="BT8" s="613" t="s">
        <v>395</v>
      </c>
    </row>
    <row r="9" spans="1:75" x14ac:dyDescent="0.3">
      <c r="A9" s="408">
        <v>1</v>
      </c>
      <c r="B9" s="1052">
        <v>2</v>
      </c>
      <c r="C9" s="1054">
        <v>3</v>
      </c>
      <c r="D9" s="429">
        <v>4</v>
      </c>
      <c r="E9" s="1052"/>
      <c r="F9" s="409"/>
      <c r="G9" s="282">
        <v>5</v>
      </c>
      <c r="H9" s="156"/>
      <c r="I9" s="666"/>
      <c r="J9" s="886"/>
      <c r="K9" s="282"/>
      <c r="L9" s="156"/>
      <c r="M9" s="292"/>
      <c r="N9" s="291"/>
      <c r="O9" s="282"/>
      <c r="P9" s="364"/>
      <c r="Q9" s="275">
        <v>6</v>
      </c>
      <c r="R9" s="306"/>
      <c r="S9" s="414"/>
      <c r="T9" s="524"/>
      <c r="U9" s="522"/>
      <c r="V9" s="385"/>
      <c r="W9" s="387"/>
      <c r="X9" s="378"/>
      <c r="Y9" s="385"/>
      <c r="Z9" s="387"/>
      <c r="AA9" s="522"/>
      <c r="AB9" s="385"/>
      <c r="AC9" s="387"/>
      <c r="AD9" s="386"/>
      <c r="AE9" s="385"/>
      <c r="AF9" s="387"/>
      <c r="AG9" s="386"/>
      <c r="AH9" s="385"/>
      <c r="AI9" s="387"/>
      <c r="AJ9" s="421">
        <v>7</v>
      </c>
      <c r="AK9" s="391">
        <v>8</v>
      </c>
      <c r="AL9" s="403">
        <v>9</v>
      </c>
      <c r="AM9" s="405"/>
      <c r="AN9" s="1012"/>
      <c r="AO9" s="1016"/>
      <c r="AP9" s="350"/>
      <c r="AQ9" s="1017"/>
      <c r="AR9" s="322"/>
      <c r="AS9" s="160"/>
      <c r="AT9" s="333"/>
      <c r="AU9" s="538">
        <v>10</v>
      </c>
      <c r="AV9" s="322"/>
      <c r="AW9" s="160"/>
      <c r="AX9" s="333"/>
      <c r="BG9" s="612"/>
      <c r="BH9" s="614"/>
      <c r="BI9" s="625"/>
      <c r="BJ9" s="614"/>
      <c r="BQ9" s="612"/>
      <c r="BR9" s="614"/>
      <c r="BS9" s="625"/>
      <c r="BT9" s="614"/>
    </row>
    <row r="10" spans="1:75" s="115" customFormat="1" x14ac:dyDescent="0.3">
      <c r="A10" s="435" t="s">
        <v>148</v>
      </c>
      <c r="B10" s="1053">
        <v>100</v>
      </c>
      <c r="C10" s="436" t="s">
        <v>149</v>
      </c>
      <c r="D10" s="430">
        <f>D13+D19+D20</f>
        <v>1880172104.5917001</v>
      </c>
      <c r="E10" s="59">
        <f>H10+R10+AM10+AK10</f>
        <v>1880172104.5917001</v>
      </c>
      <c r="F10" s="410">
        <f>E10-D10</f>
        <v>0</v>
      </c>
      <c r="G10" s="293">
        <f>SUM(G13)</f>
        <v>218669600</v>
      </c>
      <c r="H10" s="157">
        <f>H13</f>
        <v>218669600</v>
      </c>
      <c r="I10" s="667">
        <f>H10-G10</f>
        <v>0</v>
      </c>
      <c r="J10" s="882">
        <f>SUM(J13)</f>
        <v>105026100</v>
      </c>
      <c r="K10" s="283">
        <v>68563030.888212264</v>
      </c>
      <c r="L10" s="157">
        <f>H10-J10-O10</f>
        <v>68563030.896685272</v>
      </c>
      <c r="M10" s="294">
        <f>L10-K10</f>
        <v>8.4730088710784912E-3</v>
      </c>
      <c r="N10" s="293">
        <v>45080469.111787736</v>
      </c>
      <c r="O10" s="283">
        <f>SUM(O13)</f>
        <v>45080469.103314735</v>
      </c>
      <c r="P10" s="365">
        <f>O10-N10</f>
        <v>-8.4730014204978943E-3</v>
      </c>
      <c r="Q10" s="276">
        <v>1270135000</v>
      </c>
      <c r="R10" s="307">
        <f>R19</f>
        <v>1270135000</v>
      </c>
      <c r="S10" s="415">
        <f>R10-Q10</f>
        <v>0</v>
      </c>
      <c r="T10" s="525">
        <f t="shared" ref="T10:AH10" si="0">T19</f>
        <v>0</v>
      </c>
      <c r="U10" s="307">
        <v>1216891000</v>
      </c>
      <c r="V10" s="153">
        <f>V19</f>
        <v>1216891000.01</v>
      </c>
      <c r="W10" s="357">
        <f>V10-U10</f>
        <v>9.9999904632568359E-3</v>
      </c>
      <c r="X10" s="379">
        <f>X19</f>
        <v>22131000</v>
      </c>
      <c r="Y10" s="153">
        <f>Y19</f>
        <v>22131000</v>
      </c>
      <c r="Z10" s="357">
        <f>Z19</f>
        <v>0</v>
      </c>
      <c r="AA10" s="307">
        <v>6878578.4699999997</v>
      </c>
      <c r="AB10" s="153">
        <f t="shared" si="0"/>
        <v>6878578.4699999997</v>
      </c>
      <c r="AC10" s="357">
        <f>AB10-AA10</f>
        <v>0</v>
      </c>
      <c r="AD10" s="153">
        <v>15071900</v>
      </c>
      <c r="AE10" s="153">
        <f>AE19</f>
        <v>15071900</v>
      </c>
      <c r="AF10" s="357">
        <f>AE10-AD10</f>
        <v>0</v>
      </c>
      <c r="AG10" s="153">
        <v>9162521.5199999996</v>
      </c>
      <c r="AH10" s="153">
        <f t="shared" si="0"/>
        <v>9162521.5199999996</v>
      </c>
      <c r="AI10" s="357">
        <f>AH10-AG10</f>
        <v>0</v>
      </c>
      <c r="AJ10" s="422">
        <v>0</v>
      </c>
      <c r="AK10" s="392">
        <f>AK12+AK13</f>
        <v>1908800</v>
      </c>
      <c r="AL10" s="334">
        <v>389458704.59170002</v>
      </c>
      <c r="AM10" s="347">
        <f>AP10+AS10+AW10</f>
        <v>389458704.59170002</v>
      </c>
      <c r="AN10" s="1013">
        <f>AM10-AL10</f>
        <v>0</v>
      </c>
      <c r="AO10" s="334">
        <v>305985633.47170001</v>
      </c>
      <c r="AP10" s="161">
        <f>AP13+AP20</f>
        <v>321604870.65170002</v>
      </c>
      <c r="AQ10" s="406">
        <f>AP10-AO10</f>
        <v>15619237.180000007</v>
      </c>
      <c r="AR10" s="161">
        <f>AR13+AR20+AR21</f>
        <v>83473071.120000005</v>
      </c>
      <c r="AS10" s="161">
        <f>AS13+AS20+AS21</f>
        <v>55582036.509999998</v>
      </c>
      <c r="AT10" s="335">
        <f>AS10-AR10</f>
        <v>-27891034.610000007</v>
      </c>
      <c r="AU10" s="539">
        <v>0</v>
      </c>
      <c r="AV10" s="323"/>
      <c r="AW10" s="161">
        <f>AW13+AW20+AW21</f>
        <v>12271797.43</v>
      </c>
      <c r="AX10" s="335">
        <f>AW10-AV10</f>
        <v>12271797.43</v>
      </c>
      <c r="AZ10" s="131">
        <v>343352551.449</v>
      </c>
      <c r="BA10" s="131">
        <v>275145687.99900001</v>
      </c>
      <c r="BB10" s="609">
        <v>68206863.450000003</v>
      </c>
      <c r="BC10" s="634"/>
      <c r="BD10" s="634"/>
      <c r="BE10" s="634"/>
      <c r="BF10" s="634"/>
      <c r="BG10" s="615"/>
      <c r="BH10" s="616">
        <f>AF10-BG10</f>
        <v>0</v>
      </c>
      <c r="BI10" s="615">
        <f>BI14+BI20+BI21</f>
        <v>68215561.770000011</v>
      </c>
      <c r="BJ10" s="626">
        <f>AI10-BI10</f>
        <v>-68215561.770000011</v>
      </c>
      <c r="BK10" s="634"/>
      <c r="BL10" s="634"/>
      <c r="BM10" s="628">
        <f>AL10</f>
        <v>389458704.59170002</v>
      </c>
      <c r="BN10" s="628">
        <v>344453050.41000003</v>
      </c>
      <c r="BO10" s="628">
        <f>BM10-BN10</f>
        <v>45005654.181699991</v>
      </c>
      <c r="BP10" s="629">
        <f>BN10</f>
        <v>344453050.41000003</v>
      </c>
      <c r="BQ10" s="615">
        <v>251139175</v>
      </c>
      <c r="BR10" s="616">
        <f>AP10-BQ10</f>
        <v>70465695.65170002</v>
      </c>
      <c r="BS10" s="615">
        <f>BS14+BS20+BS21</f>
        <v>68215561.770000011</v>
      </c>
      <c r="BT10" s="626">
        <f>AS10-BS10</f>
        <v>-12633525.260000013</v>
      </c>
      <c r="BU10" s="135">
        <v>1076466.1000000001</v>
      </c>
      <c r="BV10" s="135">
        <v>146019.47000000626</v>
      </c>
      <c r="BW10" s="135">
        <f>BU10+BV10</f>
        <v>1222485.5700000064</v>
      </c>
    </row>
    <row r="11" spans="1:75" x14ac:dyDescent="0.3">
      <c r="A11" s="437" t="s">
        <v>137</v>
      </c>
      <c r="B11" s="133"/>
      <c r="C11" s="438"/>
      <c r="D11" s="431"/>
      <c r="E11" s="59">
        <f>H11+R11+AL11+AK11</f>
        <v>0</v>
      </c>
      <c r="F11" s="410">
        <f t="shared" ref="F11:F74" si="1">E11-D11</f>
        <v>0</v>
      </c>
      <c r="G11" s="284"/>
      <c r="H11" s="159"/>
      <c r="I11" s="668"/>
      <c r="J11" s="979"/>
      <c r="K11" s="284"/>
      <c r="L11" s="159"/>
      <c r="M11" s="296"/>
      <c r="N11" s="295"/>
      <c r="O11" s="284"/>
      <c r="P11" s="366"/>
      <c r="Q11" s="277"/>
      <c r="R11" s="308"/>
      <c r="S11" s="416"/>
      <c r="T11" s="526"/>
      <c r="U11" s="308"/>
      <c r="V11" s="154"/>
      <c r="W11" s="357">
        <f t="shared" ref="W11:W74" si="2">V11-U11</f>
        <v>0</v>
      </c>
      <c r="X11" s="380"/>
      <c r="Y11" s="153">
        <f t="shared" ref="Y11:Y18" si="3">X11-W11</f>
        <v>0</v>
      </c>
      <c r="Z11" s="357">
        <f t="shared" ref="Z11:Z18" si="4">X11-W11</f>
        <v>0</v>
      </c>
      <c r="AA11" s="308"/>
      <c r="AB11" s="154"/>
      <c r="AC11" s="358"/>
      <c r="AD11" s="277"/>
      <c r="AE11" s="154"/>
      <c r="AF11" s="358"/>
      <c r="AG11" s="277"/>
      <c r="AH11" s="154"/>
      <c r="AI11" s="358"/>
      <c r="AJ11" s="423"/>
      <c r="AK11" s="393"/>
      <c r="AL11" s="334"/>
      <c r="AM11" s="347"/>
      <c r="AN11" s="1013">
        <f t="shared" ref="AN11:AN73" si="5">AM11-AL11</f>
        <v>0</v>
      </c>
      <c r="AO11" s="336"/>
      <c r="AP11" s="260"/>
      <c r="AQ11" s="1018"/>
      <c r="AR11" s="325"/>
      <c r="AS11" s="260"/>
      <c r="AT11" s="337"/>
      <c r="AU11" s="540"/>
      <c r="AV11" s="325"/>
      <c r="AW11" s="260"/>
      <c r="AX11" s="337"/>
      <c r="BG11" s="617"/>
      <c r="BH11" s="614"/>
      <c r="BI11" s="625"/>
      <c r="BJ11" s="614"/>
      <c r="BM11" s="628"/>
      <c r="BN11" s="628"/>
      <c r="BQ11" s="617">
        <f>AP10-BQ10</f>
        <v>70465695.65170002</v>
      </c>
      <c r="BR11" s="614"/>
      <c r="BS11" s="625"/>
      <c r="BT11" s="614"/>
      <c r="BU11" s="111">
        <f>BS10+BW10</f>
        <v>69438047.340000018</v>
      </c>
    </row>
    <row r="12" spans="1:75" x14ac:dyDescent="0.3">
      <c r="A12" s="437" t="s">
        <v>150</v>
      </c>
      <c r="B12" s="1052">
        <v>110</v>
      </c>
      <c r="C12" s="438"/>
      <c r="D12" s="431"/>
      <c r="E12" s="59">
        <f>H12+R12+AL12+AK12</f>
        <v>0</v>
      </c>
      <c r="F12" s="410">
        <f t="shared" si="1"/>
        <v>0</v>
      </c>
      <c r="G12" s="285"/>
      <c r="H12" s="158"/>
      <c r="I12" s="669"/>
      <c r="J12" s="881"/>
      <c r="K12" s="285"/>
      <c r="L12" s="158"/>
      <c r="M12" s="298"/>
      <c r="N12" s="297"/>
      <c r="O12" s="285"/>
      <c r="P12" s="367"/>
      <c r="Q12" s="278"/>
      <c r="R12" s="309"/>
      <c r="S12" s="417"/>
      <c r="T12" s="527"/>
      <c r="U12" s="309"/>
      <c r="V12" s="261"/>
      <c r="W12" s="357">
        <f t="shared" si="2"/>
        <v>0</v>
      </c>
      <c r="X12" s="381"/>
      <c r="Y12" s="153">
        <f t="shared" si="3"/>
        <v>0</v>
      </c>
      <c r="Z12" s="357">
        <f t="shared" si="4"/>
        <v>0</v>
      </c>
      <c r="AA12" s="309"/>
      <c r="AB12" s="261"/>
      <c r="AC12" s="359"/>
      <c r="AD12" s="278"/>
      <c r="AE12" s="261"/>
      <c r="AF12" s="359"/>
      <c r="AG12" s="278"/>
      <c r="AH12" s="261"/>
      <c r="AI12" s="359"/>
      <c r="AJ12" s="424"/>
      <c r="AK12" s="393"/>
      <c r="AL12" s="334"/>
      <c r="AM12" s="347"/>
      <c r="AN12" s="1013">
        <f t="shared" si="5"/>
        <v>0</v>
      </c>
      <c r="AO12" s="336"/>
      <c r="AP12" s="260"/>
      <c r="AQ12" s="1018"/>
      <c r="AR12" s="325"/>
      <c r="AS12" s="260"/>
      <c r="AT12" s="337"/>
      <c r="AU12" s="541"/>
      <c r="AV12" s="325"/>
      <c r="AW12" s="260"/>
      <c r="AX12" s="337"/>
      <c r="AZ12" s="111"/>
      <c r="BA12" s="111">
        <f>BA10-AO10</f>
        <v>-30839945.4727</v>
      </c>
      <c r="BB12" s="111">
        <f>BB10-AR10</f>
        <v>-15266207.670000002</v>
      </c>
      <c r="BC12" s="111"/>
      <c r="BD12" s="111"/>
      <c r="BE12" s="111"/>
      <c r="BF12" s="111"/>
      <c r="BG12" s="615"/>
      <c r="BH12" s="614"/>
      <c r="BI12" s="625"/>
      <c r="BJ12" s="614"/>
      <c r="BK12" s="111"/>
      <c r="BL12" s="111"/>
      <c r="BM12" s="628"/>
      <c r="BN12" s="628"/>
      <c r="BO12" s="533"/>
      <c r="BP12" s="533"/>
      <c r="BQ12" s="615"/>
      <c r="BR12" s="614"/>
      <c r="BS12" s="625"/>
      <c r="BT12" s="614"/>
    </row>
    <row r="13" spans="1:75" x14ac:dyDescent="0.3">
      <c r="A13" s="437" t="s">
        <v>151</v>
      </c>
      <c r="B13" s="1052">
        <v>120</v>
      </c>
      <c r="C13" s="438"/>
      <c r="D13" s="431">
        <v>575137879.08170009</v>
      </c>
      <c r="E13" s="64">
        <f>H13+R13+AM13+AK13</f>
        <v>575137879.08170009</v>
      </c>
      <c r="F13" s="411">
        <f t="shared" si="1"/>
        <v>0</v>
      </c>
      <c r="G13" s="159">
        <v>218669600</v>
      </c>
      <c r="H13" s="159">
        <f>H14</f>
        <v>218669600</v>
      </c>
      <c r="I13" s="668">
        <f>H13-G13</f>
        <v>0</v>
      </c>
      <c r="J13" s="881">
        <f>J14</f>
        <v>105026100</v>
      </c>
      <c r="K13" s="284">
        <v>68563030.888212264</v>
      </c>
      <c r="L13" s="159">
        <f>H13-J13-O13</f>
        <v>68563030.896685272</v>
      </c>
      <c r="M13" s="298">
        <f>L13-K13</f>
        <v>8.4730088710784912E-3</v>
      </c>
      <c r="N13" s="285">
        <v>45080469.111787736</v>
      </c>
      <c r="O13" s="285">
        <f>O14</f>
        <v>45080469.103314735</v>
      </c>
      <c r="P13" s="367">
        <f>O13-N13</f>
        <v>-8.4730014204978943E-3</v>
      </c>
      <c r="Q13" s="277"/>
      <c r="R13" s="308"/>
      <c r="S13" s="416"/>
      <c r="T13" s="526"/>
      <c r="U13" s="308"/>
      <c r="V13" s="154"/>
      <c r="W13" s="357">
        <f t="shared" si="2"/>
        <v>0</v>
      </c>
      <c r="X13" s="380"/>
      <c r="Y13" s="153">
        <f t="shared" si="3"/>
        <v>0</v>
      </c>
      <c r="Z13" s="357">
        <f t="shared" si="4"/>
        <v>0</v>
      </c>
      <c r="AA13" s="308"/>
      <c r="AB13" s="154"/>
      <c r="AC13" s="358"/>
      <c r="AD13" s="277"/>
      <c r="AE13" s="154"/>
      <c r="AF13" s="358"/>
      <c r="AG13" s="277"/>
      <c r="AH13" s="154"/>
      <c r="AI13" s="358"/>
      <c r="AJ13" s="423"/>
      <c r="AK13" s="393">
        <f>SUM(AK14:AK16)</f>
        <v>1908800</v>
      </c>
      <c r="AL13" s="334">
        <v>354559479.08170003</v>
      </c>
      <c r="AM13" s="347">
        <f>AP13+AS13+AW13</f>
        <v>354559479.08170003</v>
      </c>
      <c r="AN13" s="1013">
        <f t="shared" si="5"/>
        <v>0</v>
      </c>
      <c r="AO13" s="338">
        <v>291362580.01170003</v>
      </c>
      <c r="AP13" s="162">
        <f>AP14+AP16+0.01</f>
        <v>306981817.19170004</v>
      </c>
      <c r="AQ13" s="1019">
        <f>AP13-AO13</f>
        <v>15619237.180000007</v>
      </c>
      <c r="AR13" s="324">
        <v>63196899.07</v>
      </c>
      <c r="AS13" s="162">
        <f>AS14</f>
        <v>44423842.689999998</v>
      </c>
      <c r="AT13" s="339">
        <f>AS13-AR13</f>
        <v>-18773056.380000003</v>
      </c>
      <c r="AU13" s="541"/>
      <c r="AV13" s="324"/>
      <c r="AW13" s="162">
        <f>AW14</f>
        <v>3153819.2</v>
      </c>
      <c r="AX13" s="339">
        <f>AW13-AV13</f>
        <v>3153819.2</v>
      </c>
      <c r="BG13" s="618"/>
      <c r="BH13" s="614"/>
      <c r="BI13" s="625"/>
      <c r="BJ13" s="614"/>
      <c r="BM13" s="628"/>
      <c r="BN13" s="628"/>
      <c r="BQ13" s="618">
        <f>13676010.29-8000000</f>
        <v>5676010.2899999991</v>
      </c>
      <c r="BR13" s="614"/>
      <c r="BS13" s="625"/>
      <c r="BT13" s="614"/>
    </row>
    <row r="14" spans="1:75" x14ac:dyDescent="0.3">
      <c r="A14" s="437" t="s">
        <v>152</v>
      </c>
      <c r="B14" s="133"/>
      <c r="C14" s="438"/>
      <c r="D14" s="431">
        <v>558934308.77170002</v>
      </c>
      <c r="E14" s="64">
        <f>H14+R14+AM14+AK14</f>
        <v>558934308.77170002</v>
      </c>
      <c r="F14" s="411">
        <f t="shared" si="1"/>
        <v>0</v>
      </c>
      <c r="G14" s="159">
        <v>218669600</v>
      </c>
      <c r="H14" s="159">
        <v>218669600</v>
      </c>
      <c r="I14" s="668">
        <f>H14-G14</f>
        <v>0</v>
      </c>
      <c r="J14" s="979">
        <f>42610100+6071200+19709100+1786600+10488200+12868200+1833500+5952100+539600+3167500</f>
        <v>105026100</v>
      </c>
      <c r="K14" s="284">
        <v>68563030.892986074</v>
      </c>
      <c r="L14" s="159">
        <f>'расчет норматив'!Z6</f>
        <v>68563030.892986074</v>
      </c>
      <c r="M14" s="296">
        <f>L14-K14</f>
        <v>0</v>
      </c>
      <c r="N14" s="284">
        <v>45080469.111787736</v>
      </c>
      <c r="O14" s="284">
        <f>'расчет норматив'!AA6</f>
        <v>45080469.103314735</v>
      </c>
      <c r="P14" s="366">
        <f>O14-N14</f>
        <v>-8.4730014204978943E-3</v>
      </c>
      <c r="Q14" s="277"/>
      <c r="R14" s="308"/>
      <c r="S14" s="416"/>
      <c r="T14" s="526"/>
      <c r="U14" s="308"/>
      <c r="V14" s="154"/>
      <c r="W14" s="357">
        <f t="shared" si="2"/>
        <v>0</v>
      </c>
      <c r="X14" s="380"/>
      <c r="Y14" s="153">
        <f t="shared" si="3"/>
        <v>0</v>
      </c>
      <c r="Z14" s="357">
        <f t="shared" si="4"/>
        <v>0</v>
      </c>
      <c r="AA14" s="308"/>
      <c r="AB14" s="154"/>
      <c r="AC14" s="358"/>
      <c r="AD14" s="277"/>
      <c r="AE14" s="154"/>
      <c r="AF14" s="358"/>
      <c r="AG14" s="277"/>
      <c r="AH14" s="154"/>
      <c r="AI14" s="358"/>
      <c r="AJ14" s="423"/>
      <c r="AK14" s="394">
        <v>1908800</v>
      </c>
      <c r="AL14" s="334">
        <v>338355908.77170002</v>
      </c>
      <c r="AM14" s="347">
        <f>AP14+AS14+AW14</f>
        <v>338355908.77170002</v>
      </c>
      <c r="AN14" s="1013">
        <f t="shared" si="5"/>
        <v>0</v>
      </c>
      <c r="AO14" s="338">
        <v>275159009.70170003</v>
      </c>
      <c r="AP14" s="162">
        <f>AL14-AS14-AW14</f>
        <v>290778246.88170004</v>
      </c>
      <c r="AQ14" s="1019">
        <f>AP14-AO14</f>
        <v>15619237.180000007</v>
      </c>
      <c r="AR14" s="324">
        <v>63196899.07</v>
      </c>
      <c r="AS14" s="162">
        <v>44423842.689999998</v>
      </c>
      <c r="AT14" s="339">
        <f>AS14-AR14</f>
        <v>-18773056.380000003</v>
      </c>
      <c r="AU14" s="541"/>
      <c r="AV14" s="324"/>
      <c r="AW14" s="162">
        <v>3153819.2</v>
      </c>
      <c r="AX14" s="339">
        <f>AW14-AV14</f>
        <v>3153819.2</v>
      </c>
      <c r="BG14" s="618"/>
      <c r="BH14" s="614"/>
      <c r="BI14" s="618">
        <v>67613872.370000005</v>
      </c>
      <c r="BJ14" s="614"/>
      <c r="BM14" s="628"/>
      <c r="BN14" s="628"/>
      <c r="BQ14" s="618">
        <f>5100000</f>
        <v>5100000</v>
      </c>
      <c r="BR14" s="614"/>
      <c r="BS14" s="618">
        <v>67613872.370000005</v>
      </c>
      <c r="BT14" s="614"/>
    </row>
    <row r="15" spans="1:75" x14ac:dyDescent="0.3">
      <c r="A15" s="437" t="s">
        <v>153</v>
      </c>
      <c r="B15" s="133"/>
      <c r="C15" s="438"/>
      <c r="D15" s="431">
        <v>0</v>
      </c>
      <c r="E15" s="64">
        <f>H15+R15+AL15+AK15</f>
        <v>0</v>
      </c>
      <c r="F15" s="410">
        <f t="shared" si="1"/>
        <v>0</v>
      </c>
      <c r="G15" s="284"/>
      <c r="H15" s="159"/>
      <c r="I15" s="668">
        <f t="shared" ref="I15:I21" si="6">H15-G15</f>
        <v>0</v>
      </c>
      <c r="J15" s="979"/>
      <c r="K15" s="284"/>
      <c r="L15" s="159"/>
      <c r="M15" s="296"/>
      <c r="N15" s="295"/>
      <c r="O15" s="284"/>
      <c r="P15" s="366"/>
      <c r="Q15" s="277"/>
      <c r="R15" s="308"/>
      <c r="S15" s="416"/>
      <c r="T15" s="526"/>
      <c r="U15" s="308"/>
      <c r="V15" s="154"/>
      <c r="W15" s="357">
        <f t="shared" si="2"/>
        <v>0</v>
      </c>
      <c r="X15" s="380"/>
      <c r="Y15" s="153">
        <f t="shared" si="3"/>
        <v>0</v>
      </c>
      <c r="Z15" s="357">
        <f t="shared" si="4"/>
        <v>0</v>
      </c>
      <c r="AA15" s="308"/>
      <c r="AB15" s="154"/>
      <c r="AC15" s="358"/>
      <c r="AD15" s="277"/>
      <c r="AE15" s="154"/>
      <c r="AF15" s="358"/>
      <c r="AG15" s="277"/>
      <c r="AH15" s="154"/>
      <c r="AI15" s="358"/>
      <c r="AJ15" s="423"/>
      <c r="AK15" s="394"/>
      <c r="AL15" s="334">
        <v>0</v>
      </c>
      <c r="AM15" s="347">
        <f t="shared" ref="AM15:AM73" si="7">AP15+AS15</f>
        <v>0</v>
      </c>
      <c r="AN15" s="1013">
        <f t="shared" si="5"/>
        <v>0</v>
      </c>
      <c r="AO15" s="336"/>
      <c r="AP15" s="260"/>
      <c r="AQ15" s="1018"/>
      <c r="AR15" s="325"/>
      <c r="AS15" s="260"/>
      <c r="AT15" s="337"/>
      <c r="AU15" s="541"/>
      <c r="AV15" s="325"/>
      <c r="AW15" s="260"/>
      <c r="AX15" s="337"/>
      <c r="BG15" s="619"/>
      <c r="BH15" s="614"/>
      <c r="BI15" s="625"/>
      <c r="BJ15" s="614"/>
      <c r="BM15" s="628"/>
      <c r="BN15" s="628"/>
      <c r="BQ15" s="619">
        <f>SUM(BQ13:BQ14)</f>
        <v>10776010.289999999</v>
      </c>
      <c r="BR15" s="614"/>
      <c r="BS15" s="625"/>
      <c r="BT15" s="614"/>
    </row>
    <row r="16" spans="1:75" x14ac:dyDescent="0.3">
      <c r="A16" s="437" t="s">
        <v>154</v>
      </c>
      <c r="B16" s="133"/>
      <c r="C16" s="438"/>
      <c r="D16" s="431">
        <v>16203570.300000001</v>
      </c>
      <c r="E16" s="64">
        <f>H16+R16+AM16+AK16</f>
        <v>16203570.300000001</v>
      </c>
      <c r="F16" s="410">
        <f t="shared" si="1"/>
        <v>0</v>
      </c>
      <c r="G16" s="284"/>
      <c r="H16" s="159"/>
      <c r="I16" s="668">
        <f t="shared" si="6"/>
        <v>0</v>
      </c>
      <c r="J16" s="979"/>
      <c r="K16" s="284"/>
      <c r="L16" s="159"/>
      <c r="M16" s="296"/>
      <c r="N16" s="295"/>
      <c r="O16" s="284"/>
      <c r="P16" s="366"/>
      <c r="Q16" s="277"/>
      <c r="R16" s="308"/>
      <c r="S16" s="416"/>
      <c r="T16" s="526"/>
      <c r="U16" s="308"/>
      <c r="V16" s="154"/>
      <c r="W16" s="357">
        <f t="shared" si="2"/>
        <v>0</v>
      </c>
      <c r="X16" s="380"/>
      <c r="Y16" s="153">
        <f t="shared" si="3"/>
        <v>0</v>
      </c>
      <c r="Z16" s="357">
        <f t="shared" si="4"/>
        <v>0</v>
      </c>
      <c r="AA16" s="308"/>
      <c r="AB16" s="154"/>
      <c r="AC16" s="358"/>
      <c r="AD16" s="277"/>
      <c r="AE16" s="154"/>
      <c r="AF16" s="358"/>
      <c r="AG16" s="277"/>
      <c r="AH16" s="154"/>
      <c r="AI16" s="358"/>
      <c r="AJ16" s="423"/>
      <c r="AK16" s="393"/>
      <c r="AL16" s="334">
        <v>16203570.300000001</v>
      </c>
      <c r="AM16" s="347">
        <f>AP16+AS16+AW16</f>
        <v>16203570.300000001</v>
      </c>
      <c r="AN16" s="1013">
        <f t="shared" si="5"/>
        <v>0</v>
      </c>
      <c r="AO16" s="338">
        <v>16203570.300000001</v>
      </c>
      <c r="AP16" s="162">
        <f>AL16-AS16-AW16</f>
        <v>16203570.300000001</v>
      </c>
      <c r="AQ16" s="1019">
        <f>AP16-AO16</f>
        <v>0</v>
      </c>
      <c r="AR16" s="324"/>
      <c r="AS16" s="162"/>
      <c r="AT16" s="339"/>
      <c r="AU16" s="541"/>
      <c r="AV16" s="324"/>
      <c r="AW16" s="162"/>
      <c r="AX16" s="339"/>
      <c r="BG16" s="618"/>
      <c r="BH16" s="614"/>
      <c r="BI16" s="625"/>
      <c r="BJ16" s="614"/>
      <c r="BM16" s="628"/>
      <c r="BN16" s="628"/>
      <c r="BQ16" s="618">
        <f>BQ11-BQ15</f>
        <v>59689685.361700021</v>
      </c>
      <c r="BR16" s="614"/>
      <c r="BS16" s="625"/>
      <c r="BT16" s="614"/>
    </row>
    <row r="17" spans="1:72" ht="31.5" x14ac:dyDescent="0.3">
      <c r="A17" s="437" t="s">
        <v>155</v>
      </c>
      <c r="B17" s="1052">
        <v>130</v>
      </c>
      <c r="C17" s="438"/>
      <c r="D17" s="431">
        <v>0</v>
      </c>
      <c r="E17" s="59">
        <f>H17+R17+AL17+AK17</f>
        <v>0</v>
      </c>
      <c r="F17" s="410">
        <f t="shared" si="1"/>
        <v>0</v>
      </c>
      <c r="G17" s="285"/>
      <c r="H17" s="158"/>
      <c r="I17" s="668">
        <f t="shared" si="6"/>
        <v>0</v>
      </c>
      <c r="J17" s="881"/>
      <c r="K17" s="285"/>
      <c r="L17" s="158"/>
      <c r="M17" s="298"/>
      <c r="N17" s="297"/>
      <c r="O17" s="285"/>
      <c r="P17" s="367"/>
      <c r="Q17" s="279"/>
      <c r="R17" s="310"/>
      <c r="S17" s="418"/>
      <c r="T17" s="528"/>
      <c r="U17" s="310"/>
      <c r="V17" s="63"/>
      <c r="W17" s="357">
        <f t="shared" si="2"/>
        <v>0</v>
      </c>
      <c r="X17" s="382"/>
      <c r="Y17" s="153">
        <f t="shared" si="3"/>
        <v>0</v>
      </c>
      <c r="Z17" s="357">
        <f t="shared" si="4"/>
        <v>0</v>
      </c>
      <c r="AA17" s="310"/>
      <c r="AB17" s="63"/>
      <c r="AC17" s="360"/>
      <c r="AD17" s="279"/>
      <c r="AE17" s="63"/>
      <c r="AF17" s="360"/>
      <c r="AG17" s="279"/>
      <c r="AH17" s="63"/>
      <c r="AI17" s="360"/>
      <c r="AJ17" s="425"/>
      <c r="AK17" s="395"/>
      <c r="AL17" s="334">
        <v>0</v>
      </c>
      <c r="AM17" s="347">
        <f t="shared" si="7"/>
        <v>0</v>
      </c>
      <c r="AN17" s="1013">
        <f t="shared" si="5"/>
        <v>0</v>
      </c>
      <c r="AO17" s="336"/>
      <c r="AP17" s="260"/>
      <c r="AQ17" s="1018"/>
      <c r="AR17" s="325"/>
      <c r="AS17" s="260"/>
      <c r="AT17" s="337"/>
      <c r="AU17" s="540" t="s">
        <v>149</v>
      </c>
      <c r="AV17" s="325"/>
      <c r="AW17" s="260"/>
      <c r="AX17" s="337"/>
      <c r="BG17" s="617"/>
      <c r="BH17" s="614"/>
      <c r="BI17" s="625"/>
      <c r="BJ17" s="614"/>
      <c r="BM17" s="628"/>
      <c r="BN17" s="628"/>
      <c r="BQ17" s="617"/>
      <c r="BR17" s="614"/>
      <c r="BS17" s="625"/>
      <c r="BT17" s="614"/>
    </row>
    <row r="18" spans="1:72" ht="63.75" customHeight="1" x14ac:dyDescent="0.3">
      <c r="A18" s="437" t="s">
        <v>156</v>
      </c>
      <c r="B18" s="1052">
        <v>140</v>
      </c>
      <c r="C18" s="438"/>
      <c r="D18" s="431">
        <v>0</v>
      </c>
      <c r="E18" s="59">
        <f>H18+R18+AL18+AK18</f>
        <v>0</v>
      </c>
      <c r="F18" s="410">
        <f t="shared" si="1"/>
        <v>0</v>
      </c>
      <c r="G18" s="285"/>
      <c r="H18" s="158"/>
      <c r="I18" s="668">
        <f t="shared" si="6"/>
        <v>0</v>
      </c>
      <c r="J18" s="881"/>
      <c r="K18" s="285"/>
      <c r="L18" s="158"/>
      <c r="M18" s="298"/>
      <c r="N18" s="297"/>
      <c r="O18" s="285"/>
      <c r="P18" s="367"/>
      <c r="Q18" s="279"/>
      <c r="R18" s="310"/>
      <c r="S18" s="418"/>
      <c r="T18" s="528"/>
      <c r="U18" s="310"/>
      <c r="V18" s="63"/>
      <c r="W18" s="357">
        <f t="shared" si="2"/>
        <v>0</v>
      </c>
      <c r="X18" s="382"/>
      <c r="Y18" s="153">
        <f t="shared" si="3"/>
        <v>0</v>
      </c>
      <c r="Z18" s="357">
        <f t="shared" si="4"/>
        <v>0</v>
      </c>
      <c r="AA18" s="310"/>
      <c r="AB18" s="63"/>
      <c r="AC18" s="360"/>
      <c r="AD18" s="279"/>
      <c r="AE18" s="63"/>
      <c r="AF18" s="360"/>
      <c r="AG18" s="279"/>
      <c r="AH18" s="63"/>
      <c r="AI18" s="360"/>
      <c r="AJ18" s="425"/>
      <c r="AK18" s="395"/>
      <c r="AL18" s="334">
        <v>0</v>
      </c>
      <c r="AM18" s="347">
        <f t="shared" si="7"/>
        <v>0</v>
      </c>
      <c r="AN18" s="1013">
        <f t="shared" si="5"/>
        <v>0</v>
      </c>
      <c r="AO18" s="336"/>
      <c r="AP18" s="260"/>
      <c r="AQ18" s="1018"/>
      <c r="AR18" s="325"/>
      <c r="AS18" s="260"/>
      <c r="AT18" s="337"/>
      <c r="AU18" s="540" t="s">
        <v>149</v>
      </c>
      <c r="AV18" s="325"/>
      <c r="AW18" s="260"/>
      <c r="AX18" s="337"/>
      <c r="BG18" s="617"/>
      <c r="BH18" s="614"/>
      <c r="BI18" s="625"/>
      <c r="BJ18" s="614"/>
      <c r="BM18" s="628"/>
      <c r="BN18" s="628"/>
      <c r="BQ18" s="617"/>
      <c r="BR18" s="614"/>
      <c r="BS18" s="625"/>
      <c r="BT18" s="614"/>
    </row>
    <row r="19" spans="1:72" ht="38.25" customHeight="1" x14ac:dyDescent="0.3">
      <c r="A19" s="437" t="s">
        <v>157</v>
      </c>
      <c r="B19" s="1052">
        <v>150</v>
      </c>
      <c r="C19" s="438"/>
      <c r="D19" s="431">
        <v>1270135000</v>
      </c>
      <c r="E19" s="64">
        <f>H19+R19+AM19+AK19</f>
        <v>1270135000</v>
      </c>
      <c r="F19" s="411">
        <f t="shared" si="1"/>
        <v>0</v>
      </c>
      <c r="G19" s="285"/>
      <c r="H19" s="158"/>
      <c r="I19" s="668">
        <f t="shared" si="6"/>
        <v>0</v>
      </c>
      <c r="J19" s="881"/>
      <c r="K19" s="285"/>
      <c r="L19" s="158"/>
      <c r="M19" s="298"/>
      <c r="N19" s="297"/>
      <c r="O19" s="285"/>
      <c r="P19" s="367"/>
      <c r="Q19" s="279">
        <v>1270135000</v>
      </c>
      <c r="R19" s="310">
        <f>T19+V19+X19+AB19+AE19+AH19</f>
        <v>1270135000</v>
      </c>
      <c r="S19" s="418">
        <f>R19-Q19</f>
        <v>0</v>
      </c>
      <c r="T19" s="528"/>
      <c r="U19" s="310">
        <v>1216891000</v>
      </c>
      <c r="V19" s="63">
        <f>1270135000-X19-AB19-AE19-AH19</f>
        <v>1216891000.01</v>
      </c>
      <c r="W19" s="360">
        <f t="shared" si="2"/>
        <v>9.9999904632568359E-3</v>
      </c>
      <c r="X19" s="382">
        <v>22131000</v>
      </c>
      <c r="Y19" s="63">
        <f>X19-Z19</f>
        <v>22131000</v>
      </c>
      <c r="Z19" s="360"/>
      <c r="AA19" s="310">
        <v>6878578.4699999997</v>
      </c>
      <c r="AB19" s="63">
        <f>AB22</f>
        <v>6878578.4699999997</v>
      </c>
      <c r="AC19" s="360">
        <f>AB19-AA19</f>
        <v>0</v>
      </c>
      <c r="AD19" s="63">
        <v>15071900</v>
      </c>
      <c r="AE19" s="63">
        <f>AE22</f>
        <v>15071900</v>
      </c>
      <c r="AF19" s="360">
        <f>AE19-AD19</f>
        <v>0</v>
      </c>
      <c r="AG19" s="63">
        <v>9162521.5199999996</v>
      </c>
      <c r="AH19" s="63">
        <v>9162521.5199999996</v>
      </c>
      <c r="AI19" s="360">
        <f>AH19-AG19</f>
        <v>0</v>
      </c>
      <c r="AJ19" s="426"/>
      <c r="AK19" s="395"/>
      <c r="AL19" s="334">
        <v>0</v>
      </c>
      <c r="AM19" s="347">
        <f t="shared" si="7"/>
        <v>0</v>
      </c>
      <c r="AN19" s="1013">
        <f t="shared" si="5"/>
        <v>0</v>
      </c>
      <c r="AO19" s="338"/>
      <c r="AP19" s="162"/>
      <c r="AQ19" s="1019"/>
      <c r="AR19" s="324"/>
      <c r="AS19" s="162"/>
      <c r="AT19" s="339"/>
      <c r="AU19" s="540" t="s">
        <v>149</v>
      </c>
      <c r="AV19" s="324"/>
      <c r="AW19" s="162"/>
      <c r="AX19" s="339"/>
      <c r="BG19" s="617"/>
      <c r="BH19" s="614"/>
      <c r="BI19" s="625"/>
      <c r="BJ19" s="614"/>
      <c r="BM19" s="628"/>
      <c r="BN19" s="628"/>
      <c r="BQ19" s="617"/>
      <c r="BR19" s="614"/>
      <c r="BS19" s="625"/>
      <c r="BT19" s="614"/>
    </row>
    <row r="20" spans="1:72" ht="19.5" customHeight="1" x14ac:dyDescent="0.3">
      <c r="A20" s="437" t="s">
        <v>158</v>
      </c>
      <c r="B20" s="1052">
        <v>160</v>
      </c>
      <c r="C20" s="438"/>
      <c r="D20" s="431">
        <v>34899225.510000005</v>
      </c>
      <c r="E20" s="64">
        <f>H20+R20+AM20+AK20</f>
        <v>34899225.510000005</v>
      </c>
      <c r="F20" s="411">
        <f t="shared" si="1"/>
        <v>0</v>
      </c>
      <c r="G20" s="285"/>
      <c r="H20" s="158"/>
      <c r="I20" s="668">
        <f t="shared" si="6"/>
        <v>0</v>
      </c>
      <c r="J20" s="881"/>
      <c r="K20" s="285"/>
      <c r="L20" s="158"/>
      <c r="M20" s="298"/>
      <c r="N20" s="297"/>
      <c r="O20" s="285"/>
      <c r="P20" s="367"/>
      <c r="Q20" s="279"/>
      <c r="R20" s="310"/>
      <c r="S20" s="418"/>
      <c r="T20" s="528"/>
      <c r="U20" s="310"/>
      <c r="V20" s="63"/>
      <c r="W20" s="357"/>
      <c r="X20" s="382"/>
      <c r="Y20" s="153">
        <f>X20-W20</f>
        <v>0</v>
      </c>
      <c r="Z20" s="357">
        <f>X20-W20</f>
        <v>0</v>
      </c>
      <c r="AA20" s="310"/>
      <c r="AB20" s="63"/>
      <c r="AC20" s="360"/>
      <c r="AD20" s="279"/>
      <c r="AE20" s="63"/>
      <c r="AF20" s="360"/>
      <c r="AG20" s="279"/>
      <c r="AH20" s="63"/>
      <c r="AI20" s="360"/>
      <c r="AJ20" s="425"/>
      <c r="AK20" s="395"/>
      <c r="AL20" s="334">
        <v>34899225.510000005</v>
      </c>
      <c r="AM20" s="347">
        <f>AP20+AS20+AW20</f>
        <v>34899225.510000005</v>
      </c>
      <c r="AN20" s="1013">
        <f t="shared" si="5"/>
        <v>0</v>
      </c>
      <c r="AO20" s="338">
        <v>14623053.460000001</v>
      </c>
      <c r="AP20" s="162">
        <f>AL20-AS20-AW20</f>
        <v>14623053.460000005</v>
      </c>
      <c r="AQ20" s="1019">
        <f>AP20-AO20</f>
        <v>0</v>
      </c>
      <c r="AR20" s="324">
        <v>20276172.050000001</v>
      </c>
      <c r="AS20" s="162">
        <v>11158193.82</v>
      </c>
      <c r="AT20" s="339">
        <f>AS20-AR20</f>
        <v>-9117978.2300000004</v>
      </c>
      <c r="AU20" s="542"/>
      <c r="AV20" s="324"/>
      <c r="AW20" s="162">
        <v>9117978.2300000004</v>
      </c>
      <c r="AX20" s="339">
        <f>AW20-AV20</f>
        <v>9117978.2300000004</v>
      </c>
      <c r="BG20" s="617"/>
      <c r="BH20" s="614"/>
      <c r="BI20" s="618">
        <v>106376.9</v>
      </c>
      <c r="BJ20" s="614"/>
      <c r="BM20" s="628"/>
      <c r="BN20" s="628"/>
      <c r="BQ20" s="617"/>
      <c r="BR20" s="614"/>
      <c r="BS20" s="618">
        <v>106376.9</v>
      </c>
      <c r="BT20" s="614"/>
    </row>
    <row r="21" spans="1:72" ht="22.5" customHeight="1" x14ac:dyDescent="0.3">
      <c r="A21" s="437" t="s">
        <v>159</v>
      </c>
      <c r="B21" s="1052">
        <v>180</v>
      </c>
      <c r="C21" s="1054" t="s">
        <v>149</v>
      </c>
      <c r="D21" s="64">
        <f>G21+Q21+AL21+AJ21</f>
        <v>0</v>
      </c>
      <c r="E21" s="64">
        <f>H21+R21+AM21+AK21</f>
        <v>0</v>
      </c>
      <c r="F21" s="411">
        <f t="shared" si="1"/>
        <v>0</v>
      </c>
      <c r="G21" s="284"/>
      <c r="H21" s="159"/>
      <c r="I21" s="668">
        <f t="shared" si="6"/>
        <v>0</v>
      </c>
      <c r="J21" s="979"/>
      <c r="K21" s="284"/>
      <c r="L21" s="159"/>
      <c r="M21" s="296"/>
      <c r="N21" s="295"/>
      <c r="O21" s="284"/>
      <c r="P21" s="366"/>
      <c r="Q21" s="277"/>
      <c r="R21" s="308"/>
      <c r="S21" s="416"/>
      <c r="T21" s="526"/>
      <c r="U21" s="308"/>
      <c r="V21" s="154"/>
      <c r="W21" s="357">
        <f t="shared" si="2"/>
        <v>0</v>
      </c>
      <c r="X21" s="380"/>
      <c r="Y21" s="153">
        <f>X21-W21</f>
        <v>0</v>
      </c>
      <c r="Z21" s="357">
        <f>X21-W21</f>
        <v>0</v>
      </c>
      <c r="AA21" s="308"/>
      <c r="AB21" s="154"/>
      <c r="AC21" s="358"/>
      <c r="AD21" s="277"/>
      <c r="AE21" s="154"/>
      <c r="AF21" s="358"/>
      <c r="AG21" s="277"/>
      <c r="AH21" s="154"/>
      <c r="AI21" s="358"/>
      <c r="AJ21" s="423"/>
      <c r="AK21" s="393"/>
      <c r="AL21" s="334">
        <v>0</v>
      </c>
      <c r="AM21" s="347">
        <f t="shared" si="7"/>
        <v>0</v>
      </c>
      <c r="AN21" s="1013">
        <f t="shared" si="5"/>
        <v>0</v>
      </c>
      <c r="AO21" s="336"/>
      <c r="AP21" s="260"/>
      <c r="AQ21" s="1018"/>
      <c r="AR21" s="324"/>
      <c r="AS21" s="162"/>
      <c r="AT21" s="339">
        <f>AS21-AR21</f>
        <v>0</v>
      </c>
      <c r="AU21" s="543" t="s">
        <v>149</v>
      </c>
      <c r="AV21" s="324"/>
      <c r="AW21" s="162"/>
      <c r="AX21" s="339">
        <f>AW21-AV21</f>
        <v>0</v>
      </c>
      <c r="BG21" s="617"/>
      <c r="BH21" s="614"/>
      <c r="BI21" s="618">
        <v>495312.5</v>
      </c>
      <c r="BJ21" s="614"/>
      <c r="BM21" s="628"/>
      <c r="BN21" s="628"/>
      <c r="BP21" s="533">
        <f>BM22-BP22</f>
        <v>62451857.668063521</v>
      </c>
      <c r="BQ21" s="617"/>
      <c r="BR21" s="614"/>
      <c r="BS21" s="618">
        <v>495312.5</v>
      </c>
      <c r="BT21" s="614"/>
    </row>
    <row r="22" spans="1:72" s="115" customFormat="1" x14ac:dyDescent="0.3">
      <c r="A22" s="435" t="s">
        <v>160</v>
      </c>
      <c r="B22" s="1053">
        <v>200</v>
      </c>
      <c r="C22" s="436" t="s">
        <v>149</v>
      </c>
      <c r="D22" s="1010">
        <f>D23+D44+D32</f>
        <v>2302231642.3292375</v>
      </c>
      <c r="E22" s="59">
        <f>H22+R22+AM22+AK22</f>
        <v>2299618211.1667643</v>
      </c>
      <c r="F22" s="410">
        <f t="shared" si="1"/>
        <v>-2613431.1624732018</v>
      </c>
      <c r="G22" s="293">
        <f>G23+G28+G32+G41+G44+G66+G70</f>
        <v>239742190.98477376</v>
      </c>
      <c r="H22" s="157">
        <f>H23+H35+H44</f>
        <v>239742190.97630078</v>
      </c>
      <c r="I22" s="667">
        <f>H22-G22</f>
        <v>-8.4729790687561035E-3</v>
      </c>
      <c r="J22" s="882">
        <f>J23+J32+J44</f>
        <v>121550240.5065745</v>
      </c>
      <c r="K22" s="283">
        <v>73111481.366411567</v>
      </c>
      <c r="L22" s="157">
        <f>L23+L28+L32+L41+L44+L66+L70</f>
        <v>73111481.366411567</v>
      </c>
      <c r="M22" s="294">
        <f>L22-K22</f>
        <v>0</v>
      </c>
      <c r="N22" s="293">
        <v>45080469.111787736</v>
      </c>
      <c r="O22" s="283">
        <f>O23+O28+O32+O41+O44+O66+O70</f>
        <v>45080469.103314735</v>
      </c>
      <c r="P22" s="365">
        <f>O22-N22</f>
        <v>-8.4730014204978943E-3</v>
      </c>
      <c r="Q22" s="276">
        <v>1660942107.3100002</v>
      </c>
      <c r="R22" s="307">
        <f>R23+R28+R40+R41+R66+R44+R32</f>
        <v>1658328676.1500001</v>
      </c>
      <c r="S22" s="415">
        <f>R22-Q22</f>
        <v>-2613431.1600000858</v>
      </c>
      <c r="T22" s="525">
        <f>T23+T32+T44</f>
        <v>388193676.14999998</v>
      </c>
      <c r="U22" s="307">
        <f>U23+U32+U44</f>
        <v>1216891000</v>
      </c>
      <c r="V22" s="153">
        <f>V23+V32+V44</f>
        <v>1216891000</v>
      </c>
      <c r="W22" s="357">
        <f t="shared" si="2"/>
        <v>0</v>
      </c>
      <c r="X22" s="379">
        <f>X23+X28+X40+X41+X66+X44+X32</f>
        <v>27319510.329999998</v>
      </c>
      <c r="Y22" s="153">
        <f>Y23+Y28+Y40+Y41+Y66+Y44+Y32</f>
        <v>22131000.009999998</v>
      </c>
      <c r="Z22" s="357">
        <f>Z23+Z28+Z40+Z41+Z66+Z44+Z32</f>
        <v>0</v>
      </c>
      <c r="AA22" s="307">
        <v>6878578.4699999997</v>
      </c>
      <c r="AB22" s="153">
        <f t="shared" ref="AB22:AE22" si="8">AB23+AB28+AB40+AB41+AB66+AB44+AB32</f>
        <v>6878578.4699999997</v>
      </c>
      <c r="AC22" s="357">
        <f>AB22-AA22</f>
        <v>0</v>
      </c>
      <c r="AD22" s="153">
        <v>15071900</v>
      </c>
      <c r="AE22" s="153">
        <f t="shared" si="8"/>
        <v>15071900</v>
      </c>
      <c r="AF22" s="357">
        <f>AE22-AD22</f>
        <v>0</v>
      </c>
      <c r="AG22" s="153">
        <v>9162521.5199999996</v>
      </c>
      <c r="AH22" s="153">
        <f t="shared" ref="AH22" si="9">AH23+AH28+AH40+AH41+AH66+AH44+AH32</f>
        <v>9162521.5199999996</v>
      </c>
      <c r="AI22" s="357">
        <f>AH22-AG22</f>
        <v>0</v>
      </c>
      <c r="AJ22" s="422">
        <f>AJ23+AJ28+AJ35+AJ40+AJ41+AJ66+AJ44</f>
        <v>0</v>
      </c>
      <c r="AK22" s="396">
        <f>AK23+AK28+AK40+AK41+AK44+AK66+AK32</f>
        <v>1908800</v>
      </c>
      <c r="AL22" s="334">
        <v>399638544.03446358</v>
      </c>
      <c r="AM22" s="347">
        <f>AP22+AS22+AW22</f>
        <v>399638544.04046357</v>
      </c>
      <c r="AN22" s="1013">
        <f t="shared" si="5"/>
        <v>5.9999823570251465E-3</v>
      </c>
      <c r="AO22" s="334">
        <v>315793818.92446357</v>
      </c>
      <c r="AP22" s="161">
        <f>AP23+AP28+AP40+AP41+AP66+AP44+AP32</f>
        <v>331413056.11046356</v>
      </c>
      <c r="AQ22" s="406">
        <f>AP22-AO22</f>
        <v>15619237.18599999</v>
      </c>
      <c r="AR22" s="161">
        <f>AR23+AR28+AR40+AR41+AR44+AR66+AR32</f>
        <v>83844725.109999999</v>
      </c>
      <c r="AS22" s="161">
        <f>AS23+AS28+AS40+AS41+AS44+AS66+AS32</f>
        <v>55953690.5</v>
      </c>
      <c r="AT22" s="335">
        <f>AS22-AR22</f>
        <v>-27891034.609999999</v>
      </c>
      <c r="AU22" s="539">
        <f>AU23+AU28+AU35+AU40+AU41+AU66+AU44</f>
        <v>0</v>
      </c>
      <c r="AV22" s="323"/>
      <c r="AW22" s="161">
        <f>AW23+AW28+AW40+AW41+AW44+AW66+AW32</f>
        <v>12271797.430000002</v>
      </c>
      <c r="AX22" s="335">
        <f>AW22-AV22</f>
        <v>12271797.430000002</v>
      </c>
      <c r="AZ22" s="969">
        <v>315793818.93169999</v>
      </c>
      <c r="BA22" s="135">
        <f>AZ22-AP22</f>
        <v>-15619237.178763568</v>
      </c>
      <c r="BG22" s="334">
        <f>BG23+BG28+BG40+BG41+BG44+BG66+BG32</f>
        <v>0</v>
      </c>
      <c r="BH22" s="539">
        <f>BH23+BH28+BH40+BH41+BH44+BH66+BH32</f>
        <v>15071900</v>
      </c>
      <c r="BI22" s="334">
        <f t="shared" ref="BI22:BJ22" si="10">BI23+BI28+BI40+BI41+BI44+BI66+BI32</f>
        <v>69438047.340000004</v>
      </c>
      <c r="BJ22" s="539">
        <f t="shared" si="10"/>
        <v>-60275525.819999993</v>
      </c>
      <c r="BM22" s="628">
        <f>AL22</f>
        <v>399638544.03446358</v>
      </c>
      <c r="BN22" s="628">
        <f t="shared" ref="BN22:BN73" si="11">BQ22+BS22</f>
        <v>331661665.28999996</v>
      </c>
      <c r="BO22" s="535">
        <f>BM22-BN22</f>
        <v>67976878.744463623</v>
      </c>
      <c r="BP22" s="334">
        <f>BP23+BP28+BP40+BP41+BP44+BP66+BP32</f>
        <v>337186686.36640006</v>
      </c>
      <c r="BQ22" s="334">
        <f>BQ23+BQ28+BQ40+BQ41+BQ44+BQ66+BQ32</f>
        <v>262223617.94999999</v>
      </c>
      <c r="BR22" s="539">
        <f>BR23+BR28+BR40+BR41+BR44+BR66+BR32</f>
        <v>53570200.97446353</v>
      </c>
      <c r="BS22" s="334">
        <f t="shared" ref="BS22:BT22" si="12">BS23+BS28+BS40+BS41+BS44+BS66+BS32</f>
        <v>69438047.340000004</v>
      </c>
      <c r="BT22" s="539">
        <f t="shared" si="12"/>
        <v>14406677.770000001</v>
      </c>
    </row>
    <row r="23" spans="1:72" s="115" customFormat="1" ht="18.75" customHeight="1" x14ac:dyDescent="0.3">
      <c r="A23" s="435" t="s">
        <v>161</v>
      </c>
      <c r="B23" s="1053">
        <v>210</v>
      </c>
      <c r="C23" s="436">
        <v>110</v>
      </c>
      <c r="D23" s="430">
        <f>D25+D26+D27</f>
        <v>423878802.28609848</v>
      </c>
      <c r="E23" s="59">
        <f>H23+R23+AM23+AK23</f>
        <v>424149150.2063008</v>
      </c>
      <c r="F23" s="410">
        <f t="shared" si="1"/>
        <v>270347.92020231485</v>
      </c>
      <c r="G23" s="293">
        <f>G25+G26+G27</f>
        <v>187885462.61477378</v>
      </c>
      <c r="H23" s="157">
        <f>H25+H26+H27</f>
        <v>187885462.6063008</v>
      </c>
      <c r="I23" s="667">
        <f>H23-G23</f>
        <v>-8.4729790687561035E-3</v>
      </c>
      <c r="J23" s="882">
        <f>J25+J26+J27</f>
        <v>121550240.5065745</v>
      </c>
      <c r="K23" s="283">
        <v>40250801.519726306</v>
      </c>
      <c r="L23" s="157">
        <f>L25+L26+L27</f>
        <v>40250801.519726306</v>
      </c>
      <c r="M23" s="294">
        <f>L23-K23</f>
        <v>0</v>
      </c>
      <c r="N23" s="293">
        <v>26084420.588472996</v>
      </c>
      <c r="O23" s="283">
        <f>O25+O26+O27</f>
        <v>26084420.579999998</v>
      </c>
      <c r="P23" s="365">
        <f>O23-N23</f>
        <v>-8.4729976952075958E-3</v>
      </c>
      <c r="Q23" s="276">
        <v>24940779.411324892</v>
      </c>
      <c r="R23" s="307">
        <f>R25+R26+R27</f>
        <v>24940779.41</v>
      </c>
      <c r="S23" s="415">
        <f>R23-Q23</f>
        <v>-1.3248920440673828E-3</v>
      </c>
      <c r="T23" s="525">
        <f>T25+T26</f>
        <v>0</v>
      </c>
      <c r="U23" s="307">
        <v>0</v>
      </c>
      <c r="V23" s="153">
        <f>V25+V26+V27</f>
        <v>0</v>
      </c>
      <c r="W23" s="357">
        <f t="shared" si="2"/>
        <v>0</v>
      </c>
      <c r="X23" s="379">
        <f>X25+X26+X27</f>
        <v>11760515.671324892</v>
      </c>
      <c r="Y23" s="153">
        <f>Y25+Y26+Y27</f>
        <v>9868879.4100000001</v>
      </c>
      <c r="Z23" s="357">
        <f>Z25+Z26+Z27</f>
        <v>0</v>
      </c>
      <c r="AA23" s="307">
        <v>0</v>
      </c>
      <c r="AB23" s="153">
        <f>AB25+AB26</f>
        <v>0</v>
      </c>
      <c r="AC23" s="357">
        <f>AB23-AA23</f>
        <v>0</v>
      </c>
      <c r="AD23" s="153">
        <v>15071900</v>
      </c>
      <c r="AE23" s="153">
        <f>AE25+AE26</f>
        <v>15071900</v>
      </c>
      <c r="AF23" s="357">
        <f>AE23-AD23</f>
        <v>0</v>
      </c>
      <c r="AG23" s="153">
        <v>0</v>
      </c>
      <c r="AH23" s="153">
        <f>AH25+AH26</f>
        <v>0</v>
      </c>
      <c r="AI23" s="357">
        <f>AH23-AG23</f>
        <v>0</v>
      </c>
      <c r="AJ23" s="422">
        <f>AJ25+AJ26+AJ27</f>
        <v>0</v>
      </c>
      <c r="AK23" s="396">
        <f>AK25+AK26+AK27</f>
        <v>1858800</v>
      </c>
      <c r="AL23" s="334">
        <v>209193760.26000002</v>
      </c>
      <c r="AM23" s="347">
        <f>AP23+AS23+AW23</f>
        <v>209464108.19</v>
      </c>
      <c r="AN23" s="1013">
        <f t="shared" si="5"/>
        <v>270347.92999997735</v>
      </c>
      <c r="AO23" s="334">
        <f>AO25+AO26+AO27</f>
        <v>160627997.13</v>
      </c>
      <c r="AP23" s="161">
        <f>AP25+AP26+AP27</f>
        <v>170310396.47</v>
      </c>
      <c r="AQ23" s="406">
        <f>AP23-AO23</f>
        <v>9682399.3400000036</v>
      </c>
      <c r="AR23" s="161">
        <f>AR25+AR26+AR27</f>
        <v>48698763.130000003</v>
      </c>
      <c r="AS23" s="161">
        <f>AS25+AS26+AS27</f>
        <v>32053015.510000002</v>
      </c>
      <c r="AT23" s="335">
        <f>AS23-AR23</f>
        <v>-16645747.620000001</v>
      </c>
      <c r="AU23" s="539">
        <f>AU25+AU26+AU27</f>
        <v>0</v>
      </c>
      <c r="AV23" s="323"/>
      <c r="AW23" s="161">
        <f>AW25+AW26+AW27</f>
        <v>7100696.21</v>
      </c>
      <c r="AX23" s="335">
        <f>AW23-AV23</f>
        <v>7100696.21</v>
      </c>
      <c r="BG23" s="334">
        <f>BG25+BG26+BG27</f>
        <v>0</v>
      </c>
      <c r="BH23" s="539">
        <f>BH25+BH26+BH27</f>
        <v>15071900</v>
      </c>
      <c r="BI23" s="334">
        <f t="shared" ref="BI23:BJ23" si="13">BI25+BI26+BI27</f>
        <v>43280242.210000001</v>
      </c>
      <c r="BJ23" s="539">
        <f t="shared" si="13"/>
        <v>-43280242.210000001</v>
      </c>
      <c r="BM23" s="628">
        <f>AL23</f>
        <v>209193760.26000002</v>
      </c>
      <c r="BN23" s="628">
        <f t="shared" si="11"/>
        <v>198794090.73000002</v>
      </c>
      <c r="BO23" s="535">
        <f t="shared" ref="BO23:BO73" si="14">BM23-BN23</f>
        <v>10399669.530000001</v>
      </c>
      <c r="BP23" s="334">
        <f>BP25+BP26+BP27</f>
        <v>206886090.54000002</v>
      </c>
      <c r="BQ23" s="334">
        <f>BQ25+BQ26+BQ27</f>
        <v>155513848.52000001</v>
      </c>
      <c r="BR23" s="539">
        <f>BR25+BR26+BR27</f>
        <v>5114148.609999992</v>
      </c>
      <c r="BS23" s="334">
        <f t="shared" ref="BS23:BT23" si="15">BS25+BS26+BS27</f>
        <v>43280242.210000001</v>
      </c>
      <c r="BT23" s="539">
        <f t="shared" si="15"/>
        <v>5418520.9199999999</v>
      </c>
    </row>
    <row r="24" spans="1:72" x14ac:dyDescent="0.3">
      <c r="A24" s="437" t="s">
        <v>92</v>
      </c>
      <c r="B24" s="133"/>
      <c r="C24" s="438"/>
      <c r="D24" s="431"/>
      <c r="E24" s="59">
        <f>H24+R24+AL24+AK24</f>
        <v>0</v>
      </c>
      <c r="F24" s="410">
        <f t="shared" si="1"/>
        <v>0</v>
      </c>
      <c r="G24" s="285"/>
      <c r="H24" s="158"/>
      <c r="I24" s="667">
        <f t="shared" ref="I24:I74" si="16">H24-G24</f>
        <v>0</v>
      </c>
      <c r="J24" s="881"/>
      <c r="K24" s="285"/>
      <c r="L24" s="158"/>
      <c r="M24" s="298"/>
      <c r="N24" s="297"/>
      <c r="O24" s="285"/>
      <c r="P24" s="367"/>
      <c r="Q24" s="279"/>
      <c r="R24" s="310"/>
      <c r="S24" s="418"/>
      <c r="T24" s="528"/>
      <c r="U24" s="310"/>
      <c r="V24" s="63"/>
      <c r="W24" s="357">
        <f t="shared" si="2"/>
        <v>0</v>
      </c>
      <c r="X24" s="382"/>
      <c r="Y24" s="153">
        <f>X24-W24</f>
        <v>0</v>
      </c>
      <c r="Z24" s="357">
        <f>X24-W24</f>
        <v>0</v>
      </c>
      <c r="AA24" s="310"/>
      <c r="AB24" s="63"/>
      <c r="AC24" s="360"/>
      <c r="AD24" s="279"/>
      <c r="AE24" s="63"/>
      <c r="AF24" s="360"/>
      <c r="AG24" s="279"/>
      <c r="AH24" s="63"/>
      <c r="AI24" s="360"/>
      <c r="AJ24" s="425"/>
      <c r="AK24" s="395"/>
      <c r="AL24" s="334">
        <v>0</v>
      </c>
      <c r="AM24" s="347">
        <f t="shared" ref="AM24:AM72" si="17">AP24+AS24+AW24</f>
        <v>0</v>
      </c>
      <c r="AN24" s="1013">
        <f t="shared" si="5"/>
        <v>0</v>
      </c>
      <c r="AO24" s="338"/>
      <c r="AP24" s="162"/>
      <c r="AQ24" s="1019"/>
      <c r="AR24" s="324"/>
      <c r="AS24" s="162"/>
      <c r="AT24" s="339"/>
      <c r="AU24" s="540"/>
      <c r="AV24" s="324"/>
      <c r="AW24" s="162"/>
      <c r="AX24" s="339"/>
      <c r="BG24" s="617"/>
      <c r="BH24" s="614"/>
      <c r="BI24" s="625"/>
      <c r="BJ24" s="614"/>
      <c r="BM24" s="628">
        <f t="shared" ref="BM24:BM75" si="18">AL24</f>
        <v>0</v>
      </c>
      <c r="BN24" s="628">
        <f t="shared" si="11"/>
        <v>0</v>
      </c>
      <c r="BO24" s="535">
        <f t="shared" si="14"/>
        <v>0</v>
      </c>
      <c r="BP24" s="533"/>
      <c r="BQ24" s="617"/>
      <c r="BR24" s="614"/>
      <c r="BS24" s="625"/>
      <c r="BT24" s="614"/>
    </row>
    <row r="25" spans="1:72" ht="18.75" customHeight="1" x14ac:dyDescent="0.3">
      <c r="A25" s="437" t="s">
        <v>162</v>
      </c>
      <c r="B25" s="1385">
        <v>211</v>
      </c>
      <c r="C25" s="1054">
        <v>111</v>
      </c>
      <c r="D25" s="431">
        <v>324309100.467448</v>
      </c>
      <c r="E25" s="64">
        <f>H25+R25+AM25+AK25</f>
        <v>324309100.45954537</v>
      </c>
      <c r="F25" s="411">
        <f t="shared" si="1"/>
        <v>-7.9026222229003906E-3</v>
      </c>
      <c r="G25" s="285">
        <v>143436558.52657449</v>
      </c>
      <c r="H25" s="158">
        <f>J25+L25+O25</f>
        <v>143436558.51810148</v>
      </c>
      <c r="I25" s="667">
        <f t="shared" si="16"/>
        <v>-8.4730088710784912E-3</v>
      </c>
      <c r="J25" s="881">
        <f>'расчет норматив'!AB10+'ПФХД 2019 с разбивкой  (2)'!L99</f>
        <v>93378135.336574495</v>
      </c>
      <c r="K25" s="285">
        <v>30201086.86802119</v>
      </c>
      <c r="L25" s="158">
        <f>'расчет норматив'!Z10</f>
        <v>30201086.86802119</v>
      </c>
      <c r="M25" s="298">
        <f>L25-K25</f>
        <v>0</v>
      </c>
      <c r="N25" s="285">
        <v>19857336.321978807</v>
      </c>
      <c r="O25" s="285">
        <f>'расчет норматив'!AA10</f>
        <v>19857336.31350581</v>
      </c>
      <c r="P25" s="367">
        <f>O25-N25</f>
        <v>-8.4729976952075958E-3</v>
      </c>
      <c r="Q25" s="279">
        <v>19155752.180873699</v>
      </c>
      <c r="R25" s="310">
        <f>T25+V25+Y25+AB25+AE25+AH25</f>
        <v>19155752.181443933</v>
      </c>
      <c r="S25" s="418">
        <f>R25-Q25</f>
        <v>5.7023391127586365E-4</v>
      </c>
      <c r="T25" s="528"/>
      <c r="U25" s="310"/>
      <c r="V25" s="63"/>
      <c r="W25" s="357">
        <f t="shared" si="2"/>
        <v>0</v>
      </c>
      <c r="X25" s="382">
        <f>'расчет норматив'!AG10+'расчет норматив'!AH10+'расчет норматив'!AI10</f>
        <v>8686783.9894297663</v>
      </c>
      <c r="Y25" s="63">
        <v>7579792.1200000001</v>
      </c>
      <c r="Z25" s="360"/>
      <c r="AA25" s="310"/>
      <c r="AB25" s="63"/>
      <c r="AC25" s="360">
        <f>AB25-AA25</f>
        <v>0</v>
      </c>
      <c r="AD25" s="63">
        <v>11575960.061443932</v>
      </c>
      <c r="AE25" s="63">
        <f>15071900/1.302</f>
        <v>11575960.061443932</v>
      </c>
      <c r="AF25" s="360">
        <f>AE25-AD25</f>
        <v>0</v>
      </c>
      <c r="AG25" s="279"/>
      <c r="AH25" s="63"/>
      <c r="AI25" s="360">
        <f>AH25-AG25</f>
        <v>0</v>
      </c>
      <c r="AJ25" s="425"/>
      <c r="AK25" s="395">
        <v>1427649.77</v>
      </c>
      <c r="AL25" s="334">
        <v>160289139.99000001</v>
      </c>
      <c r="AM25" s="347">
        <f t="shared" si="17"/>
        <v>160289139.99000001</v>
      </c>
      <c r="AN25" s="1013">
        <f t="shared" si="5"/>
        <v>0</v>
      </c>
      <c r="AO25" s="338">
        <v>123237324.98999999</v>
      </c>
      <c r="AP25" s="162">
        <f>AL25-AS25-AW25</f>
        <v>130433900.66</v>
      </c>
      <c r="AQ25" s="1019">
        <f>AP25-AO25</f>
        <v>7196575.6700000018</v>
      </c>
      <c r="AR25" s="324">
        <v>37051815</v>
      </c>
      <c r="AS25" s="162">
        <v>24449679.02</v>
      </c>
      <c r="AT25" s="339">
        <f>AS25-AR25</f>
        <v>-12602135.98</v>
      </c>
      <c r="AU25" s="540"/>
      <c r="AV25" s="324"/>
      <c r="AW25" s="162">
        <v>5405560.3099999996</v>
      </c>
      <c r="AX25" s="339">
        <f>AW25-AV25</f>
        <v>5405560.3099999996</v>
      </c>
      <c r="BG25" s="617"/>
      <c r="BH25" s="621">
        <f>AE25-BG25</f>
        <v>11575960.061443932</v>
      </c>
      <c r="BI25" s="617">
        <v>33573582.210000001</v>
      </c>
      <c r="BJ25" s="621">
        <f>AH25-BI25</f>
        <v>-33573582.210000001</v>
      </c>
      <c r="BM25" s="629">
        <f t="shared" si="18"/>
        <v>160289139.99000001</v>
      </c>
      <c r="BN25" s="629">
        <f t="shared" si="11"/>
        <v>151333957.74000001</v>
      </c>
      <c r="BO25" s="533">
        <f t="shared" si="14"/>
        <v>8955182.25</v>
      </c>
      <c r="BP25" s="533">
        <f>BM25</f>
        <v>160289139.99000001</v>
      </c>
      <c r="BQ25" s="617">
        <v>117760375.53</v>
      </c>
      <c r="BR25" s="621">
        <f>AO25-BQ25</f>
        <v>5476949.4599999934</v>
      </c>
      <c r="BS25" s="617">
        <v>33573582.210000001</v>
      </c>
      <c r="BT25" s="621">
        <f>AR25-BS25</f>
        <v>3478232.7899999991</v>
      </c>
    </row>
    <row r="26" spans="1:72" ht="18.75" customHeight="1" x14ac:dyDescent="0.3">
      <c r="A26" s="437" t="s">
        <v>163</v>
      </c>
      <c r="B26" s="1385"/>
      <c r="C26" s="1054">
        <v>119</v>
      </c>
      <c r="D26" s="431">
        <v>98547733.4738767</v>
      </c>
      <c r="E26" s="64">
        <f>H26+R26+AM26+AK26</f>
        <v>98547733.47198157</v>
      </c>
      <c r="F26" s="411">
        <f t="shared" si="1"/>
        <v>-1.8951296806335449E-3</v>
      </c>
      <c r="G26" s="285">
        <v>43924235.743425503</v>
      </c>
      <c r="H26" s="158">
        <f>J26+L26+O26</f>
        <v>43924235.743425503</v>
      </c>
      <c r="I26" s="669">
        <f t="shared" si="16"/>
        <v>0</v>
      </c>
      <c r="J26" s="881">
        <f>'расчет норматив'!AB11+'ПФХД 2019 с разбивкой  (2)'!M100</f>
        <v>28172105.169999998</v>
      </c>
      <c r="K26" s="285">
        <v>9701799.1509962641</v>
      </c>
      <c r="L26" s="158">
        <f>'расчет норматив'!Z11+N100</f>
        <v>9701799.1509962641</v>
      </c>
      <c r="M26" s="298">
        <f>L26-K26</f>
        <v>0</v>
      </c>
      <c r="N26" s="285">
        <v>6050331.4224292375</v>
      </c>
      <c r="O26" s="285">
        <f>'расчет норматив'!AA11</f>
        <v>6050331.4224292375</v>
      </c>
      <c r="P26" s="367">
        <f>O26-N26</f>
        <v>0</v>
      </c>
      <c r="Q26" s="279">
        <v>5785027.2304511927</v>
      </c>
      <c r="R26" s="310">
        <f>T26+V26+Y26+AB26+AE26+AH26</f>
        <v>5785027.2285560677</v>
      </c>
      <c r="S26" s="418">
        <f>R26-Q26</f>
        <v>-1.8951250240206718E-3</v>
      </c>
      <c r="T26" s="528"/>
      <c r="U26" s="310"/>
      <c r="V26" s="63"/>
      <c r="W26" s="357">
        <f t="shared" si="2"/>
        <v>0</v>
      </c>
      <c r="X26" s="382">
        <f>'расчет норматив'!AG11+'расчет норматив'!AH11+'расчет норматив'!AI11</f>
        <v>3073731.6818951252</v>
      </c>
      <c r="Y26" s="63">
        <v>2289087.29</v>
      </c>
      <c r="Z26" s="360"/>
      <c r="AA26" s="310"/>
      <c r="AB26" s="63"/>
      <c r="AC26" s="360">
        <f>AB26-AA26</f>
        <v>0</v>
      </c>
      <c r="AD26" s="63">
        <v>3495939.9385560676</v>
      </c>
      <c r="AE26" s="63">
        <f>15071900-AE25</f>
        <v>3495939.9385560676</v>
      </c>
      <c r="AF26" s="360">
        <f>AE26-AD26</f>
        <v>0</v>
      </c>
      <c r="AG26" s="279"/>
      <c r="AH26" s="63"/>
      <c r="AI26" s="360">
        <f>AH26-AG26</f>
        <v>0</v>
      </c>
      <c r="AJ26" s="425"/>
      <c r="AK26" s="395">
        <v>431150.23</v>
      </c>
      <c r="AL26" s="334">
        <v>48407320.270000003</v>
      </c>
      <c r="AM26" s="347">
        <f t="shared" si="17"/>
        <v>48407320.270000003</v>
      </c>
      <c r="AN26" s="1013">
        <f t="shared" si="5"/>
        <v>0</v>
      </c>
      <c r="AO26" s="338">
        <v>37217672.140000001</v>
      </c>
      <c r="AP26" s="162">
        <f>AL26-AS26-AW26</f>
        <v>39376495.810000002</v>
      </c>
      <c r="AQ26" s="1019">
        <f>AP26-AO26</f>
        <v>2158823.6700000018</v>
      </c>
      <c r="AR26" s="324">
        <v>11189648.130000001</v>
      </c>
      <c r="AS26" s="162">
        <v>7383804.1900000004</v>
      </c>
      <c r="AT26" s="339">
        <f>AS26-AR26</f>
        <v>-3805843.9400000004</v>
      </c>
      <c r="AU26" s="540"/>
      <c r="AV26" s="324"/>
      <c r="AW26" s="162">
        <v>1647020.27</v>
      </c>
      <c r="AX26" s="339">
        <f>AW26-AV26</f>
        <v>1647020.27</v>
      </c>
      <c r="BG26" s="617"/>
      <c r="BH26" s="621">
        <f>AE26-BG26</f>
        <v>3495939.9385560676</v>
      </c>
      <c r="BI26" s="617">
        <v>9464700.4900000002</v>
      </c>
      <c r="BJ26" s="621">
        <f t="shared" ref="BJ26:BJ27" si="19">AH26-BI26</f>
        <v>-9464700.4900000002</v>
      </c>
      <c r="BM26" s="629">
        <f t="shared" si="18"/>
        <v>48407320.270000003</v>
      </c>
      <c r="BN26" s="629">
        <f t="shared" si="11"/>
        <v>46099650.550000004</v>
      </c>
      <c r="BO26" s="533">
        <f t="shared" si="14"/>
        <v>2307669.7199999988</v>
      </c>
      <c r="BP26" s="533">
        <f>BN26</f>
        <v>46099650.550000004</v>
      </c>
      <c r="BQ26" s="617">
        <f>36338408.06+96542+200000</f>
        <v>36634950.060000002</v>
      </c>
      <c r="BR26" s="621">
        <f>AO26-BQ26</f>
        <v>582722.07999999821</v>
      </c>
      <c r="BS26" s="617">
        <v>9464700.4900000002</v>
      </c>
      <c r="BT26" s="621">
        <f t="shared" ref="BT26:BT27" si="20">AR26-BS26</f>
        <v>1724947.6400000006</v>
      </c>
    </row>
    <row r="27" spans="1:72" ht="39.75" customHeight="1" x14ac:dyDescent="0.3">
      <c r="A27" s="437" t="s">
        <v>164</v>
      </c>
      <c r="B27" s="1385"/>
      <c r="C27" s="1054">
        <v>112</v>
      </c>
      <c r="D27" s="431">
        <v>1021968.3447737963</v>
      </c>
      <c r="E27" s="64">
        <f>H27+R27+AM27+AK27</f>
        <v>1292316.2747737963</v>
      </c>
      <c r="F27" s="410">
        <f t="shared" si="1"/>
        <v>270347.93000000005</v>
      </c>
      <c r="G27" s="285">
        <v>524668.34477379627</v>
      </c>
      <c r="H27" s="158">
        <f>J27+L27+O27</f>
        <v>524668.34477379627</v>
      </c>
      <c r="I27" s="669">
        <f t="shared" si="16"/>
        <v>0</v>
      </c>
      <c r="J27" s="881"/>
      <c r="K27" s="285">
        <v>347915.50070884667</v>
      </c>
      <c r="L27" s="158">
        <f>'расчет норматив'!Z12+L101</f>
        <v>347915.50070884667</v>
      </c>
      <c r="M27" s="298">
        <f>L27-K27</f>
        <v>0</v>
      </c>
      <c r="N27" s="285">
        <v>176752.84406494963</v>
      </c>
      <c r="O27" s="285">
        <f>'расчет норматив'!AA12</f>
        <v>176752.84406494963</v>
      </c>
      <c r="P27" s="367">
        <f>O27-N27</f>
        <v>0</v>
      </c>
      <c r="Q27" s="279"/>
      <c r="R27" s="310"/>
      <c r="S27" s="418"/>
      <c r="T27" s="528"/>
      <c r="U27" s="310"/>
      <c r="V27" s="63"/>
      <c r="W27" s="357"/>
      <c r="X27" s="382"/>
      <c r="Y27" s="153"/>
      <c r="Z27" s="357"/>
      <c r="AA27" s="310"/>
      <c r="AB27" s="63"/>
      <c r="AC27" s="360"/>
      <c r="AD27" s="279"/>
      <c r="AE27" s="63"/>
      <c r="AF27" s="360"/>
      <c r="AG27" s="279"/>
      <c r="AH27" s="63"/>
      <c r="AI27" s="360"/>
      <c r="AJ27" s="425"/>
      <c r="AK27" s="395"/>
      <c r="AL27" s="334">
        <v>497300</v>
      </c>
      <c r="AM27" s="347">
        <f t="shared" si="17"/>
        <v>767647.93</v>
      </c>
      <c r="AN27" s="1013">
        <f t="shared" si="5"/>
        <v>270347.93000000005</v>
      </c>
      <c r="AO27" s="338">
        <v>173000</v>
      </c>
      <c r="AP27" s="162">
        <v>500000</v>
      </c>
      <c r="AQ27" s="1019">
        <f>AP27-AO27</f>
        <v>327000</v>
      </c>
      <c r="AR27" s="324">
        <v>457300</v>
      </c>
      <c r="AS27" s="162">
        <v>219532.3</v>
      </c>
      <c r="AT27" s="339">
        <f>AS27-AR27</f>
        <v>-237767.7</v>
      </c>
      <c r="AU27" s="540"/>
      <c r="AV27" s="324"/>
      <c r="AW27" s="162">
        <v>48115.63</v>
      </c>
      <c r="AX27" s="339">
        <f>AW27-AV27</f>
        <v>48115.63</v>
      </c>
      <c r="BG27" s="617"/>
      <c r="BH27" s="621">
        <f>AE27-BG27</f>
        <v>0</v>
      </c>
      <c r="BI27" s="617">
        <v>241959.51</v>
      </c>
      <c r="BJ27" s="621">
        <f t="shared" si="19"/>
        <v>-241959.51</v>
      </c>
      <c r="BM27" s="629">
        <f t="shared" si="18"/>
        <v>497300</v>
      </c>
      <c r="BN27" s="629">
        <f t="shared" si="11"/>
        <v>1360482.44</v>
      </c>
      <c r="BO27" s="533">
        <f t="shared" si="14"/>
        <v>-863182.44</v>
      </c>
      <c r="BP27" s="533">
        <f>BM27</f>
        <v>497300</v>
      </c>
      <c r="BQ27" s="617">
        <v>1118522.93</v>
      </c>
      <c r="BR27" s="621">
        <f>AO27-BQ27</f>
        <v>-945522.92999999993</v>
      </c>
      <c r="BS27" s="617">
        <v>241959.51</v>
      </c>
      <c r="BT27" s="621">
        <f t="shared" si="20"/>
        <v>215340.49</v>
      </c>
    </row>
    <row r="28" spans="1:72" s="115" customFormat="1" ht="31.5" x14ac:dyDescent="0.3">
      <c r="A28" s="435" t="s">
        <v>165</v>
      </c>
      <c r="B28" s="1385">
        <v>220</v>
      </c>
      <c r="C28" s="436">
        <v>300</v>
      </c>
      <c r="D28" s="430">
        <v>0</v>
      </c>
      <c r="E28" s="59">
        <f>H28+R28+AL28+AK28</f>
        <v>0</v>
      </c>
      <c r="F28" s="410">
        <f t="shared" si="1"/>
        <v>0</v>
      </c>
      <c r="G28" s="283">
        <f>G30+G31</f>
        <v>0</v>
      </c>
      <c r="H28" s="157"/>
      <c r="I28" s="669">
        <f t="shared" si="16"/>
        <v>0</v>
      </c>
      <c r="J28" s="882"/>
      <c r="K28" s="283"/>
      <c r="L28" s="157"/>
      <c r="M28" s="294"/>
      <c r="N28" s="293"/>
      <c r="O28" s="283"/>
      <c r="P28" s="365"/>
      <c r="Q28" s="276"/>
      <c r="R28" s="307"/>
      <c r="S28" s="415"/>
      <c r="T28" s="525"/>
      <c r="U28" s="307">
        <v>0</v>
      </c>
      <c r="V28" s="153">
        <v>0</v>
      </c>
      <c r="W28" s="357">
        <f t="shared" si="2"/>
        <v>0</v>
      </c>
      <c r="X28" s="379">
        <v>0</v>
      </c>
      <c r="Y28" s="153">
        <f>X28-W28</f>
        <v>0</v>
      </c>
      <c r="Z28" s="357">
        <f>X28-W28</f>
        <v>0</v>
      </c>
      <c r="AA28" s="307"/>
      <c r="AB28" s="153"/>
      <c r="AC28" s="357"/>
      <c r="AD28" s="276"/>
      <c r="AE28" s="153"/>
      <c r="AF28" s="357"/>
      <c r="AG28" s="276"/>
      <c r="AH28" s="153"/>
      <c r="AI28" s="357"/>
      <c r="AJ28" s="422">
        <f>AJ30+AJ31</f>
        <v>0</v>
      </c>
      <c r="AK28" s="396">
        <v>0</v>
      </c>
      <c r="AL28" s="334">
        <v>0</v>
      </c>
      <c r="AM28" s="347">
        <f t="shared" si="17"/>
        <v>0</v>
      </c>
      <c r="AN28" s="1013">
        <f t="shared" si="5"/>
        <v>0</v>
      </c>
      <c r="AO28" s="334"/>
      <c r="AP28" s="161"/>
      <c r="AQ28" s="406"/>
      <c r="AR28" s="323"/>
      <c r="AS28" s="161"/>
      <c r="AT28" s="335"/>
      <c r="AU28" s="539">
        <f>AU30+AU31</f>
        <v>0</v>
      </c>
      <c r="AV28" s="323"/>
      <c r="AW28" s="161"/>
      <c r="AX28" s="335"/>
      <c r="BG28" s="617"/>
      <c r="BH28" s="621">
        <f>AF28-BG28</f>
        <v>0</v>
      </c>
      <c r="BI28" s="617"/>
      <c r="BJ28" s="621"/>
      <c r="BM28" s="628">
        <f t="shared" si="18"/>
        <v>0</v>
      </c>
      <c r="BN28" s="628">
        <f t="shared" si="11"/>
        <v>0</v>
      </c>
      <c r="BO28" s="535">
        <f t="shared" si="14"/>
        <v>0</v>
      </c>
      <c r="BP28" s="533"/>
      <c r="BQ28" s="617"/>
      <c r="BR28" s="621">
        <f>AP28-BQ28</f>
        <v>0</v>
      </c>
      <c r="BS28" s="617"/>
      <c r="BT28" s="621"/>
    </row>
    <row r="29" spans="1:72" x14ac:dyDescent="0.3">
      <c r="A29" s="437" t="s">
        <v>92</v>
      </c>
      <c r="B29" s="1385"/>
      <c r="C29" s="438"/>
      <c r="D29" s="431"/>
      <c r="E29" s="59">
        <f>H29+R29+AL29+AK29</f>
        <v>0</v>
      </c>
      <c r="F29" s="410">
        <f t="shared" si="1"/>
        <v>0</v>
      </c>
      <c r="G29" s="285"/>
      <c r="H29" s="158"/>
      <c r="I29" s="669">
        <f t="shared" si="16"/>
        <v>0</v>
      </c>
      <c r="J29" s="881"/>
      <c r="K29" s="285"/>
      <c r="L29" s="158"/>
      <c r="M29" s="298"/>
      <c r="N29" s="297"/>
      <c r="O29" s="285"/>
      <c r="P29" s="367"/>
      <c r="Q29" s="279"/>
      <c r="R29" s="310"/>
      <c r="S29" s="418"/>
      <c r="T29" s="528"/>
      <c r="U29" s="310"/>
      <c r="V29" s="63"/>
      <c r="W29" s="357">
        <f t="shared" si="2"/>
        <v>0</v>
      </c>
      <c r="X29" s="382"/>
      <c r="Y29" s="153">
        <f>X29-W29</f>
        <v>0</v>
      </c>
      <c r="Z29" s="357">
        <f>X29-W29</f>
        <v>0</v>
      </c>
      <c r="AA29" s="310"/>
      <c r="AB29" s="63"/>
      <c r="AC29" s="360"/>
      <c r="AD29" s="279"/>
      <c r="AE29" s="63"/>
      <c r="AF29" s="360"/>
      <c r="AG29" s="279"/>
      <c r="AH29" s="63"/>
      <c r="AI29" s="360"/>
      <c r="AJ29" s="425"/>
      <c r="AK29" s="395"/>
      <c r="AL29" s="334">
        <v>0</v>
      </c>
      <c r="AM29" s="347">
        <f t="shared" si="17"/>
        <v>0</v>
      </c>
      <c r="AN29" s="1013">
        <f t="shared" si="5"/>
        <v>0</v>
      </c>
      <c r="AO29" s="338"/>
      <c r="AP29" s="162"/>
      <c r="AQ29" s="1019"/>
      <c r="AR29" s="324"/>
      <c r="AS29" s="162"/>
      <c r="AT29" s="339"/>
      <c r="AU29" s="540"/>
      <c r="AV29" s="324"/>
      <c r="AW29" s="162"/>
      <c r="AX29" s="339"/>
      <c r="BG29" s="617"/>
      <c r="BH29" s="621">
        <f>AF29-BG29</f>
        <v>0</v>
      </c>
      <c r="BI29" s="617"/>
      <c r="BJ29" s="621"/>
      <c r="BM29" s="628">
        <f t="shared" si="18"/>
        <v>0</v>
      </c>
      <c r="BN29" s="628">
        <f t="shared" si="11"/>
        <v>0</v>
      </c>
      <c r="BO29" s="535">
        <f t="shared" si="14"/>
        <v>0</v>
      </c>
      <c r="BP29" s="533"/>
      <c r="BQ29" s="617"/>
      <c r="BR29" s="621">
        <f>AP29-BQ29</f>
        <v>0</v>
      </c>
      <c r="BS29" s="617"/>
      <c r="BT29" s="621"/>
    </row>
    <row r="30" spans="1:72" x14ac:dyDescent="0.3">
      <c r="A30" s="1446" t="s">
        <v>166</v>
      </c>
      <c r="B30" s="1385"/>
      <c r="C30" s="1054">
        <v>321</v>
      </c>
      <c r="D30" s="431"/>
      <c r="E30" s="59">
        <f>H30+R30+AL30+AK30</f>
        <v>0</v>
      </c>
      <c r="F30" s="410">
        <f t="shared" si="1"/>
        <v>0</v>
      </c>
      <c r="G30" s="285"/>
      <c r="H30" s="158"/>
      <c r="I30" s="669">
        <f t="shared" si="16"/>
        <v>0</v>
      </c>
      <c r="J30" s="881"/>
      <c r="K30" s="285"/>
      <c r="L30" s="158"/>
      <c r="M30" s="298"/>
      <c r="N30" s="297"/>
      <c r="O30" s="285"/>
      <c r="P30" s="367"/>
      <c r="Q30" s="279"/>
      <c r="R30" s="310"/>
      <c r="S30" s="418"/>
      <c r="T30" s="528"/>
      <c r="U30" s="310"/>
      <c r="V30" s="63"/>
      <c r="W30" s="357">
        <f t="shared" si="2"/>
        <v>0</v>
      </c>
      <c r="X30" s="382"/>
      <c r="Y30" s="153">
        <f>X30-W30</f>
        <v>0</v>
      </c>
      <c r="Z30" s="357">
        <f>X30-W30</f>
        <v>0</v>
      </c>
      <c r="AA30" s="310"/>
      <c r="AB30" s="63"/>
      <c r="AC30" s="360"/>
      <c r="AD30" s="279"/>
      <c r="AE30" s="63"/>
      <c r="AF30" s="360"/>
      <c r="AG30" s="279"/>
      <c r="AH30" s="63"/>
      <c r="AI30" s="360"/>
      <c r="AJ30" s="425"/>
      <c r="AK30" s="395"/>
      <c r="AL30" s="334">
        <v>0</v>
      </c>
      <c r="AM30" s="347">
        <f t="shared" si="17"/>
        <v>0</v>
      </c>
      <c r="AN30" s="1013">
        <f t="shared" si="5"/>
        <v>0</v>
      </c>
      <c r="AO30" s="338"/>
      <c r="AP30" s="162"/>
      <c r="AQ30" s="1019"/>
      <c r="AR30" s="324"/>
      <c r="AS30" s="162"/>
      <c r="AT30" s="339"/>
      <c r="AU30" s="540"/>
      <c r="AV30" s="324"/>
      <c r="AW30" s="162"/>
      <c r="AX30" s="339"/>
      <c r="BG30" s="617"/>
      <c r="BH30" s="621">
        <f>AF30-BG30</f>
        <v>0</v>
      </c>
      <c r="BI30" s="617"/>
      <c r="BJ30" s="621"/>
      <c r="BM30" s="628">
        <f t="shared" si="18"/>
        <v>0</v>
      </c>
      <c r="BN30" s="628">
        <f t="shared" si="11"/>
        <v>0</v>
      </c>
      <c r="BO30" s="535">
        <f t="shared" si="14"/>
        <v>0</v>
      </c>
      <c r="BP30" s="533"/>
      <c r="BQ30" s="617"/>
      <c r="BR30" s="621">
        <f>AP30-BQ30</f>
        <v>0</v>
      </c>
      <c r="BS30" s="617"/>
      <c r="BT30" s="621"/>
    </row>
    <row r="31" spans="1:72" x14ac:dyDescent="0.3">
      <c r="A31" s="1447"/>
      <c r="B31" s="1385"/>
      <c r="C31" s="1054">
        <v>360</v>
      </c>
      <c r="D31" s="431"/>
      <c r="E31" s="59">
        <f>H31+R31+AL31+AK31</f>
        <v>0</v>
      </c>
      <c r="F31" s="410">
        <f t="shared" si="1"/>
        <v>0</v>
      </c>
      <c r="G31" s="285"/>
      <c r="H31" s="158"/>
      <c r="I31" s="669">
        <f t="shared" si="16"/>
        <v>0</v>
      </c>
      <c r="J31" s="881"/>
      <c r="K31" s="285"/>
      <c r="L31" s="158"/>
      <c r="M31" s="298"/>
      <c r="N31" s="297"/>
      <c r="O31" s="285"/>
      <c r="P31" s="367"/>
      <c r="Q31" s="279"/>
      <c r="R31" s="310"/>
      <c r="S31" s="418"/>
      <c r="T31" s="528"/>
      <c r="U31" s="310"/>
      <c r="V31" s="63"/>
      <c r="W31" s="357">
        <f t="shared" si="2"/>
        <v>0</v>
      </c>
      <c r="X31" s="382"/>
      <c r="Y31" s="153">
        <f>X31-W31</f>
        <v>0</v>
      </c>
      <c r="Z31" s="357">
        <f>X31-W31</f>
        <v>0</v>
      </c>
      <c r="AA31" s="310"/>
      <c r="AB31" s="63"/>
      <c r="AC31" s="360"/>
      <c r="AD31" s="279"/>
      <c r="AE31" s="63"/>
      <c r="AF31" s="360"/>
      <c r="AG31" s="279"/>
      <c r="AH31" s="63"/>
      <c r="AI31" s="360"/>
      <c r="AJ31" s="425"/>
      <c r="AK31" s="395"/>
      <c r="AL31" s="334">
        <v>0</v>
      </c>
      <c r="AM31" s="347">
        <f t="shared" si="17"/>
        <v>0</v>
      </c>
      <c r="AN31" s="1013">
        <f t="shared" si="5"/>
        <v>0</v>
      </c>
      <c r="AO31" s="338"/>
      <c r="AP31" s="162"/>
      <c r="AQ31" s="1019"/>
      <c r="AR31" s="324"/>
      <c r="AS31" s="162"/>
      <c r="AT31" s="339"/>
      <c r="AU31" s="540"/>
      <c r="AV31" s="324"/>
      <c r="AW31" s="162"/>
      <c r="AX31" s="339"/>
      <c r="BG31" s="617"/>
      <c r="BH31" s="621">
        <f>AF31-BG31</f>
        <v>0</v>
      </c>
      <c r="BI31" s="617"/>
      <c r="BJ31" s="621"/>
      <c r="BM31" s="628">
        <f t="shared" si="18"/>
        <v>0</v>
      </c>
      <c r="BN31" s="628">
        <f t="shared" si="11"/>
        <v>0</v>
      </c>
      <c r="BO31" s="535">
        <f t="shared" si="14"/>
        <v>0</v>
      </c>
      <c r="BP31" s="533"/>
      <c r="BQ31" s="617"/>
      <c r="BR31" s="621">
        <f>AP31-BQ31</f>
        <v>0</v>
      </c>
      <c r="BS31" s="617"/>
      <c r="BT31" s="621"/>
    </row>
    <row r="32" spans="1:72" s="115" customFormat="1" x14ac:dyDescent="0.3">
      <c r="A32" s="1035" t="s">
        <v>167</v>
      </c>
      <c r="B32" s="1036"/>
      <c r="C32" s="1037">
        <v>800</v>
      </c>
      <c r="D32" s="430">
        <f>D33+D35</f>
        <v>14420120.90278038</v>
      </c>
      <c r="E32" s="59">
        <f>H32+R32+AM32+AK32</f>
        <v>14420120.899999999</v>
      </c>
      <c r="F32" s="410">
        <f t="shared" si="1"/>
        <v>-2.7803815901279449E-3</v>
      </c>
      <c r="G32" s="157">
        <v>5201007.6000000006</v>
      </c>
      <c r="H32" s="157">
        <f>H33+H35</f>
        <v>5201007.6000000006</v>
      </c>
      <c r="I32" s="669">
        <f t="shared" si="16"/>
        <v>0</v>
      </c>
      <c r="J32" s="882">
        <f>J33+J35</f>
        <v>0</v>
      </c>
      <c r="K32" s="283">
        <v>3687692.4870092645</v>
      </c>
      <c r="L32" s="157">
        <f>L33+L35</f>
        <v>3687692.4870092645</v>
      </c>
      <c r="M32" s="294">
        <f>L32-K32</f>
        <v>0</v>
      </c>
      <c r="N32" s="293">
        <v>1513315.1129907358</v>
      </c>
      <c r="O32" s="283">
        <f>O33+O35</f>
        <v>1513315.1129907358</v>
      </c>
      <c r="P32" s="365">
        <f>O32-N32</f>
        <v>0</v>
      </c>
      <c r="Q32" s="276">
        <v>1914231.9827803806</v>
      </c>
      <c r="R32" s="307">
        <f>R34+R35+R36</f>
        <v>1914231.98</v>
      </c>
      <c r="S32" s="415">
        <f>R32-Q32</f>
        <v>-2.7803806588053703E-3</v>
      </c>
      <c r="T32" s="525">
        <f>T33+T35</f>
        <v>0</v>
      </c>
      <c r="U32" s="307">
        <v>0</v>
      </c>
      <c r="V32" s="153">
        <f t="shared" ref="V32:AU32" si="21">V33+V35</f>
        <v>0</v>
      </c>
      <c r="W32" s="357">
        <f t="shared" si="2"/>
        <v>0</v>
      </c>
      <c r="X32" s="379">
        <f>X33+X35</f>
        <v>1285867.8127803807</v>
      </c>
      <c r="Y32" s="153">
        <f>Y33+Y35</f>
        <v>1258487.81</v>
      </c>
      <c r="Z32" s="357">
        <f>Z33+Z35</f>
        <v>0</v>
      </c>
      <c r="AA32" s="307">
        <v>655744.17000000004</v>
      </c>
      <c r="AB32" s="153">
        <f t="shared" si="21"/>
        <v>655744.17000000004</v>
      </c>
      <c r="AC32" s="357">
        <f>AB32-AA32</f>
        <v>0</v>
      </c>
      <c r="AD32" s="276"/>
      <c r="AE32" s="153"/>
      <c r="AF32" s="357"/>
      <c r="AG32" s="276"/>
      <c r="AH32" s="153"/>
      <c r="AI32" s="357"/>
      <c r="AJ32" s="422">
        <f t="shared" si="21"/>
        <v>0</v>
      </c>
      <c r="AK32" s="396">
        <f t="shared" si="21"/>
        <v>0</v>
      </c>
      <c r="AL32" s="334">
        <v>7304881.3199999994</v>
      </c>
      <c r="AM32" s="347">
        <f t="shared" si="17"/>
        <v>7304881.3199999994</v>
      </c>
      <c r="AN32" s="1013">
        <f t="shared" si="5"/>
        <v>0</v>
      </c>
      <c r="AO32" s="334">
        <f>AO33+AO35</f>
        <v>6146265.0599999996</v>
      </c>
      <c r="AP32" s="161">
        <f>AP33+AP35</f>
        <v>5729310.8399999999</v>
      </c>
      <c r="AQ32" s="406">
        <f>AP32-AO32</f>
        <v>-416954.21999999974</v>
      </c>
      <c r="AR32" s="161">
        <f t="shared" si="21"/>
        <v>1025616.26</v>
      </c>
      <c r="AS32" s="161">
        <f t="shared" si="21"/>
        <v>1163616.26</v>
      </c>
      <c r="AT32" s="335">
        <f>AS32-AR32</f>
        <v>138000</v>
      </c>
      <c r="AU32" s="539">
        <f t="shared" si="21"/>
        <v>0</v>
      </c>
      <c r="AV32" s="323"/>
      <c r="AW32" s="161">
        <f t="shared" ref="AW32" si="22">AW33+AW35</f>
        <v>411954.22</v>
      </c>
      <c r="AX32" s="335">
        <f>AW32-AV32</f>
        <v>411954.22</v>
      </c>
      <c r="BG32" s="334">
        <f>BG33+BG35</f>
        <v>0</v>
      </c>
      <c r="BH32" s="539">
        <f t="shared" ref="BH32:BJ32" si="23">BH33+BH35</f>
        <v>0</v>
      </c>
      <c r="BI32" s="334">
        <f t="shared" si="23"/>
        <v>508251.94</v>
      </c>
      <c r="BJ32" s="539">
        <f t="shared" si="23"/>
        <v>-508251.94</v>
      </c>
      <c r="BM32" s="628">
        <f t="shared" si="18"/>
        <v>7304881.3199999994</v>
      </c>
      <c r="BN32" s="628">
        <f t="shared" si="11"/>
        <v>5603626.8600000003</v>
      </c>
      <c r="BO32" s="535">
        <f t="shared" si="14"/>
        <v>1701254.459999999</v>
      </c>
      <c r="BP32" s="334">
        <f>BP33+BP35</f>
        <v>6011062.4199999999</v>
      </c>
      <c r="BQ32" s="334">
        <f>BQ33+BQ35</f>
        <v>5095374.92</v>
      </c>
      <c r="BR32" s="539">
        <f t="shared" ref="BR32:BT32" si="24">BR33+BR35</f>
        <v>1050890.1399999997</v>
      </c>
      <c r="BS32" s="334">
        <f t="shared" si="24"/>
        <v>508251.94</v>
      </c>
      <c r="BT32" s="539">
        <f t="shared" si="24"/>
        <v>517364.32</v>
      </c>
    </row>
    <row r="33" spans="1:72" s="115" customFormat="1" x14ac:dyDescent="0.3">
      <c r="A33" s="1035" t="s">
        <v>168</v>
      </c>
      <c r="B33" s="1036"/>
      <c r="C33" s="1037">
        <v>830</v>
      </c>
      <c r="D33" s="59">
        <v>500000</v>
      </c>
      <c r="E33" s="59">
        <f>H33+R33+AM33+AK33</f>
        <v>500000</v>
      </c>
      <c r="F33" s="410">
        <f t="shared" si="1"/>
        <v>0</v>
      </c>
      <c r="G33" s="283">
        <f>SUM(G34)</f>
        <v>0</v>
      </c>
      <c r="H33" s="157"/>
      <c r="I33" s="669">
        <f t="shared" si="16"/>
        <v>0</v>
      </c>
      <c r="J33" s="882"/>
      <c r="K33" s="283"/>
      <c r="L33" s="157"/>
      <c r="M33" s="294"/>
      <c r="N33" s="293"/>
      <c r="O33" s="283"/>
      <c r="P33" s="365"/>
      <c r="Q33" s="276"/>
      <c r="R33" s="307"/>
      <c r="S33" s="415"/>
      <c r="T33" s="525"/>
      <c r="U33" s="307">
        <v>0</v>
      </c>
      <c r="V33" s="153">
        <f t="shared" ref="V33:AU33" si="25">SUM(V34)</f>
        <v>0</v>
      </c>
      <c r="W33" s="357">
        <f t="shared" si="2"/>
        <v>0</v>
      </c>
      <c r="X33" s="379">
        <f t="shared" si="25"/>
        <v>0</v>
      </c>
      <c r="Y33" s="153">
        <f>X33-W33</f>
        <v>0</v>
      </c>
      <c r="Z33" s="357">
        <f>X33-W33</f>
        <v>0</v>
      </c>
      <c r="AA33" s="307"/>
      <c r="AB33" s="153"/>
      <c r="AC33" s="357"/>
      <c r="AD33" s="276"/>
      <c r="AE33" s="153"/>
      <c r="AF33" s="357"/>
      <c r="AG33" s="276"/>
      <c r="AH33" s="153"/>
      <c r="AI33" s="357"/>
      <c r="AJ33" s="422">
        <f t="shared" si="25"/>
        <v>0</v>
      </c>
      <c r="AK33" s="396">
        <f t="shared" si="25"/>
        <v>0</v>
      </c>
      <c r="AL33" s="334">
        <v>500000</v>
      </c>
      <c r="AM33" s="347">
        <f t="shared" si="17"/>
        <v>500000</v>
      </c>
      <c r="AN33" s="1013">
        <f t="shared" si="5"/>
        <v>0</v>
      </c>
      <c r="AO33" s="334">
        <v>500000</v>
      </c>
      <c r="AP33" s="161">
        <f>AP34</f>
        <v>500000</v>
      </c>
      <c r="AQ33" s="406"/>
      <c r="AR33" s="323"/>
      <c r="AS33" s="161"/>
      <c r="AT33" s="335"/>
      <c r="AU33" s="539">
        <f t="shared" si="25"/>
        <v>0</v>
      </c>
      <c r="AV33" s="323"/>
      <c r="AW33" s="161"/>
      <c r="AX33" s="335"/>
      <c r="AZ33" s="121" t="s">
        <v>237</v>
      </c>
      <c r="BG33" s="617"/>
      <c r="BH33" s="621">
        <f>BH34</f>
        <v>0</v>
      </c>
      <c r="BI33" s="617"/>
      <c r="BJ33" s="621"/>
      <c r="BM33" s="629">
        <f t="shared" si="18"/>
        <v>500000</v>
      </c>
      <c r="BN33" s="629">
        <f t="shared" si="11"/>
        <v>207144.42</v>
      </c>
      <c r="BO33" s="533">
        <f t="shared" si="14"/>
        <v>292855.57999999996</v>
      </c>
      <c r="BP33" s="533">
        <f>BP34</f>
        <v>207144.42</v>
      </c>
      <c r="BQ33" s="617">
        <f>BQ34</f>
        <v>207144.42</v>
      </c>
      <c r="BR33" s="621">
        <f>BR34</f>
        <v>292855.57999999996</v>
      </c>
      <c r="BS33" s="617"/>
      <c r="BT33" s="621"/>
    </row>
    <row r="34" spans="1:72" ht="63" x14ac:dyDescent="0.3">
      <c r="A34" s="1038" t="s">
        <v>169</v>
      </c>
      <c r="B34" s="1039"/>
      <c r="C34" s="1040">
        <v>831</v>
      </c>
      <c r="D34" s="64">
        <v>500000</v>
      </c>
      <c r="E34" s="64">
        <f>H34+R34+AM34+AK34</f>
        <v>500000</v>
      </c>
      <c r="F34" s="411">
        <f t="shared" si="1"/>
        <v>0</v>
      </c>
      <c r="G34" s="285"/>
      <c r="H34" s="158"/>
      <c r="I34" s="669">
        <f t="shared" si="16"/>
        <v>0</v>
      </c>
      <c r="J34" s="881"/>
      <c r="K34" s="285"/>
      <c r="L34" s="158"/>
      <c r="M34" s="298"/>
      <c r="N34" s="297"/>
      <c r="O34" s="285"/>
      <c r="P34" s="367"/>
      <c r="Q34" s="279"/>
      <c r="R34" s="310"/>
      <c r="S34" s="418"/>
      <c r="T34" s="528"/>
      <c r="U34" s="310"/>
      <c r="V34" s="63"/>
      <c r="W34" s="357">
        <f t="shared" si="2"/>
        <v>0</v>
      </c>
      <c r="X34" s="382"/>
      <c r="Y34" s="153">
        <f>X34-W34</f>
        <v>0</v>
      </c>
      <c r="Z34" s="357">
        <f>X34-W34</f>
        <v>0</v>
      </c>
      <c r="AA34" s="310"/>
      <c r="AB34" s="63"/>
      <c r="AC34" s="360"/>
      <c r="AD34" s="279"/>
      <c r="AE34" s="63"/>
      <c r="AF34" s="360"/>
      <c r="AG34" s="279"/>
      <c r="AH34" s="63"/>
      <c r="AI34" s="360"/>
      <c r="AJ34" s="425"/>
      <c r="AK34" s="395"/>
      <c r="AL34" s="334">
        <v>500000</v>
      </c>
      <c r="AM34" s="347">
        <f t="shared" si="17"/>
        <v>500000</v>
      </c>
      <c r="AN34" s="1013">
        <f t="shared" si="5"/>
        <v>0</v>
      </c>
      <c r="AO34" s="338">
        <v>500000</v>
      </c>
      <c r="AP34" s="162">
        <f>AL34-AS34-AW34</f>
        <v>500000</v>
      </c>
      <c r="AQ34" s="1019"/>
      <c r="AR34" s="324"/>
      <c r="AS34" s="162"/>
      <c r="AT34" s="339"/>
      <c r="AU34" s="540"/>
      <c r="AV34" s="324"/>
      <c r="AW34" s="162"/>
      <c r="AX34" s="339"/>
      <c r="AZ34" s="122">
        <v>15000</v>
      </c>
      <c r="BA34" s="121">
        <v>831</v>
      </c>
      <c r="BG34" s="617"/>
      <c r="BH34" s="621">
        <f>AE34-BG34</f>
        <v>0</v>
      </c>
      <c r="BI34" s="617"/>
      <c r="BJ34" s="621"/>
      <c r="BM34" s="629">
        <f t="shared" si="18"/>
        <v>500000</v>
      </c>
      <c r="BN34" s="629">
        <f t="shared" si="11"/>
        <v>207144.42</v>
      </c>
      <c r="BO34" s="533">
        <f t="shared" si="14"/>
        <v>292855.57999999996</v>
      </c>
      <c r="BP34" s="533">
        <f>BN34</f>
        <v>207144.42</v>
      </c>
      <c r="BQ34" s="617">
        <v>207144.42</v>
      </c>
      <c r="BR34" s="621">
        <f>AO34-BQ34</f>
        <v>292855.57999999996</v>
      </c>
      <c r="BS34" s="617"/>
      <c r="BT34" s="621"/>
    </row>
    <row r="35" spans="1:72" s="115" customFormat="1" ht="33" customHeight="1" x14ac:dyDescent="0.3">
      <c r="A35" s="441" t="s">
        <v>170</v>
      </c>
      <c r="B35" s="1424">
        <v>230</v>
      </c>
      <c r="C35" s="436">
        <v>850</v>
      </c>
      <c r="D35" s="430">
        <f>D37+D38+D39</f>
        <v>13920120.90278038</v>
      </c>
      <c r="E35" s="59">
        <f>H35+R35+AM35+AK35</f>
        <v>13920120.899999999</v>
      </c>
      <c r="F35" s="410">
        <f t="shared" si="1"/>
        <v>-2.7803815901279449E-3</v>
      </c>
      <c r="G35" s="157">
        <v>5201007.6000000006</v>
      </c>
      <c r="H35" s="157">
        <f>SUM(H37:H39)</f>
        <v>5201007.6000000006</v>
      </c>
      <c r="I35" s="669">
        <f t="shared" si="16"/>
        <v>0</v>
      </c>
      <c r="J35" s="882">
        <f>SUM(J37:J39)</f>
        <v>0</v>
      </c>
      <c r="K35" s="283">
        <v>3687692.4870092645</v>
      </c>
      <c r="L35" s="157">
        <f>L37+L38+L39</f>
        <v>3687692.4870092645</v>
      </c>
      <c r="M35" s="294">
        <f>L35-K35</f>
        <v>0</v>
      </c>
      <c r="N35" s="293">
        <v>1513315.1129907358</v>
      </c>
      <c r="O35" s="283">
        <f>SUM(O37:O39)</f>
        <v>1513315.1129907358</v>
      </c>
      <c r="P35" s="365">
        <f>O35-N35</f>
        <v>0</v>
      </c>
      <c r="Q35" s="276">
        <v>1914231.9827803806</v>
      </c>
      <c r="R35" s="307">
        <f t="shared" ref="R35:AB35" si="26">R37+R38+R39</f>
        <v>1914231.98</v>
      </c>
      <c r="S35" s="415">
        <f>R35-Q35</f>
        <v>-2.7803806588053703E-3</v>
      </c>
      <c r="T35" s="525">
        <f t="shared" si="26"/>
        <v>0</v>
      </c>
      <c r="U35" s="307">
        <v>0</v>
      </c>
      <c r="V35" s="153">
        <f t="shared" si="26"/>
        <v>0</v>
      </c>
      <c r="W35" s="357">
        <f t="shared" si="2"/>
        <v>0</v>
      </c>
      <c r="X35" s="379">
        <f>X37+X38+X39</f>
        <v>1285867.8127803807</v>
      </c>
      <c r="Y35" s="153">
        <f>Y37+Y38+Y39</f>
        <v>1258487.81</v>
      </c>
      <c r="Z35" s="357">
        <f>Z37+Z38+Z39</f>
        <v>0</v>
      </c>
      <c r="AA35" s="307">
        <v>655744.17000000004</v>
      </c>
      <c r="AB35" s="153">
        <f t="shared" si="26"/>
        <v>655744.17000000004</v>
      </c>
      <c r="AC35" s="357">
        <f>AB35-AA35</f>
        <v>0</v>
      </c>
      <c r="AD35" s="276"/>
      <c r="AE35" s="153"/>
      <c r="AF35" s="357"/>
      <c r="AG35" s="276"/>
      <c r="AH35" s="153"/>
      <c r="AI35" s="357"/>
      <c r="AJ35" s="422">
        <f>AJ37+AJ38+AJ39</f>
        <v>0</v>
      </c>
      <c r="AK35" s="396">
        <f>SUM(AK36:AK39)</f>
        <v>0</v>
      </c>
      <c r="AL35" s="334">
        <v>6804881.3199999994</v>
      </c>
      <c r="AM35" s="347">
        <f t="shared" si="17"/>
        <v>6804881.3199999994</v>
      </c>
      <c r="AN35" s="1013">
        <f t="shared" si="5"/>
        <v>0</v>
      </c>
      <c r="AO35" s="334">
        <f>AO37+AO38+AO39</f>
        <v>5646265.0599999996</v>
      </c>
      <c r="AP35" s="161">
        <f>AP37+AP38+AP39</f>
        <v>5229310.84</v>
      </c>
      <c r="AQ35" s="406">
        <f>AP35-AO35</f>
        <v>-416954.21999999974</v>
      </c>
      <c r="AR35" s="161">
        <f>AR37+AR38+AR39</f>
        <v>1025616.26</v>
      </c>
      <c r="AS35" s="161">
        <f>AS37+AS38+AS39</f>
        <v>1163616.26</v>
      </c>
      <c r="AT35" s="335">
        <f>AS35-AR35</f>
        <v>138000</v>
      </c>
      <c r="AU35" s="539">
        <f>AU37+AU38+AU39</f>
        <v>0</v>
      </c>
      <c r="AV35" s="323"/>
      <c r="AW35" s="161">
        <f>AW37+AW38+AW39</f>
        <v>411954.22</v>
      </c>
      <c r="AX35" s="335">
        <f>AW35-AV35</f>
        <v>411954.22</v>
      </c>
      <c r="BG35" s="334">
        <f>BG37+BG38+BG39</f>
        <v>0</v>
      </c>
      <c r="BH35" s="539">
        <f t="shared" ref="BH35:BJ35" si="27">BH37+BH38+BH39</f>
        <v>0</v>
      </c>
      <c r="BI35" s="334">
        <f t="shared" si="27"/>
        <v>508251.94</v>
      </c>
      <c r="BJ35" s="539">
        <f t="shared" si="27"/>
        <v>-508251.94</v>
      </c>
      <c r="BM35" s="628">
        <f t="shared" si="18"/>
        <v>6804881.3199999994</v>
      </c>
      <c r="BN35" s="628">
        <f t="shared" si="11"/>
        <v>5396482.4400000004</v>
      </c>
      <c r="BO35" s="535">
        <f t="shared" si="14"/>
        <v>1408398.879999999</v>
      </c>
      <c r="BP35" s="334">
        <f>BP37+BP38+BP39</f>
        <v>5803918</v>
      </c>
      <c r="BQ35" s="334">
        <f>BQ37+BQ38+BQ39</f>
        <v>4888230.5</v>
      </c>
      <c r="BR35" s="539">
        <f t="shared" ref="BR35:BT35" si="28">BR37+BR38+BR39</f>
        <v>758034.55999999959</v>
      </c>
      <c r="BS35" s="334">
        <f t="shared" si="28"/>
        <v>508251.94</v>
      </c>
      <c r="BT35" s="539">
        <f t="shared" si="28"/>
        <v>517364.32</v>
      </c>
    </row>
    <row r="36" spans="1:72" x14ac:dyDescent="0.3">
      <c r="A36" s="437" t="s">
        <v>92</v>
      </c>
      <c r="B36" s="1422"/>
      <c r="C36" s="438"/>
      <c r="D36" s="431"/>
      <c r="E36" s="59">
        <f>H36+R36+AL36+AK36</f>
        <v>0</v>
      </c>
      <c r="F36" s="410">
        <f t="shared" si="1"/>
        <v>0</v>
      </c>
      <c r="G36" s="285"/>
      <c r="H36" s="158"/>
      <c r="I36" s="669">
        <f t="shared" si="16"/>
        <v>0</v>
      </c>
      <c r="J36" s="881"/>
      <c r="K36" s="285"/>
      <c r="L36" s="158"/>
      <c r="M36" s="298"/>
      <c r="N36" s="297"/>
      <c r="O36" s="285"/>
      <c r="P36" s="367"/>
      <c r="Q36" s="279"/>
      <c r="R36" s="310"/>
      <c r="S36" s="418"/>
      <c r="T36" s="528"/>
      <c r="U36" s="310"/>
      <c r="V36" s="63"/>
      <c r="W36" s="357">
        <f t="shared" si="2"/>
        <v>0</v>
      </c>
      <c r="X36" s="382"/>
      <c r="Y36" s="153">
        <f>X36-W36</f>
        <v>0</v>
      </c>
      <c r="Z36" s="357">
        <f>X36-W36</f>
        <v>0</v>
      </c>
      <c r="AA36" s="310"/>
      <c r="AB36" s="63"/>
      <c r="AC36" s="360"/>
      <c r="AD36" s="279"/>
      <c r="AE36" s="63"/>
      <c r="AF36" s="360"/>
      <c r="AG36" s="279"/>
      <c r="AH36" s="63"/>
      <c r="AI36" s="360"/>
      <c r="AJ36" s="425"/>
      <c r="AK36" s="395"/>
      <c r="AL36" s="334">
        <v>0</v>
      </c>
      <c r="AM36" s="347">
        <f t="shared" si="17"/>
        <v>0</v>
      </c>
      <c r="AN36" s="1013">
        <f t="shared" si="5"/>
        <v>0</v>
      </c>
      <c r="AO36" s="338"/>
      <c r="AP36" s="162"/>
      <c r="AQ36" s="1019"/>
      <c r="AR36" s="324"/>
      <c r="AS36" s="162"/>
      <c r="AT36" s="339"/>
      <c r="AU36" s="540"/>
      <c r="AV36" s="324"/>
      <c r="AW36" s="162"/>
      <c r="AX36" s="339"/>
      <c r="AZ36" s="121" t="s">
        <v>237</v>
      </c>
      <c r="BA36" s="121" t="s">
        <v>197</v>
      </c>
      <c r="BB36" s="121" t="s">
        <v>237</v>
      </c>
      <c r="BC36" s="121"/>
      <c r="BD36" s="121"/>
      <c r="BE36" s="121"/>
      <c r="BF36" s="121"/>
      <c r="BG36" s="617"/>
      <c r="BH36" s="621">
        <f>AF36-BG36</f>
        <v>0</v>
      </c>
      <c r="BI36" s="617"/>
      <c r="BJ36" s="621"/>
      <c r="BK36" s="121"/>
      <c r="BL36" s="121"/>
      <c r="BM36" s="628">
        <f t="shared" si="18"/>
        <v>0</v>
      </c>
      <c r="BN36" s="628">
        <f t="shared" si="11"/>
        <v>0</v>
      </c>
      <c r="BO36" s="535">
        <f t="shared" si="14"/>
        <v>0</v>
      </c>
      <c r="BP36" s="533"/>
      <c r="BQ36" s="617"/>
      <c r="BR36" s="621">
        <f>AP36-BQ36</f>
        <v>0</v>
      </c>
      <c r="BS36" s="617"/>
      <c r="BT36" s="621"/>
    </row>
    <row r="37" spans="1:72" ht="31.5" x14ac:dyDescent="0.3">
      <c r="A37" s="437" t="s">
        <v>171</v>
      </c>
      <c r="B37" s="1422"/>
      <c r="C37" s="1054">
        <v>851</v>
      </c>
      <c r="D37" s="431">
        <v>12367210.872780379</v>
      </c>
      <c r="E37" s="64">
        <f>H37+R37+AM37+AK37</f>
        <v>12367210.870000001</v>
      </c>
      <c r="F37" s="411">
        <f t="shared" si="1"/>
        <v>-2.7803778648376465E-3</v>
      </c>
      <c r="G37" s="285">
        <v>4890097.57</v>
      </c>
      <c r="H37" s="158">
        <f>J37+L37+O37</f>
        <v>4890097.57</v>
      </c>
      <c r="I37" s="669">
        <f t="shared" si="16"/>
        <v>0</v>
      </c>
      <c r="J37" s="881"/>
      <c r="K37" s="285">
        <v>3376782.4570092647</v>
      </c>
      <c r="L37" s="158">
        <f>'расчет норматив'!Z15+'ПФХД 2019 с разбивкой  (2)'!L110</f>
        <v>3376782.4570092647</v>
      </c>
      <c r="M37" s="298">
        <f>L37-K37</f>
        <v>0</v>
      </c>
      <c r="N37" s="285">
        <v>1513315.1129907358</v>
      </c>
      <c r="O37" s="285">
        <f>'расчет норматив'!AA15</f>
        <v>1513315.1129907358</v>
      </c>
      <c r="P37" s="367">
        <f>O37-N37</f>
        <v>0</v>
      </c>
      <c r="Q37" s="279">
        <v>1914231.9827803806</v>
      </c>
      <c r="R37" s="310">
        <f>T37+V37+Y37+AB37+AE37+AH37</f>
        <v>1914231.98</v>
      </c>
      <c r="S37" s="418">
        <f>R37-Q37</f>
        <v>-2.7803806588053703E-3</v>
      </c>
      <c r="T37" s="528"/>
      <c r="U37" s="310"/>
      <c r="V37" s="63"/>
      <c r="W37" s="357">
        <f t="shared" si="2"/>
        <v>0</v>
      </c>
      <c r="X37" s="379">
        <f>'расчет норматив'!AG15+'расчет норматив'!AH15+'расчет норматив'!AI15</f>
        <v>1285867.8127803807</v>
      </c>
      <c r="Y37" s="153">
        <v>1258487.81</v>
      </c>
      <c r="Z37" s="357"/>
      <c r="AA37" s="310">
        <v>655744.17000000004</v>
      </c>
      <c r="AB37" s="63">
        <v>655744.17000000004</v>
      </c>
      <c r="AC37" s="360">
        <f>AB37-AA37</f>
        <v>0</v>
      </c>
      <c r="AD37" s="279"/>
      <c r="AE37" s="63"/>
      <c r="AF37" s="360"/>
      <c r="AG37" s="279"/>
      <c r="AH37" s="63"/>
      <c r="AI37" s="360"/>
      <c r="AJ37" s="425"/>
      <c r="AK37" s="395"/>
      <c r="AL37" s="334">
        <v>5562881.3199999994</v>
      </c>
      <c r="AM37" s="347">
        <f t="shared" si="17"/>
        <v>5562881.3199999994</v>
      </c>
      <c r="AN37" s="1013">
        <f t="shared" si="5"/>
        <v>0</v>
      </c>
      <c r="AO37" s="338">
        <v>4579265.0599999996</v>
      </c>
      <c r="AP37" s="162">
        <v>4167310.84</v>
      </c>
      <c r="AQ37" s="1019">
        <f>AP37-AO37</f>
        <v>-411954.21999999974</v>
      </c>
      <c r="AR37" s="324">
        <v>983616.26</v>
      </c>
      <c r="AS37" s="162">
        <v>983616.26</v>
      </c>
      <c r="AT37" s="339">
        <f>AS37-AR37</f>
        <v>0</v>
      </c>
      <c r="AU37" s="540"/>
      <c r="AV37" s="324"/>
      <c r="AW37" s="162">
        <v>411954.22</v>
      </c>
      <c r="AX37" s="339">
        <f>AW37-AV37</f>
        <v>411954.22</v>
      </c>
      <c r="AZ37" s="122">
        <v>2116229.66</v>
      </c>
      <c r="BA37" s="122">
        <v>-2116229.66</v>
      </c>
      <c r="BB37" s="610"/>
      <c r="BC37" s="635"/>
      <c r="BD37" s="635"/>
      <c r="BE37" s="635"/>
      <c r="BF37" s="635"/>
      <c r="BG37" s="617"/>
      <c r="BH37" s="621">
        <f>AE37-BG37</f>
        <v>0</v>
      </c>
      <c r="BI37" s="617">
        <v>383344</v>
      </c>
      <c r="BJ37" s="621">
        <f>AH37-BI37</f>
        <v>-383344</v>
      </c>
      <c r="BK37" s="635"/>
      <c r="BL37" s="635"/>
      <c r="BM37" s="629">
        <f t="shared" si="18"/>
        <v>5562881.3199999994</v>
      </c>
      <c r="BN37" s="629">
        <f t="shared" si="11"/>
        <v>4561918</v>
      </c>
      <c r="BO37" s="533">
        <f t="shared" si="14"/>
        <v>1000963.3199999994</v>
      </c>
      <c r="BP37" s="533">
        <f>BN37</f>
        <v>4561918</v>
      </c>
      <c r="BQ37" s="617">
        <v>4178574</v>
      </c>
      <c r="BR37" s="621">
        <f>AO37-BQ37</f>
        <v>400691.05999999959</v>
      </c>
      <c r="BS37" s="617">
        <v>383344</v>
      </c>
      <c r="BT37" s="621">
        <f>AR37-BS37</f>
        <v>600272.26</v>
      </c>
    </row>
    <row r="38" spans="1:72" x14ac:dyDescent="0.3">
      <c r="A38" s="437" t="s">
        <v>172</v>
      </c>
      <c r="B38" s="1422"/>
      <c r="C38" s="1054">
        <v>852</v>
      </c>
      <c r="D38" s="431">
        <v>844267.46</v>
      </c>
      <c r="E38" s="64">
        <f>H38+R38+AM38+AK38</f>
        <v>844267.46</v>
      </c>
      <c r="F38" s="410">
        <f t="shared" si="1"/>
        <v>0</v>
      </c>
      <c r="G38" s="285">
        <v>209267.46000000002</v>
      </c>
      <c r="H38" s="158">
        <f t="shared" ref="H38:H39" si="29">J38+L38+O38</f>
        <v>209267.46000000002</v>
      </c>
      <c r="I38" s="669">
        <f t="shared" si="16"/>
        <v>0</v>
      </c>
      <c r="J38" s="881"/>
      <c r="K38" s="285">
        <v>209267.46000000002</v>
      </c>
      <c r="L38" s="158">
        <f>L111</f>
        <v>209267.46000000002</v>
      </c>
      <c r="M38" s="298">
        <f>L38-K38</f>
        <v>0</v>
      </c>
      <c r="N38" s="297"/>
      <c r="O38" s="285"/>
      <c r="P38" s="367"/>
      <c r="Q38" s="279">
        <v>0</v>
      </c>
      <c r="R38" s="310">
        <f>T38+V38+X38+AB38+AE38+AH38</f>
        <v>0</v>
      </c>
      <c r="S38" s="418">
        <f>R38-Q38</f>
        <v>0</v>
      </c>
      <c r="T38" s="528"/>
      <c r="U38" s="310"/>
      <c r="V38" s="63"/>
      <c r="W38" s="357">
        <f t="shared" si="2"/>
        <v>0</v>
      </c>
      <c r="X38" s="382"/>
      <c r="Y38" s="153">
        <f t="shared" ref="Y38:Y43" si="30">X38-W38</f>
        <v>0</v>
      </c>
      <c r="Z38" s="357">
        <f t="shared" ref="Z38:Z43" si="31">X38-W38</f>
        <v>0</v>
      </c>
      <c r="AA38" s="310"/>
      <c r="AB38" s="63"/>
      <c r="AC38" s="360">
        <f>AB38-AA38</f>
        <v>0</v>
      </c>
      <c r="AD38" s="279"/>
      <c r="AE38" s="63"/>
      <c r="AF38" s="360"/>
      <c r="AG38" s="279"/>
      <c r="AH38" s="63"/>
      <c r="AI38" s="360"/>
      <c r="AJ38" s="425"/>
      <c r="AK38" s="395"/>
      <c r="AL38" s="334">
        <v>635000</v>
      </c>
      <c r="AM38" s="347">
        <f t="shared" si="17"/>
        <v>635000</v>
      </c>
      <c r="AN38" s="1013">
        <f t="shared" si="5"/>
        <v>0</v>
      </c>
      <c r="AO38" s="338">
        <v>485000</v>
      </c>
      <c r="AP38" s="162">
        <v>485000</v>
      </c>
      <c r="AQ38" s="1019">
        <f>AP38-AO38</f>
        <v>0</v>
      </c>
      <c r="AR38" s="324">
        <v>35000</v>
      </c>
      <c r="AS38" s="162">
        <v>150000</v>
      </c>
      <c r="AT38" s="339">
        <f>AS38-AR38</f>
        <v>115000</v>
      </c>
      <c r="AU38" s="540"/>
      <c r="AV38" s="324"/>
      <c r="AW38" s="162"/>
      <c r="AX38" s="339">
        <f>AW38-AV38</f>
        <v>0</v>
      </c>
      <c r="AZ38" s="122">
        <v>-75470.62</v>
      </c>
      <c r="BA38" s="122"/>
      <c r="BB38" s="610">
        <v>-49993.01</v>
      </c>
      <c r="BC38" s="635"/>
      <c r="BD38" s="635"/>
      <c r="BE38" s="635"/>
      <c r="BF38" s="635"/>
      <c r="BG38" s="617"/>
      <c r="BH38" s="621">
        <f t="shared" ref="BH38:BH39" si="32">AE38-BG38</f>
        <v>0</v>
      </c>
      <c r="BI38" s="617">
        <v>27119</v>
      </c>
      <c r="BJ38" s="621">
        <f t="shared" ref="BJ38:BJ39" si="33">AH38-BI38</f>
        <v>-27119</v>
      </c>
      <c r="BK38" s="635"/>
      <c r="BL38" s="635"/>
      <c r="BM38" s="629">
        <f t="shared" si="18"/>
        <v>635000</v>
      </c>
      <c r="BN38" s="629">
        <f t="shared" si="11"/>
        <v>234308.25</v>
      </c>
      <c r="BO38" s="533">
        <f t="shared" si="14"/>
        <v>400691.75</v>
      </c>
      <c r="BP38" s="533">
        <f>BM38</f>
        <v>635000</v>
      </c>
      <c r="BQ38" s="617">
        <f>272189.25-65000</f>
        <v>207189.25</v>
      </c>
      <c r="BR38" s="621">
        <f t="shared" ref="BR38:BR39" si="34">AO38-BQ38</f>
        <v>277810.75</v>
      </c>
      <c r="BS38" s="617">
        <v>27119</v>
      </c>
      <c r="BT38" s="621">
        <f t="shared" ref="BT38:BT39" si="35">AR38-BS38</f>
        <v>7881</v>
      </c>
    </row>
    <row r="39" spans="1:72" ht="18.75" customHeight="1" x14ac:dyDescent="0.3">
      <c r="A39" s="437" t="s">
        <v>173</v>
      </c>
      <c r="B39" s="1423"/>
      <c r="C39" s="1054">
        <v>853</v>
      </c>
      <c r="D39" s="431">
        <v>708642.57</v>
      </c>
      <c r="E39" s="64">
        <f>H39+R39+AM39+AK39</f>
        <v>708642.57</v>
      </c>
      <c r="F39" s="410">
        <f t="shared" si="1"/>
        <v>0</v>
      </c>
      <c r="G39" s="285">
        <v>101642.56999999999</v>
      </c>
      <c r="H39" s="158">
        <f t="shared" si="29"/>
        <v>101642.56999999999</v>
      </c>
      <c r="I39" s="669">
        <f t="shared" si="16"/>
        <v>0</v>
      </c>
      <c r="J39" s="881"/>
      <c r="K39" s="285">
        <v>101642.56999999999</v>
      </c>
      <c r="L39" s="158">
        <f>L112</f>
        <v>101642.56999999999</v>
      </c>
      <c r="M39" s="298">
        <f>L39-K39</f>
        <v>0</v>
      </c>
      <c r="N39" s="297"/>
      <c r="O39" s="285"/>
      <c r="P39" s="367"/>
      <c r="Q39" s="279"/>
      <c r="R39" s="310"/>
      <c r="S39" s="418"/>
      <c r="T39" s="528"/>
      <c r="U39" s="310"/>
      <c r="V39" s="63"/>
      <c r="W39" s="357">
        <f t="shared" si="2"/>
        <v>0</v>
      </c>
      <c r="X39" s="382"/>
      <c r="Y39" s="153">
        <f t="shared" si="30"/>
        <v>0</v>
      </c>
      <c r="Z39" s="357">
        <f t="shared" si="31"/>
        <v>0</v>
      </c>
      <c r="AA39" s="310"/>
      <c r="AB39" s="63"/>
      <c r="AC39" s="360"/>
      <c r="AD39" s="279"/>
      <c r="AE39" s="63"/>
      <c r="AF39" s="360"/>
      <c r="AG39" s="279"/>
      <c r="AH39" s="63"/>
      <c r="AI39" s="360"/>
      <c r="AJ39" s="425"/>
      <c r="AK39" s="395"/>
      <c r="AL39" s="334">
        <v>607000</v>
      </c>
      <c r="AM39" s="347">
        <f t="shared" si="17"/>
        <v>607000</v>
      </c>
      <c r="AN39" s="1013">
        <f t="shared" si="5"/>
        <v>0</v>
      </c>
      <c r="AO39" s="338">
        <v>582000</v>
      </c>
      <c r="AP39" s="162">
        <v>577000</v>
      </c>
      <c r="AQ39" s="1019">
        <f>AP39-AO39</f>
        <v>-5000</v>
      </c>
      <c r="AR39" s="324">
        <v>7000</v>
      </c>
      <c r="AS39" s="162">
        <v>30000</v>
      </c>
      <c r="AT39" s="339">
        <f>AS39-AR39</f>
        <v>23000</v>
      </c>
      <c r="AU39" s="540"/>
      <c r="AV39" s="324"/>
      <c r="AW39" s="162"/>
      <c r="AX39" s="339">
        <f>AW39-AV39</f>
        <v>0</v>
      </c>
      <c r="AZ39" s="122">
        <v>75470.62</v>
      </c>
      <c r="BA39" s="122"/>
      <c r="BB39" s="610">
        <v>49993.01</v>
      </c>
      <c r="BC39" s="635"/>
      <c r="BD39" s="635"/>
      <c r="BE39" s="635"/>
      <c r="BF39" s="635"/>
      <c r="BG39" s="617"/>
      <c r="BH39" s="621">
        <f t="shared" si="32"/>
        <v>0</v>
      </c>
      <c r="BI39" s="617">
        <v>97788.94</v>
      </c>
      <c r="BJ39" s="621">
        <f t="shared" si="33"/>
        <v>-97788.94</v>
      </c>
      <c r="BK39" s="635"/>
      <c r="BL39" s="635"/>
      <c r="BM39" s="629">
        <f t="shared" si="18"/>
        <v>607000</v>
      </c>
      <c r="BN39" s="629">
        <f t="shared" si="11"/>
        <v>600256.18999999994</v>
      </c>
      <c r="BO39" s="533">
        <f t="shared" si="14"/>
        <v>6743.8100000000559</v>
      </c>
      <c r="BP39" s="533">
        <f>BM39</f>
        <v>607000</v>
      </c>
      <c r="BQ39" s="617">
        <f>502467.25</f>
        <v>502467.25</v>
      </c>
      <c r="BR39" s="621">
        <f t="shared" si="34"/>
        <v>79532.75</v>
      </c>
      <c r="BS39" s="617">
        <v>97788.94</v>
      </c>
      <c r="BT39" s="621">
        <f t="shared" si="35"/>
        <v>-90788.94</v>
      </c>
    </row>
    <row r="40" spans="1:72" x14ac:dyDescent="0.3">
      <c r="A40" s="437" t="s">
        <v>174</v>
      </c>
      <c r="B40" s="1052">
        <v>240</v>
      </c>
      <c r="C40" s="1054">
        <v>853</v>
      </c>
      <c r="D40" s="431"/>
      <c r="E40" s="59">
        <f>H40+R40+AL40+AK40</f>
        <v>0</v>
      </c>
      <c r="F40" s="410">
        <f t="shared" si="1"/>
        <v>0</v>
      </c>
      <c r="G40" s="285"/>
      <c r="H40" s="158"/>
      <c r="I40" s="669">
        <f t="shared" si="16"/>
        <v>0</v>
      </c>
      <c r="J40" s="881"/>
      <c r="K40" s="285"/>
      <c r="L40" s="158"/>
      <c r="M40" s="298"/>
      <c r="N40" s="297"/>
      <c r="O40" s="285"/>
      <c r="P40" s="367"/>
      <c r="Q40" s="279"/>
      <c r="R40" s="310"/>
      <c r="S40" s="418"/>
      <c r="T40" s="528"/>
      <c r="U40" s="310"/>
      <c r="V40" s="63"/>
      <c r="W40" s="357">
        <f t="shared" si="2"/>
        <v>0</v>
      </c>
      <c r="X40" s="382"/>
      <c r="Y40" s="153">
        <f t="shared" si="30"/>
        <v>0</v>
      </c>
      <c r="Z40" s="357">
        <f t="shared" si="31"/>
        <v>0</v>
      </c>
      <c r="AA40" s="310"/>
      <c r="AB40" s="63"/>
      <c r="AC40" s="360"/>
      <c r="AD40" s="279"/>
      <c r="AE40" s="63"/>
      <c r="AF40" s="360"/>
      <c r="AG40" s="279"/>
      <c r="AH40" s="63"/>
      <c r="AI40" s="360"/>
      <c r="AJ40" s="425"/>
      <c r="AK40" s="395"/>
      <c r="AL40" s="334">
        <v>0</v>
      </c>
      <c r="AM40" s="347">
        <f t="shared" si="17"/>
        <v>0</v>
      </c>
      <c r="AN40" s="1013">
        <f t="shared" si="5"/>
        <v>0</v>
      </c>
      <c r="AO40" s="338"/>
      <c r="AP40" s="162"/>
      <c r="AQ40" s="1019"/>
      <c r="AR40" s="324"/>
      <c r="AS40" s="162"/>
      <c r="AT40" s="339"/>
      <c r="AU40" s="540"/>
      <c r="AV40" s="324"/>
      <c r="AW40" s="162"/>
      <c r="AX40" s="339"/>
      <c r="BG40" s="617"/>
      <c r="BH40" s="621">
        <f>AF40-BG40</f>
        <v>0</v>
      </c>
      <c r="BI40" s="617"/>
      <c r="BJ40" s="621"/>
      <c r="BM40" s="628">
        <f t="shared" si="18"/>
        <v>0</v>
      </c>
      <c r="BN40" s="628">
        <f t="shared" si="11"/>
        <v>0</v>
      </c>
      <c r="BO40" s="535">
        <f t="shared" si="14"/>
        <v>0</v>
      </c>
      <c r="BP40" s="533"/>
      <c r="BQ40" s="617"/>
      <c r="BR40" s="621">
        <f>AP40-BQ40</f>
        <v>0</v>
      </c>
      <c r="BS40" s="617"/>
      <c r="BT40" s="621"/>
    </row>
    <row r="41" spans="1:72" s="115" customFormat="1" ht="31.5" x14ac:dyDescent="0.3">
      <c r="A41" s="435" t="s">
        <v>175</v>
      </c>
      <c r="B41" s="1387">
        <v>250</v>
      </c>
      <c r="C41" s="442"/>
      <c r="D41" s="430">
        <f>G41+Q41+AK41+AL41</f>
        <v>0</v>
      </c>
      <c r="E41" s="59">
        <f>H41+R41+AL41+AK41</f>
        <v>0</v>
      </c>
      <c r="F41" s="410">
        <f t="shared" si="1"/>
        <v>0</v>
      </c>
      <c r="G41" s="283"/>
      <c r="H41" s="157"/>
      <c r="I41" s="669">
        <f t="shared" si="16"/>
        <v>0</v>
      </c>
      <c r="J41" s="882"/>
      <c r="K41" s="283"/>
      <c r="L41" s="157"/>
      <c r="M41" s="294"/>
      <c r="N41" s="293"/>
      <c r="O41" s="283"/>
      <c r="P41" s="365"/>
      <c r="Q41" s="276"/>
      <c r="R41" s="307"/>
      <c r="S41" s="415"/>
      <c r="T41" s="525"/>
      <c r="U41" s="307">
        <v>0</v>
      </c>
      <c r="V41" s="153">
        <v>0</v>
      </c>
      <c r="W41" s="357">
        <f t="shared" si="2"/>
        <v>0</v>
      </c>
      <c r="X41" s="379">
        <v>0</v>
      </c>
      <c r="Y41" s="153">
        <f t="shared" si="30"/>
        <v>0</v>
      </c>
      <c r="Z41" s="357">
        <f t="shared" si="31"/>
        <v>0</v>
      </c>
      <c r="AA41" s="307"/>
      <c r="AB41" s="153"/>
      <c r="AC41" s="357"/>
      <c r="AD41" s="276"/>
      <c r="AE41" s="153"/>
      <c r="AF41" s="357"/>
      <c r="AG41" s="276"/>
      <c r="AH41" s="153"/>
      <c r="AI41" s="357"/>
      <c r="AJ41" s="422">
        <v>0</v>
      </c>
      <c r="AK41" s="396">
        <v>0</v>
      </c>
      <c r="AL41" s="334">
        <v>0</v>
      </c>
      <c r="AM41" s="347">
        <f t="shared" si="17"/>
        <v>0</v>
      </c>
      <c r="AN41" s="1013">
        <f t="shared" si="5"/>
        <v>0</v>
      </c>
      <c r="AO41" s="334"/>
      <c r="AP41" s="161"/>
      <c r="AQ41" s="406"/>
      <c r="AR41" s="323"/>
      <c r="AS41" s="161"/>
      <c r="AT41" s="335"/>
      <c r="AU41" s="539">
        <f>AU43</f>
        <v>0</v>
      </c>
      <c r="AV41" s="323"/>
      <c r="AW41" s="161"/>
      <c r="AX41" s="335"/>
      <c r="BG41" s="617"/>
      <c r="BH41" s="621">
        <f>AF41-BG41</f>
        <v>0</v>
      </c>
      <c r="BI41" s="617"/>
      <c r="BJ41" s="621"/>
      <c r="BM41" s="628">
        <f t="shared" si="18"/>
        <v>0</v>
      </c>
      <c r="BN41" s="628">
        <f t="shared" si="11"/>
        <v>0</v>
      </c>
      <c r="BO41" s="535">
        <f t="shared" si="14"/>
        <v>0</v>
      </c>
      <c r="BP41" s="533"/>
      <c r="BQ41" s="617"/>
      <c r="BR41" s="621">
        <f>AP41-BQ41</f>
        <v>0</v>
      </c>
      <c r="BS41" s="617"/>
      <c r="BT41" s="621"/>
    </row>
    <row r="42" spans="1:72" s="115" customFormat="1" x14ac:dyDescent="0.3">
      <c r="A42" s="435" t="s">
        <v>92</v>
      </c>
      <c r="B42" s="1387"/>
      <c r="C42" s="442"/>
      <c r="D42" s="430"/>
      <c r="E42" s="59">
        <f>H42+R42+AL42+AK42</f>
        <v>0</v>
      </c>
      <c r="F42" s="410">
        <f t="shared" si="1"/>
        <v>0</v>
      </c>
      <c r="G42" s="283"/>
      <c r="H42" s="157"/>
      <c r="I42" s="669">
        <f t="shared" si="16"/>
        <v>0</v>
      </c>
      <c r="J42" s="882"/>
      <c r="K42" s="283"/>
      <c r="L42" s="157"/>
      <c r="M42" s="294"/>
      <c r="N42" s="293"/>
      <c r="O42" s="283"/>
      <c r="P42" s="365"/>
      <c r="Q42" s="276"/>
      <c r="R42" s="307"/>
      <c r="S42" s="415"/>
      <c r="T42" s="525"/>
      <c r="U42" s="307"/>
      <c r="V42" s="153"/>
      <c r="W42" s="357">
        <f t="shared" si="2"/>
        <v>0</v>
      </c>
      <c r="X42" s="379"/>
      <c r="Y42" s="153">
        <f t="shared" si="30"/>
        <v>0</v>
      </c>
      <c r="Z42" s="357">
        <f t="shared" si="31"/>
        <v>0</v>
      </c>
      <c r="AA42" s="307"/>
      <c r="AB42" s="153"/>
      <c r="AC42" s="357"/>
      <c r="AD42" s="276"/>
      <c r="AE42" s="153"/>
      <c r="AF42" s="357"/>
      <c r="AG42" s="276"/>
      <c r="AH42" s="153"/>
      <c r="AI42" s="357"/>
      <c r="AJ42" s="422"/>
      <c r="AK42" s="396"/>
      <c r="AL42" s="334">
        <v>0</v>
      </c>
      <c r="AM42" s="347">
        <f t="shared" si="17"/>
        <v>0</v>
      </c>
      <c r="AN42" s="1013">
        <f t="shared" si="5"/>
        <v>0</v>
      </c>
      <c r="AO42" s="334"/>
      <c r="AP42" s="161"/>
      <c r="AQ42" s="406"/>
      <c r="AR42" s="323"/>
      <c r="AS42" s="161"/>
      <c r="AT42" s="335"/>
      <c r="AU42" s="539"/>
      <c r="AV42" s="323"/>
      <c r="AW42" s="161"/>
      <c r="AX42" s="335"/>
      <c r="BG42" s="617"/>
      <c r="BH42" s="621">
        <f>AF42-BG42</f>
        <v>0</v>
      </c>
      <c r="BI42" s="617"/>
      <c r="BJ42" s="621"/>
      <c r="BM42" s="628">
        <f t="shared" si="18"/>
        <v>0</v>
      </c>
      <c r="BN42" s="628">
        <f t="shared" si="11"/>
        <v>0</v>
      </c>
      <c r="BO42" s="535">
        <f t="shared" si="14"/>
        <v>0</v>
      </c>
      <c r="BP42" s="533"/>
      <c r="BQ42" s="617"/>
      <c r="BR42" s="621">
        <f>AP42-BQ42</f>
        <v>0</v>
      </c>
      <c r="BS42" s="617"/>
      <c r="BT42" s="621"/>
    </row>
    <row r="43" spans="1:72" s="115" customFormat="1" x14ac:dyDescent="0.3">
      <c r="A43" s="443"/>
      <c r="B43" s="1387"/>
      <c r="C43" s="442"/>
      <c r="D43" s="430"/>
      <c r="E43" s="59">
        <f>H43+R43+AL43+AK43</f>
        <v>0</v>
      </c>
      <c r="F43" s="410">
        <f t="shared" si="1"/>
        <v>0</v>
      </c>
      <c r="G43" s="283"/>
      <c r="H43" s="157"/>
      <c r="I43" s="669">
        <f t="shared" si="16"/>
        <v>0</v>
      </c>
      <c r="J43" s="882"/>
      <c r="K43" s="283"/>
      <c r="L43" s="157"/>
      <c r="M43" s="294"/>
      <c r="N43" s="293"/>
      <c r="O43" s="283"/>
      <c r="P43" s="365"/>
      <c r="Q43" s="276"/>
      <c r="R43" s="307"/>
      <c r="S43" s="415"/>
      <c r="T43" s="525"/>
      <c r="U43" s="307"/>
      <c r="V43" s="153"/>
      <c r="W43" s="357">
        <f t="shared" si="2"/>
        <v>0</v>
      </c>
      <c r="X43" s="379"/>
      <c r="Y43" s="153">
        <f t="shared" si="30"/>
        <v>0</v>
      </c>
      <c r="Z43" s="357">
        <f t="shared" si="31"/>
        <v>0</v>
      </c>
      <c r="AA43" s="307"/>
      <c r="AB43" s="153"/>
      <c r="AC43" s="357"/>
      <c r="AD43" s="276"/>
      <c r="AE43" s="153"/>
      <c r="AF43" s="357"/>
      <c r="AG43" s="276"/>
      <c r="AH43" s="153"/>
      <c r="AI43" s="357"/>
      <c r="AJ43" s="422"/>
      <c r="AK43" s="396"/>
      <c r="AL43" s="334">
        <v>0</v>
      </c>
      <c r="AM43" s="347">
        <f t="shared" si="17"/>
        <v>0</v>
      </c>
      <c r="AN43" s="1013">
        <f t="shared" si="5"/>
        <v>0</v>
      </c>
      <c r="AO43" s="334"/>
      <c r="AP43" s="161"/>
      <c r="AQ43" s="406"/>
      <c r="AR43" s="323"/>
      <c r="AS43" s="161"/>
      <c r="AT43" s="335"/>
      <c r="AU43" s="539"/>
      <c r="AV43" s="323"/>
      <c r="AW43" s="161"/>
      <c r="AX43" s="335"/>
      <c r="BG43" s="617"/>
      <c r="BH43" s="621">
        <f>AF43-BG43</f>
        <v>0</v>
      </c>
      <c r="BI43" s="617"/>
      <c r="BJ43" s="621"/>
      <c r="BM43" s="628">
        <f t="shared" si="18"/>
        <v>0</v>
      </c>
      <c r="BN43" s="628">
        <f t="shared" si="11"/>
        <v>0</v>
      </c>
      <c r="BO43" s="535">
        <f t="shared" si="14"/>
        <v>0</v>
      </c>
      <c r="BP43" s="533"/>
      <c r="BQ43" s="617"/>
      <c r="BR43" s="621">
        <f>AP43-BQ43</f>
        <v>0</v>
      </c>
      <c r="BS43" s="617"/>
      <c r="BT43" s="621"/>
    </row>
    <row r="44" spans="1:72" s="115" customFormat="1" ht="31.5" x14ac:dyDescent="0.3">
      <c r="A44" s="435" t="s">
        <v>176</v>
      </c>
      <c r="B44" s="1388">
        <v>260</v>
      </c>
      <c r="C44" s="436">
        <v>240</v>
      </c>
      <c r="D44" s="1010">
        <f>D46+D47+D48+D49+D50+D54+D58+D60+D62+D65+D51+D55+D59+D61+D63+D64</f>
        <v>1863932719.1403584</v>
      </c>
      <c r="E44" s="59">
        <f>H44+R44+AM44+AK44</f>
        <v>1861048940.0604634</v>
      </c>
      <c r="F44" s="410">
        <f t="shared" si="1"/>
        <v>-2883779.0798950195</v>
      </c>
      <c r="G44" s="283">
        <v>46655720.769999996</v>
      </c>
      <c r="H44" s="157">
        <f>H46+H47+H48+H49+H50+H54+H58+H60+H62+H65+H51+H55+H59+H61+H63+H64</f>
        <v>46655720.769999996</v>
      </c>
      <c r="I44" s="669">
        <f t="shared" si="16"/>
        <v>0</v>
      </c>
      <c r="J44" s="882">
        <f>J46+J47+J48+J49+J50+J54+J58+J60</f>
        <v>0</v>
      </c>
      <c r="K44" s="283">
        <v>29172987.359675996</v>
      </c>
      <c r="L44" s="157">
        <f>L46+L47+L48+L49+L50+L54+L58+L60+L62+L65+L51+L55+L59+L61+L63+L64</f>
        <v>29172987.359675996</v>
      </c>
      <c r="M44" s="294">
        <f>L44-K44</f>
        <v>0</v>
      </c>
      <c r="N44" s="157">
        <v>17482733.410324</v>
      </c>
      <c r="O44" s="157">
        <f>O46+O47+O48+O49+O50+O54+O58+O60+O62+O65+O51+O55+O59+O61+O63+O64</f>
        <v>17482733.410324</v>
      </c>
      <c r="P44" s="365">
        <f>O44-N44</f>
        <v>0</v>
      </c>
      <c r="Q44" s="276">
        <v>1634087095.9158947</v>
      </c>
      <c r="R44" s="307">
        <f>R46+R47+R48+R49+R50+R54+R58+R60+R62+R65+R51+R55+R59+R61+R63+R64</f>
        <v>1631473664.76</v>
      </c>
      <c r="S44" s="415">
        <f>R44-Q44</f>
        <v>-2613431.1558947563</v>
      </c>
      <c r="T44" s="525">
        <f>T46+T47+T48+T49+T50+T54+T58+T60+T62+T65+T51+T55+T59+T61+T63+T64</f>
        <v>388193676.14999998</v>
      </c>
      <c r="U44" s="307">
        <f>U46+U47+U48+U49+U50+U54+U58+U60+U62+U65+U51+U55+U59+U61+U63+U64</f>
        <v>1216891000</v>
      </c>
      <c r="V44" s="153">
        <f>V46+V47+V48+V49+V50+V54+V58+V60+V62+V65+V51+V55+V59+V61+V63+V64</f>
        <v>1216891000</v>
      </c>
      <c r="W44" s="357">
        <f>V44-U44</f>
        <v>0</v>
      </c>
      <c r="X44" s="379">
        <f>X46+X47+X48+X49+X50+X54+X58+X60+X62+X65+X51+X55+X59+X61+X63+X64</f>
        <v>14273126.845894724</v>
      </c>
      <c r="Y44" s="153">
        <f>Y46+Y47+Y48+Y49+Y50+Y54+Y58+Y60+Y62+Y65+Y51+Y55+Y59+Y61+Y63+Y64</f>
        <v>11003632.789999999</v>
      </c>
      <c r="Z44" s="357">
        <f>Z46+Z47+Z48+Z49+Z50+Z54+Z58+Z60+Z62+Z65+Z51+Z55+Z59+Z61+Z63+Z64</f>
        <v>0</v>
      </c>
      <c r="AA44" s="307">
        <v>6222834.2999999998</v>
      </c>
      <c r="AB44" s="153">
        <f>AB46+AB47+AB48+AB49+AB50+AB54+AB58+AB60+AB62+AB65+AB51+AB55+AB59+AB61+AB63+AB64</f>
        <v>6222834.2999999998</v>
      </c>
      <c r="AC44" s="357">
        <f>AB44-AA44</f>
        <v>0</v>
      </c>
      <c r="AD44" s="276"/>
      <c r="AE44" s="153"/>
      <c r="AF44" s="357"/>
      <c r="AG44" s="153">
        <v>9162521.5199999996</v>
      </c>
      <c r="AH44" s="153">
        <f t="shared" ref="AH44" si="36">AH46+AH47+AH48+AH49+AH50+AH54+AH58+AH60+AH62+AH65+AH51+AH55+AH59+AH61+AH63+AH64</f>
        <v>9162521.5199999996</v>
      </c>
      <c r="AI44" s="357">
        <f>AH44-AG44</f>
        <v>0</v>
      </c>
      <c r="AJ44" s="422">
        <f>AJ46+AJ47+AJ48+AJ49+AJ50+AJ51+AJ55+AJ60</f>
        <v>0</v>
      </c>
      <c r="AK44" s="396">
        <f>AK46+AK47+AK48+AK49+AK50+AK54+AK58+AK60+AK62+AK65+AK51+AK55+AK59+AK61+AK63+AK64</f>
        <v>50000</v>
      </c>
      <c r="AL44" s="334">
        <v>183139902.45446354</v>
      </c>
      <c r="AM44" s="347">
        <f t="shared" si="17"/>
        <v>182869554.53046355</v>
      </c>
      <c r="AN44" s="1013">
        <f t="shared" si="5"/>
        <v>-270347.92399999499</v>
      </c>
      <c r="AO44" s="334">
        <v>149019556.73446354</v>
      </c>
      <c r="AP44" s="323">
        <f>AP46+AP47+AP48+AP49+AP50+AP54+AP58+AP60+AP62+AP65+AP51+AP55+AP59+AP61+AP63+AP64</f>
        <v>155373348.80046356</v>
      </c>
      <c r="AQ44" s="406">
        <f>AP44-AO44</f>
        <v>6353792.0660000145</v>
      </c>
      <c r="AR44" s="161">
        <f>AR46+AR47+AR48+AR49+AR50+AR54+AR58+AR60+AR62+AR65+AR51+AR55+AR59+AR61+AR63+AR64</f>
        <v>34120345.719999999</v>
      </c>
      <c r="AS44" s="161">
        <f>AS46+AS47+AS48+AS49+AS50+AS54+AS58+AS60+AS62+AS65+AS51+AS55+AS59+AS61+AS63+AS64</f>
        <v>22737058.73</v>
      </c>
      <c r="AT44" s="335">
        <f>AS44-AR44</f>
        <v>-11383286.989999998</v>
      </c>
      <c r="AU44" s="539">
        <f>AU46+AU47+AU48+AU49+AU50+AU51+AU55+AU60</f>
        <v>0</v>
      </c>
      <c r="AV44" s="323"/>
      <c r="AW44" s="161">
        <f>AW46+AW47+AW48+AW49+AW50+AW54+AW58+AW60+AW62+AW65+AW51+AW55+AW59+AW61+AW63+AW64</f>
        <v>4759147</v>
      </c>
      <c r="AX44" s="335">
        <f>AW44-AV44</f>
        <v>4759147</v>
      </c>
      <c r="BG44" s="334">
        <f>BG46+BG47+BG48+BG49+BG50+BG54+BG58+BG60+BG62+BG65+BG51+BG55+BG59+BG61+BG63+BG64</f>
        <v>0</v>
      </c>
      <c r="BH44" s="539">
        <f t="shared" ref="BH44:BJ44" si="37">BH46+BH47+BH48+BH49+BH50+BH54+BH58+BH60+BH62+BH65+BH51+BH55+BH59+BH61+BH63+BH64</f>
        <v>0</v>
      </c>
      <c r="BI44" s="334">
        <f t="shared" si="37"/>
        <v>25649553.189999998</v>
      </c>
      <c r="BJ44" s="539">
        <f t="shared" si="37"/>
        <v>-16487031.669999998</v>
      </c>
      <c r="BM44" s="628">
        <f t="shared" si="18"/>
        <v>183139902.45446354</v>
      </c>
      <c r="BN44" s="628">
        <f t="shared" si="11"/>
        <v>127263947.69999999</v>
      </c>
      <c r="BO44" s="535">
        <f t="shared" si="14"/>
        <v>55875954.754463553</v>
      </c>
      <c r="BP44" s="334">
        <f>SUM(BP47:BP65)</f>
        <v>124289533.4064</v>
      </c>
      <c r="BQ44" s="334">
        <f>BQ46+BQ47+BQ48+BQ49+BQ50+BQ54+BQ58+BQ60+BQ62+BQ65+BQ51+BQ55+BQ59+BQ61+BQ63+BQ64</f>
        <v>101614394.50999999</v>
      </c>
      <c r="BR44" s="539">
        <f t="shared" ref="BR44:BT44" si="38">BR46+BR47+BR48+BR49+BR50+BR54+BR58+BR60+BR62+BR65+BR51+BR55+BR59+BR61+BR63+BR64</f>
        <v>47405162.224463537</v>
      </c>
      <c r="BS44" s="334">
        <f t="shared" si="38"/>
        <v>25649553.189999998</v>
      </c>
      <c r="BT44" s="539">
        <f t="shared" si="38"/>
        <v>8470792.5300000012</v>
      </c>
    </row>
    <row r="45" spans="1:72" x14ac:dyDescent="0.3">
      <c r="A45" s="437" t="s">
        <v>92</v>
      </c>
      <c r="B45" s="1392"/>
      <c r="C45" s="438"/>
      <c r="D45" s="431"/>
      <c r="E45" s="59">
        <f>H45+R45+AL45+AK45</f>
        <v>0</v>
      </c>
      <c r="F45" s="410">
        <f t="shared" si="1"/>
        <v>0</v>
      </c>
      <c r="G45" s="285"/>
      <c r="H45" s="158"/>
      <c r="I45" s="669">
        <f t="shared" si="16"/>
        <v>0</v>
      </c>
      <c r="J45" s="881"/>
      <c r="K45" s="285"/>
      <c r="L45" s="158"/>
      <c r="M45" s="298"/>
      <c r="N45" s="297"/>
      <c r="O45" s="285"/>
      <c r="P45" s="367"/>
      <c r="Q45" s="279"/>
      <c r="R45" s="310"/>
      <c r="S45" s="418"/>
      <c r="T45" s="528"/>
      <c r="U45" s="310"/>
      <c r="V45" s="63"/>
      <c r="W45" s="357">
        <f t="shared" si="2"/>
        <v>0</v>
      </c>
      <c r="X45" s="382"/>
      <c r="Y45" s="153">
        <f>X45-W45</f>
        <v>0</v>
      </c>
      <c r="Z45" s="357">
        <f>X45-W45</f>
        <v>0</v>
      </c>
      <c r="AA45" s="310"/>
      <c r="AB45" s="63"/>
      <c r="AC45" s="360"/>
      <c r="AD45" s="279"/>
      <c r="AE45" s="63"/>
      <c r="AF45" s="360"/>
      <c r="AG45" s="279"/>
      <c r="AH45" s="63"/>
      <c r="AI45" s="360"/>
      <c r="AJ45" s="425"/>
      <c r="AK45" s="395"/>
      <c r="AL45" s="334">
        <v>0</v>
      </c>
      <c r="AM45" s="347">
        <f t="shared" si="17"/>
        <v>0</v>
      </c>
      <c r="AN45" s="1013">
        <f t="shared" si="5"/>
        <v>0</v>
      </c>
      <c r="AO45" s="338"/>
      <c r="AP45" s="162"/>
      <c r="AQ45" s="1019"/>
      <c r="AR45" s="324"/>
      <c r="AS45" s="162"/>
      <c r="AT45" s="339"/>
      <c r="AU45" s="540"/>
      <c r="AV45" s="324"/>
      <c r="AW45" s="162"/>
      <c r="AX45" s="339"/>
      <c r="AZ45" s="121" t="s">
        <v>237</v>
      </c>
      <c r="BA45" s="121" t="s">
        <v>197</v>
      </c>
      <c r="BG45" s="617"/>
      <c r="BH45" s="621">
        <f>AF45-BG45</f>
        <v>0</v>
      </c>
      <c r="BI45" s="617"/>
      <c r="BJ45" s="621"/>
      <c r="BM45" s="628">
        <f t="shared" si="18"/>
        <v>0</v>
      </c>
      <c r="BN45" s="628">
        <f t="shared" si="11"/>
        <v>0</v>
      </c>
      <c r="BO45" s="535">
        <f t="shared" si="14"/>
        <v>0</v>
      </c>
      <c r="BP45" s="533"/>
      <c r="BQ45" s="617"/>
      <c r="BR45" s="621">
        <f>AP45-BQ45</f>
        <v>0</v>
      </c>
      <c r="BS45" s="617"/>
      <c r="BT45" s="621"/>
    </row>
    <row r="46" spans="1:72" ht="31.5" x14ac:dyDescent="0.3">
      <c r="A46" s="437" t="s">
        <v>177</v>
      </c>
      <c r="B46" s="140"/>
      <c r="C46" s="1054">
        <v>241</v>
      </c>
      <c r="D46" s="431"/>
      <c r="E46" s="59">
        <f>H46+R46+AL46+AK46</f>
        <v>0</v>
      </c>
      <c r="F46" s="410">
        <f t="shared" si="1"/>
        <v>0</v>
      </c>
      <c r="G46" s="285"/>
      <c r="H46" s="158"/>
      <c r="I46" s="669">
        <f t="shared" si="16"/>
        <v>0</v>
      </c>
      <c r="J46" s="881"/>
      <c r="K46" s="285"/>
      <c r="L46" s="158"/>
      <c r="M46" s="298"/>
      <c r="N46" s="297"/>
      <c r="O46" s="285"/>
      <c r="P46" s="367"/>
      <c r="Q46" s="279"/>
      <c r="R46" s="310"/>
      <c r="S46" s="418"/>
      <c r="T46" s="528"/>
      <c r="U46" s="310"/>
      <c r="V46" s="63"/>
      <c r="W46" s="357">
        <f t="shared" si="2"/>
        <v>0</v>
      </c>
      <c r="X46" s="382"/>
      <c r="Y46" s="153">
        <f>X46-W46</f>
        <v>0</v>
      </c>
      <c r="Z46" s="360"/>
      <c r="AA46" s="310"/>
      <c r="AB46" s="63"/>
      <c r="AC46" s="360"/>
      <c r="AD46" s="279"/>
      <c r="AE46" s="63"/>
      <c r="AF46" s="360"/>
      <c r="AG46" s="279"/>
      <c r="AH46" s="63"/>
      <c r="AI46" s="360"/>
      <c r="AJ46" s="425"/>
      <c r="AK46" s="395"/>
      <c r="AL46" s="334">
        <v>0</v>
      </c>
      <c r="AM46" s="347">
        <f t="shared" si="17"/>
        <v>0</v>
      </c>
      <c r="AN46" s="1013">
        <f t="shared" si="5"/>
        <v>0</v>
      </c>
      <c r="AO46" s="338"/>
      <c r="AP46" s="162"/>
      <c r="AQ46" s="1019"/>
      <c r="AR46" s="324"/>
      <c r="AS46" s="162"/>
      <c r="AT46" s="339"/>
      <c r="AU46" s="540"/>
      <c r="AV46" s="324"/>
      <c r="AW46" s="162"/>
      <c r="AX46" s="339"/>
      <c r="AZ46" s="141"/>
      <c r="BA46" s="122">
        <v>25000</v>
      </c>
      <c r="BB46" s="117" t="s">
        <v>234</v>
      </c>
      <c r="BG46" s="617"/>
      <c r="BH46" s="621">
        <f>AF46-BG46</f>
        <v>0</v>
      </c>
      <c r="BI46" s="617"/>
      <c r="BJ46" s="621"/>
      <c r="BM46" s="628">
        <f t="shared" si="18"/>
        <v>0</v>
      </c>
      <c r="BN46" s="628">
        <f t="shared" si="11"/>
        <v>0</v>
      </c>
      <c r="BO46" s="535">
        <f t="shared" si="14"/>
        <v>0</v>
      </c>
      <c r="BP46" s="533"/>
      <c r="BQ46" s="617"/>
      <c r="BR46" s="621">
        <f>AP46-BQ46</f>
        <v>0</v>
      </c>
      <c r="BS46" s="617"/>
      <c r="BT46" s="621"/>
    </row>
    <row r="47" spans="1:72" ht="15.75" customHeight="1" x14ac:dyDescent="0.3">
      <c r="A47" s="437" t="s">
        <v>178</v>
      </c>
      <c r="B47" s="140"/>
      <c r="C47" s="1054">
        <v>244</v>
      </c>
      <c r="D47" s="431">
        <v>2406359.8555257106</v>
      </c>
      <c r="E47" s="64">
        <f>H47+R47+AM47+AK47</f>
        <v>2406359.8563999999</v>
      </c>
      <c r="F47" s="410">
        <f t="shared" si="1"/>
        <v>8.7428931146860123E-4</v>
      </c>
      <c r="G47" s="285">
        <v>935479.38</v>
      </c>
      <c r="H47" s="158">
        <f>J47+L47+O47</f>
        <v>935479.38</v>
      </c>
      <c r="I47" s="669">
        <f t="shared" si="16"/>
        <v>0</v>
      </c>
      <c r="J47" s="881"/>
      <c r="K47" s="285">
        <v>717269.38511849311</v>
      </c>
      <c r="L47" s="158">
        <f>'расчет норматив'!Z20+'ПФХД 2019 с разбивкой  (2)'!L102</f>
        <v>717269.38511849311</v>
      </c>
      <c r="M47" s="298">
        <f>L47-K47</f>
        <v>0</v>
      </c>
      <c r="N47" s="285">
        <v>218209.99488150689</v>
      </c>
      <c r="O47" s="285">
        <f>'расчет норматив'!AA20</f>
        <v>218209.99488150689</v>
      </c>
      <c r="P47" s="367">
        <f>O47-N47</f>
        <v>0</v>
      </c>
      <c r="Q47" s="279">
        <v>255973.66912571029</v>
      </c>
      <c r="R47" s="310">
        <f>T47+V47+Y47+AB47+AE47+AH47</f>
        <v>255973.67</v>
      </c>
      <c r="S47" s="418">
        <f>R47-Q47</f>
        <v>8.7428971892222762E-4</v>
      </c>
      <c r="T47" s="528"/>
      <c r="U47" s="310"/>
      <c r="V47" s="63"/>
      <c r="W47" s="357">
        <f t="shared" si="2"/>
        <v>0</v>
      </c>
      <c r="X47" s="382">
        <f>'расчет норматив'!AG20+'расчет норматив'!AH20+'расчет норматив'!AI20</f>
        <v>389628.0791257103</v>
      </c>
      <c r="Y47" s="63">
        <v>210973.67</v>
      </c>
      <c r="Z47" s="360"/>
      <c r="AA47" s="310">
        <v>45000</v>
      </c>
      <c r="AB47" s="63">
        <v>45000</v>
      </c>
      <c r="AC47" s="360">
        <f>AB47-AA47</f>
        <v>0</v>
      </c>
      <c r="AD47" s="279"/>
      <c r="AE47" s="63"/>
      <c r="AF47" s="360"/>
      <c r="AG47" s="279"/>
      <c r="AH47" s="63"/>
      <c r="AI47" s="360"/>
      <c r="AJ47" s="425"/>
      <c r="AK47" s="395"/>
      <c r="AL47" s="334">
        <v>1214906.8064000001</v>
      </c>
      <c r="AM47" s="347">
        <f t="shared" si="17"/>
        <v>1214906.8064000001</v>
      </c>
      <c r="AN47" s="1013">
        <f t="shared" si="5"/>
        <v>0</v>
      </c>
      <c r="AO47" s="338">
        <v>959906.8064</v>
      </c>
      <c r="AP47" s="162">
        <f>AL47-AS47-AW47</f>
        <v>889902.55640000012</v>
      </c>
      <c r="AQ47" s="1019">
        <f>AP47-AO47</f>
        <v>-70004.249999999884</v>
      </c>
      <c r="AR47" s="324">
        <v>255000</v>
      </c>
      <c r="AS47" s="162">
        <v>265603.01</v>
      </c>
      <c r="AT47" s="339">
        <f>AS47-AR47</f>
        <v>10603.010000000009</v>
      </c>
      <c r="AU47" s="540"/>
      <c r="AV47" s="324"/>
      <c r="AW47" s="162">
        <v>59401.24</v>
      </c>
      <c r="AX47" s="339">
        <f>AW47-AV47</f>
        <v>59401.24</v>
      </c>
      <c r="AZ47" s="122">
        <v>269900</v>
      </c>
      <c r="BA47" s="122">
        <f>-269900</f>
        <v>-269900</v>
      </c>
      <c r="BB47" s="117" t="s">
        <v>179</v>
      </c>
      <c r="BG47" s="617"/>
      <c r="BH47" s="621">
        <f>AE47-BG47</f>
        <v>0</v>
      </c>
      <c r="BI47" s="617">
        <v>212701.86</v>
      </c>
      <c r="BJ47" s="621">
        <f>AH47-BI47</f>
        <v>-212701.86</v>
      </c>
      <c r="BM47" s="629">
        <f t="shared" si="18"/>
        <v>1214906.8064000001</v>
      </c>
      <c r="BN47" s="629">
        <f t="shared" si="11"/>
        <v>963193.04999999993</v>
      </c>
      <c r="BO47" s="533">
        <f t="shared" si="14"/>
        <v>251713.75640000019</v>
      </c>
      <c r="BP47" s="533">
        <f>BM47</f>
        <v>1214906.8064000001</v>
      </c>
      <c r="BQ47" s="617">
        <v>750491.19</v>
      </c>
      <c r="BR47" s="621">
        <f>AO47-BQ47</f>
        <v>209415.61640000006</v>
      </c>
      <c r="BS47" s="617">
        <v>212701.86</v>
      </c>
      <c r="BT47" s="621">
        <f>AR47-BS47</f>
        <v>42298.140000000014</v>
      </c>
    </row>
    <row r="48" spans="1:72" ht="19.5" customHeight="1" x14ac:dyDescent="0.3">
      <c r="A48" s="437" t="s">
        <v>179</v>
      </c>
      <c r="B48" s="140"/>
      <c r="C48" s="1054">
        <v>244</v>
      </c>
      <c r="D48" s="431">
        <v>161040</v>
      </c>
      <c r="E48" s="64">
        <f>H48+R48+AM48+AK48</f>
        <v>161040</v>
      </c>
      <c r="F48" s="411">
        <f t="shared" si="1"/>
        <v>0</v>
      </c>
      <c r="G48" s="285"/>
      <c r="H48" s="158"/>
      <c r="I48" s="669">
        <f t="shared" si="16"/>
        <v>0</v>
      </c>
      <c r="J48" s="881"/>
      <c r="K48" s="285"/>
      <c r="L48" s="158"/>
      <c r="M48" s="298"/>
      <c r="N48" s="285"/>
      <c r="O48" s="285"/>
      <c r="P48" s="367"/>
      <c r="Q48" s="279"/>
      <c r="R48" s="310"/>
      <c r="S48" s="418"/>
      <c r="T48" s="528"/>
      <c r="U48" s="310"/>
      <c r="V48" s="63"/>
      <c r="W48" s="357">
        <f t="shared" si="2"/>
        <v>0</v>
      </c>
      <c r="X48" s="382"/>
      <c r="Y48" s="63">
        <f t="shared" ref="Y48:Y64" si="39">X48-Z48</f>
        <v>0</v>
      </c>
      <c r="Z48" s="360">
        <f>X48-W48</f>
        <v>0</v>
      </c>
      <c r="AA48" s="310"/>
      <c r="AB48" s="63"/>
      <c r="AC48" s="360"/>
      <c r="AD48" s="279"/>
      <c r="AE48" s="63"/>
      <c r="AF48" s="360"/>
      <c r="AG48" s="279"/>
      <c r="AH48" s="63"/>
      <c r="AI48" s="360"/>
      <c r="AJ48" s="425"/>
      <c r="AK48" s="395"/>
      <c r="AL48" s="334">
        <v>161040</v>
      </c>
      <c r="AM48" s="347">
        <f t="shared" si="17"/>
        <v>161040</v>
      </c>
      <c r="AN48" s="1013">
        <f t="shared" si="5"/>
        <v>0</v>
      </c>
      <c r="AO48" s="338">
        <v>11040</v>
      </c>
      <c r="AP48" s="162">
        <f>AL48-AS48-AW48</f>
        <v>111040</v>
      </c>
      <c r="AQ48" s="1019">
        <f t="shared" ref="AQ48:AQ66" si="40">AP48-AO48</f>
        <v>100000</v>
      </c>
      <c r="AR48" s="324">
        <v>150000</v>
      </c>
      <c r="AS48" s="162">
        <v>50000</v>
      </c>
      <c r="AT48" s="339">
        <f>AS48-AR48</f>
        <v>-100000</v>
      </c>
      <c r="AU48" s="540"/>
      <c r="AV48" s="324"/>
      <c r="AW48" s="162"/>
      <c r="AX48" s="339">
        <f>AW48-AV48</f>
        <v>0</v>
      </c>
      <c r="AZ48" s="111">
        <v>50000</v>
      </c>
      <c r="BA48" s="111">
        <v>845833.33</v>
      </c>
      <c r="BB48" s="117" t="s">
        <v>242</v>
      </c>
      <c r="BG48" s="617"/>
      <c r="BH48" s="621">
        <f t="shared" ref="BH48:BH49" si="41">AE48-BG48</f>
        <v>0</v>
      </c>
      <c r="BI48" s="617">
        <v>30772.66</v>
      </c>
      <c r="BJ48" s="621">
        <f t="shared" ref="BJ48:BJ60" si="42">AH48-BI48</f>
        <v>-30772.66</v>
      </c>
      <c r="BM48" s="629">
        <f t="shared" si="18"/>
        <v>161040</v>
      </c>
      <c r="BN48" s="629">
        <f t="shared" si="11"/>
        <v>39127.660000000003</v>
      </c>
      <c r="BO48" s="533">
        <f t="shared" si="14"/>
        <v>121912.34</v>
      </c>
      <c r="BP48" s="533">
        <f>BN48</f>
        <v>39127.660000000003</v>
      </c>
      <c r="BQ48" s="617">
        <v>8355</v>
      </c>
      <c r="BR48" s="621">
        <f t="shared" ref="BR48:BR49" si="43">AO48-BQ48</f>
        <v>2685</v>
      </c>
      <c r="BS48" s="617">
        <v>30772.66</v>
      </c>
      <c r="BT48" s="621">
        <f t="shared" ref="BT48:BT74" si="44">AR48-BS48</f>
        <v>119227.34</v>
      </c>
    </row>
    <row r="49" spans="1:74" ht="16.5" customHeight="1" x14ac:dyDescent="0.3">
      <c r="A49" s="437" t="s">
        <v>180</v>
      </c>
      <c r="B49" s="140"/>
      <c r="C49" s="1054">
        <v>244</v>
      </c>
      <c r="D49" s="431">
        <v>45311602.851113483</v>
      </c>
      <c r="E49" s="64">
        <f>H49+R49+AM49+AK49</f>
        <v>45311602.852063537</v>
      </c>
      <c r="F49" s="411">
        <f t="shared" si="1"/>
        <v>9.5005333423614502E-4</v>
      </c>
      <c r="G49" s="285">
        <v>11180271.91</v>
      </c>
      <c r="H49" s="158">
        <f>J49+L49+O49</f>
        <v>11180271.91</v>
      </c>
      <c r="I49" s="669">
        <f t="shared" si="16"/>
        <v>0</v>
      </c>
      <c r="J49" s="881"/>
      <c r="K49" s="285">
        <v>7064216.5200987868</v>
      </c>
      <c r="L49" s="158">
        <f>'расчет норматив'!Z21+'ПФХД 2019 с разбивкой  (2)'!L104</f>
        <v>7064216.5200987868</v>
      </c>
      <c r="M49" s="298">
        <f>L49-K49</f>
        <v>0</v>
      </c>
      <c r="N49" s="285">
        <v>4116055.3899012129</v>
      </c>
      <c r="O49" s="285">
        <f>'расчет норматив'!AA21</f>
        <v>4116055.3899012129</v>
      </c>
      <c r="P49" s="367">
        <f>O49-N49</f>
        <v>0</v>
      </c>
      <c r="Q49" s="279">
        <v>11762136.629049946</v>
      </c>
      <c r="R49" s="310">
        <f>T49+V49+Y49+AB49+AE49+AH49</f>
        <v>11762136.629999999</v>
      </c>
      <c r="S49" s="418">
        <f>R49-Q49</f>
        <v>9.5005333423614502E-4</v>
      </c>
      <c r="T49" s="528"/>
      <c r="U49" s="310"/>
      <c r="V49" s="63"/>
      <c r="W49" s="357">
        <f t="shared" si="2"/>
        <v>0</v>
      </c>
      <c r="X49" s="382">
        <f>'расчет норматив'!AG21+'расчет норматив'!AH21+'расчет норматив'!AI21</f>
        <v>4232866.2490499448</v>
      </c>
      <c r="Y49" s="63">
        <v>2604490.63</v>
      </c>
      <c r="Z49" s="360"/>
      <c r="AA49" s="310">
        <v>1571646</v>
      </c>
      <c r="AB49" s="63">
        <v>1571646</v>
      </c>
      <c r="AC49" s="360">
        <f>AB49-AA49</f>
        <v>0</v>
      </c>
      <c r="AD49" s="279"/>
      <c r="AE49" s="63"/>
      <c r="AF49" s="360"/>
      <c r="AG49" s="63">
        <v>7586000</v>
      </c>
      <c r="AH49" s="63">
        <v>7586000</v>
      </c>
      <c r="AI49" s="360">
        <f>AH49-AG49</f>
        <v>0</v>
      </c>
      <c r="AJ49" s="425"/>
      <c r="AK49" s="395"/>
      <c r="AL49" s="334">
        <v>22369194.312063538</v>
      </c>
      <c r="AM49" s="347">
        <f t="shared" si="17"/>
        <v>22369194.312063538</v>
      </c>
      <c r="AN49" s="1013">
        <f t="shared" si="5"/>
        <v>0</v>
      </c>
      <c r="AO49" s="338">
        <v>20388264.312063538</v>
      </c>
      <c r="AP49" s="162">
        <f>AL49-AS49-AW49</f>
        <v>19267792.302063536</v>
      </c>
      <c r="AQ49" s="1019">
        <f t="shared" si="40"/>
        <v>-1120472.0100000016</v>
      </c>
      <c r="AR49" s="324">
        <v>1980930</v>
      </c>
      <c r="AS49" s="162">
        <v>1980930</v>
      </c>
      <c r="AT49" s="339">
        <f>AS49-AR49</f>
        <v>0</v>
      </c>
      <c r="AU49" s="540"/>
      <c r="AV49" s="324"/>
      <c r="AW49" s="162">
        <v>1120472.01</v>
      </c>
      <c r="AX49" s="339">
        <f>AW49-AV49</f>
        <v>1120472.01</v>
      </c>
      <c r="AZ49" s="122">
        <f>-(AZ37+AZ47+AZ34)</f>
        <v>-2401129.66</v>
      </c>
      <c r="BB49" s="117" t="s">
        <v>180</v>
      </c>
      <c r="BG49" s="617"/>
      <c r="BH49" s="621">
        <f t="shared" si="41"/>
        <v>0</v>
      </c>
      <c r="BI49" s="617">
        <v>879775.94</v>
      </c>
      <c r="BJ49" s="621">
        <f t="shared" si="42"/>
        <v>6706224.0600000005</v>
      </c>
      <c r="BM49" s="629">
        <f t="shared" si="18"/>
        <v>22369194.312063538</v>
      </c>
      <c r="BN49" s="629">
        <f t="shared" si="11"/>
        <v>16781898.300000001</v>
      </c>
      <c r="BO49" s="533">
        <f t="shared" si="14"/>
        <v>5587296.0120635368</v>
      </c>
      <c r="BP49" s="533">
        <f>BN49</f>
        <v>16781898.300000001</v>
      </c>
      <c r="BQ49" s="617">
        <f>15377975.9+224146.46+300000</f>
        <v>15902122.360000001</v>
      </c>
      <c r="BR49" s="621">
        <f t="shared" si="43"/>
        <v>4486141.9520635363</v>
      </c>
      <c r="BS49" s="617">
        <v>879775.94</v>
      </c>
      <c r="BT49" s="621">
        <f t="shared" si="44"/>
        <v>1101154.06</v>
      </c>
    </row>
    <row r="50" spans="1:74" x14ac:dyDescent="0.3">
      <c r="A50" s="437" t="s">
        <v>181</v>
      </c>
      <c r="B50" s="140"/>
      <c r="C50" s="1054">
        <v>244</v>
      </c>
      <c r="D50" s="431">
        <v>0</v>
      </c>
      <c r="E50" s="64">
        <f>H50+R50+AL50+AK50</f>
        <v>0</v>
      </c>
      <c r="F50" s="410">
        <f t="shared" si="1"/>
        <v>0</v>
      </c>
      <c r="G50" s="285"/>
      <c r="H50" s="158"/>
      <c r="I50" s="669">
        <f t="shared" si="16"/>
        <v>0</v>
      </c>
      <c r="J50" s="881"/>
      <c r="K50" s="285"/>
      <c r="L50" s="158"/>
      <c r="M50" s="298"/>
      <c r="N50" s="285"/>
      <c r="O50" s="285"/>
      <c r="P50" s="367"/>
      <c r="Q50" s="279"/>
      <c r="R50" s="310"/>
      <c r="S50" s="418"/>
      <c r="T50" s="528"/>
      <c r="U50" s="310"/>
      <c r="V50" s="63"/>
      <c r="W50" s="357">
        <f t="shared" si="2"/>
        <v>0</v>
      </c>
      <c r="X50" s="382"/>
      <c r="Y50" s="63">
        <f t="shared" si="39"/>
        <v>0</v>
      </c>
      <c r="Z50" s="360">
        <f>X50-W50</f>
        <v>0</v>
      </c>
      <c r="AA50" s="310"/>
      <c r="AB50" s="63"/>
      <c r="AC50" s="360"/>
      <c r="AD50" s="279"/>
      <c r="AE50" s="63"/>
      <c r="AF50" s="360"/>
      <c r="AG50" s="279"/>
      <c r="AH50" s="63"/>
      <c r="AI50" s="360">
        <f t="shared" ref="AI50:AI54" si="45">AH50-AG50</f>
        <v>0</v>
      </c>
      <c r="AJ50" s="425"/>
      <c r="AK50" s="395"/>
      <c r="AL50" s="334">
        <v>0</v>
      </c>
      <c r="AM50" s="347">
        <f t="shared" si="17"/>
        <v>0</v>
      </c>
      <c r="AN50" s="1013">
        <f t="shared" si="5"/>
        <v>0</v>
      </c>
      <c r="AO50" s="338">
        <v>0</v>
      </c>
      <c r="AP50" s="162">
        <v>0</v>
      </c>
      <c r="AQ50" s="1019">
        <f t="shared" si="40"/>
        <v>0</v>
      </c>
      <c r="AR50" s="324"/>
      <c r="AS50" s="162"/>
      <c r="AT50" s="339"/>
      <c r="AU50" s="540"/>
      <c r="AV50" s="324"/>
      <c r="AW50" s="162"/>
      <c r="AX50" s="339"/>
      <c r="AZ50" s="111">
        <v>23168167.190000001</v>
      </c>
      <c r="BA50" s="111">
        <v>2186471.81</v>
      </c>
      <c r="BB50" s="117" t="s">
        <v>243</v>
      </c>
      <c r="BG50" s="617"/>
      <c r="BH50" s="621">
        <f>AF50-BG50</f>
        <v>0</v>
      </c>
      <c r="BI50" s="617"/>
      <c r="BJ50" s="621">
        <f t="shared" si="42"/>
        <v>0</v>
      </c>
      <c r="BM50" s="629">
        <f t="shared" si="18"/>
        <v>0</v>
      </c>
      <c r="BN50" s="629">
        <f t="shared" si="11"/>
        <v>0</v>
      </c>
      <c r="BO50" s="533">
        <f t="shared" si="14"/>
        <v>0</v>
      </c>
      <c r="BP50" s="533"/>
      <c r="BQ50" s="617"/>
      <c r="BR50" s="621">
        <f>AP50-BQ50</f>
        <v>0</v>
      </c>
      <c r="BS50" s="617"/>
      <c r="BT50" s="621">
        <f t="shared" si="44"/>
        <v>0</v>
      </c>
    </row>
    <row r="51" spans="1:74" x14ac:dyDescent="0.3">
      <c r="A51" s="1417" t="s">
        <v>182</v>
      </c>
      <c r="B51" s="142"/>
      <c r="C51" s="1414">
        <v>243</v>
      </c>
      <c r="D51" s="431">
        <v>1003324908.2</v>
      </c>
      <c r="E51" s="64">
        <f t="shared" ref="E51:E58" si="46">H51+R51+AM51+AK51</f>
        <v>1003324908.2</v>
      </c>
      <c r="F51" s="411">
        <f t="shared" si="1"/>
        <v>0</v>
      </c>
      <c r="G51" s="285"/>
      <c r="H51" s="158"/>
      <c r="I51" s="669">
        <f t="shared" si="16"/>
        <v>0</v>
      </c>
      <c r="J51" s="883"/>
      <c r="K51" s="286"/>
      <c r="L51" s="158"/>
      <c r="M51" s="300"/>
      <c r="N51" s="286"/>
      <c r="O51" s="286"/>
      <c r="P51" s="368"/>
      <c r="Q51" s="279">
        <v>1003324908.2</v>
      </c>
      <c r="R51" s="310">
        <f>T51+V51+Y51+AB51+AE51+AH51</f>
        <v>1003324908.2</v>
      </c>
      <c r="S51" s="418">
        <f>R51-Q51</f>
        <v>0</v>
      </c>
      <c r="T51" s="528">
        <v>146375908.19999999</v>
      </c>
      <c r="U51" s="310">
        <v>856949000</v>
      </c>
      <c r="V51" s="63">
        <v>856949000</v>
      </c>
      <c r="W51" s="360">
        <f t="shared" si="2"/>
        <v>0</v>
      </c>
      <c r="X51" s="382"/>
      <c r="Y51" s="63">
        <f t="shared" si="39"/>
        <v>0</v>
      </c>
      <c r="Z51" s="360"/>
      <c r="AA51" s="310"/>
      <c r="AB51" s="63"/>
      <c r="AC51" s="360"/>
      <c r="AD51" s="279"/>
      <c r="AE51" s="63"/>
      <c r="AF51" s="360"/>
      <c r="AG51" s="279"/>
      <c r="AH51" s="63"/>
      <c r="AI51" s="360">
        <f t="shared" si="45"/>
        <v>0</v>
      </c>
      <c r="AJ51" s="425"/>
      <c r="AK51" s="397"/>
      <c r="AL51" s="334">
        <v>0</v>
      </c>
      <c r="AM51" s="347">
        <f t="shared" si="17"/>
        <v>0</v>
      </c>
      <c r="AN51" s="1013">
        <f t="shared" si="5"/>
        <v>0</v>
      </c>
      <c r="AO51" s="340">
        <v>0</v>
      </c>
      <c r="AP51" s="162">
        <v>0</v>
      </c>
      <c r="AQ51" s="1019">
        <f t="shared" si="40"/>
        <v>0</v>
      </c>
      <c r="AR51" s="401"/>
      <c r="AS51" s="259"/>
      <c r="AT51" s="341"/>
      <c r="AU51" s="540"/>
      <c r="AV51" s="401"/>
      <c r="AW51" s="259"/>
      <c r="AX51" s="341"/>
      <c r="AZ51" s="111">
        <f>AL49-AZ50</f>
        <v>-798972.8779364638</v>
      </c>
      <c r="BG51" s="617"/>
      <c r="BH51" s="621">
        <f>AF51-BG51</f>
        <v>0</v>
      </c>
      <c r="BI51" s="617"/>
      <c r="BJ51" s="621">
        <f t="shared" si="42"/>
        <v>0</v>
      </c>
      <c r="BM51" s="629">
        <f t="shared" si="18"/>
        <v>0</v>
      </c>
      <c r="BN51" s="629">
        <f t="shared" si="11"/>
        <v>0</v>
      </c>
      <c r="BO51" s="533">
        <f t="shared" si="14"/>
        <v>0</v>
      </c>
      <c r="BP51" s="533"/>
      <c r="BQ51" s="617"/>
      <c r="BR51" s="621">
        <f>AP51-BQ51</f>
        <v>0</v>
      </c>
      <c r="BS51" s="617"/>
      <c r="BT51" s="621">
        <f t="shared" si="44"/>
        <v>0</v>
      </c>
    </row>
    <row r="52" spans="1:74" s="145" customFormat="1" ht="19.5" hidden="1" customHeight="1" x14ac:dyDescent="0.3">
      <c r="A52" s="1418"/>
      <c r="B52" s="143"/>
      <c r="C52" s="1415"/>
      <c r="D52" s="432">
        <v>0</v>
      </c>
      <c r="E52" s="64">
        <f t="shared" si="46"/>
        <v>0</v>
      </c>
      <c r="F52" s="411">
        <f t="shared" si="1"/>
        <v>0</v>
      </c>
      <c r="G52" s="285"/>
      <c r="H52" s="158"/>
      <c r="I52" s="669">
        <f t="shared" si="16"/>
        <v>0</v>
      </c>
      <c r="J52" s="884"/>
      <c r="K52" s="287"/>
      <c r="L52" s="158"/>
      <c r="M52" s="302"/>
      <c r="N52" s="287"/>
      <c r="O52" s="287"/>
      <c r="P52" s="369"/>
      <c r="Q52" s="279">
        <v>0</v>
      </c>
      <c r="R52" s="310">
        <f t="shared" ref="R52:R65" si="47">T52+V52+Y52+AB52+AE52+AH52</f>
        <v>0</v>
      </c>
      <c r="S52" s="418">
        <f t="shared" ref="S52:S58" si="48">R52-Q52</f>
        <v>0</v>
      </c>
      <c r="T52" s="529"/>
      <c r="U52" s="523"/>
      <c r="V52" s="163"/>
      <c r="W52" s="360">
        <f t="shared" si="2"/>
        <v>0</v>
      </c>
      <c r="X52" s="384"/>
      <c r="Y52" s="63">
        <f t="shared" si="39"/>
        <v>0</v>
      </c>
      <c r="Z52" s="360">
        <f>X52-W52</f>
        <v>0</v>
      </c>
      <c r="AA52" s="523"/>
      <c r="AB52" s="163"/>
      <c r="AC52" s="361"/>
      <c r="AD52" s="280"/>
      <c r="AE52" s="163"/>
      <c r="AF52" s="361"/>
      <c r="AG52" s="280"/>
      <c r="AH52" s="163"/>
      <c r="AI52" s="360">
        <f t="shared" si="45"/>
        <v>0</v>
      </c>
      <c r="AJ52" s="427"/>
      <c r="AK52" s="398"/>
      <c r="AL52" s="334">
        <v>0</v>
      </c>
      <c r="AM52" s="347">
        <f t="shared" si="17"/>
        <v>0</v>
      </c>
      <c r="AN52" s="1013">
        <f t="shared" si="5"/>
        <v>0</v>
      </c>
      <c r="AO52" s="342">
        <v>0</v>
      </c>
      <c r="AP52" s="162">
        <v>0</v>
      </c>
      <c r="AQ52" s="1019">
        <f t="shared" si="40"/>
        <v>0</v>
      </c>
      <c r="AR52" s="402"/>
      <c r="AS52" s="262"/>
      <c r="AT52" s="343"/>
      <c r="AU52" s="544"/>
      <c r="AV52" s="402"/>
      <c r="AW52" s="262"/>
      <c r="AX52" s="343"/>
      <c r="BG52" s="617"/>
      <c r="BH52" s="621">
        <f>AF52-BG52</f>
        <v>0</v>
      </c>
      <c r="BI52" s="617"/>
      <c r="BJ52" s="621">
        <f t="shared" si="42"/>
        <v>0</v>
      </c>
      <c r="BM52" s="629">
        <f t="shared" si="18"/>
        <v>0</v>
      </c>
      <c r="BN52" s="629">
        <f t="shared" si="11"/>
        <v>0</v>
      </c>
      <c r="BO52" s="533">
        <f t="shared" si="14"/>
        <v>0</v>
      </c>
      <c r="BP52" s="533"/>
      <c r="BQ52" s="617"/>
      <c r="BR52" s="621">
        <f>AP52-BQ52</f>
        <v>0</v>
      </c>
      <c r="BS52" s="617"/>
      <c r="BT52" s="621">
        <f t="shared" si="44"/>
        <v>0</v>
      </c>
    </row>
    <row r="53" spans="1:74" s="145" customFormat="1" ht="19.5" hidden="1" customHeight="1" x14ac:dyDescent="0.3">
      <c r="A53" s="1418"/>
      <c r="B53" s="143"/>
      <c r="C53" s="1416"/>
      <c r="D53" s="432">
        <v>0</v>
      </c>
      <c r="E53" s="64">
        <f t="shared" si="46"/>
        <v>0</v>
      </c>
      <c r="F53" s="411">
        <f t="shared" si="1"/>
        <v>0</v>
      </c>
      <c r="G53" s="285"/>
      <c r="H53" s="158"/>
      <c r="I53" s="669">
        <f t="shared" si="16"/>
        <v>0</v>
      </c>
      <c r="J53" s="884"/>
      <c r="K53" s="287"/>
      <c r="L53" s="158"/>
      <c r="M53" s="302"/>
      <c r="N53" s="287"/>
      <c r="O53" s="287"/>
      <c r="P53" s="369"/>
      <c r="Q53" s="279">
        <v>0</v>
      </c>
      <c r="R53" s="310">
        <f t="shared" si="47"/>
        <v>0</v>
      </c>
      <c r="S53" s="418">
        <f t="shared" si="48"/>
        <v>0</v>
      </c>
      <c r="T53" s="529"/>
      <c r="U53" s="523"/>
      <c r="V53" s="163"/>
      <c r="W53" s="360">
        <f t="shared" si="2"/>
        <v>0</v>
      </c>
      <c r="X53" s="384"/>
      <c r="Y53" s="63">
        <f t="shared" si="39"/>
        <v>0</v>
      </c>
      <c r="Z53" s="360">
        <f>X53-W53</f>
        <v>0</v>
      </c>
      <c r="AA53" s="523"/>
      <c r="AB53" s="163"/>
      <c r="AC53" s="361"/>
      <c r="AD53" s="280"/>
      <c r="AE53" s="163"/>
      <c r="AF53" s="361"/>
      <c r="AG53" s="280"/>
      <c r="AH53" s="163"/>
      <c r="AI53" s="360">
        <f t="shared" si="45"/>
        <v>0</v>
      </c>
      <c r="AJ53" s="427"/>
      <c r="AK53" s="398"/>
      <c r="AL53" s="334">
        <v>0</v>
      </c>
      <c r="AM53" s="347">
        <f t="shared" si="17"/>
        <v>0</v>
      </c>
      <c r="AN53" s="1013">
        <f t="shared" si="5"/>
        <v>0</v>
      </c>
      <c r="AO53" s="342">
        <v>0</v>
      </c>
      <c r="AP53" s="162">
        <v>0</v>
      </c>
      <c r="AQ53" s="1019">
        <f t="shared" si="40"/>
        <v>0</v>
      </c>
      <c r="AR53" s="402"/>
      <c r="AS53" s="262"/>
      <c r="AT53" s="343"/>
      <c r="AU53" s="544"/>
      <c r="AV53" s="402"/>
      <c r="AW53" s="262"/>
      <c r="AX53" s="343"/>
      <c r="AZ53" s="111"/>
      <c r="BA53" s="146"/>
      <c r="BB53" s="117" t="s">
        <v>239</v>
      </c>
      <c r="BC53" s="117"/>
      <c r="BD53" s="117"/>
      <c r="BE53" s="117"/>
      <c r="BF53" s="117"/>
      <c r="BG53" s="617"/>
      <c r="BH53" s="621">
        <f>AF53-BG53</f>
        <v>0</v>
      </c>
      <c r="BI53" s="617"/>
      <c r="BJ53" s="621">
        <f t="shared" si="42"/>
        <v>0</v>
      </c>
      <c r="BK53" s="117"/>
      <c r="BL53" s="117"/>
      <c r="BM53" s="629">
        <f t="shared" si="18"/>
        <v>0</v>
      </c>
      <c r="BN53" s="629">
        <f t="shared" si="11"/>
        <v>0</v>
      </c>
      <c r="BO53" s="533">
        <f t="shared" si="14"/>
        <v>0</v>
      </c>
      <c r="BP53" s="533"/>
      <c r="BQ53" s="617"/>
      <c r="BR53" s="621">
        <f>AP53-BQ53</f>
        <v>0</v>
      </c>
      <c r="BS53" s="617"/>
      <c r="BT53" s="621">
        <f t="shared" si="44"/>
        <v>0</v>
      </c>
    </row>
    <row r="54" spans="1:74" ht="19.5" customHeight="1" x14ac:dyDescent="0.3">
      <c r="A54" s="1419"/>
      <c r="B54" s="147"/>
      <c r="C54" s="444">
        <v>244</v>
      </c>
      <c r="D54" s="431">
        <v>54335280.231198892</v>
      </c>
      <c r="E54" s="64">
        <f t="shared" si="46"/>
        <v>54335280.226000004</v>
      </c>
      <c r="F54" s="411">
        <f t="shared" si="1"/>
        <v>-5.1988884806632996E-3</v>
      </c>
      <c r="G54" s="285">
        <v>6515818.2999999998</v>
      </c>
      <c r="H54" s="158">
        <f>J54+L54+O54</f>
        <v>6515818.2999999998</v>
      </c>
      <c r="I54" s="669">
        <f t="shared" si="16"/>
        <v>0</v>
      </c>
      <c r="J54" s="881"/>
      <c r="K54" s="285">
        <v>3934762.5445104162</v>
      </c>
      <c r="L54" s="158">
        <f>'расчет норматив'!Z22+'ПФХД 2019 с разбивкой  (2)'!L105</f>
        <v>3934762.5445104162</v>
      </c>
      <c r="M54" s="298">
        <f>L54-K54</f>
        <v>0</v>
      </c>
      <c r="N54" s="285">
        <v>2581055.7554895836</v>
      </c>
      <c r="O54" s="285">
        <f>'расчет норматив'!AA22</f>
        <v>2581055.7554895836</v>
      </c>
      <c r="P54" s="367">
        <f>O54-N54</f>
        <v>0</v>
      </c>
      <c r="Q54" s="279">
        <v>4671847.2451988859</v>
      </c>
      <c r="R54" s="310">
        <f t="shared" si="47"/>
        <v>4671847.24</v>
      </c>
      <c r="S54" s="418">
        <f t="shared" si="48"/>
        <v>-5.1988856866955757E-3</v>
      </c>
      <c r="T54" s="528">
        <v>429259.19</v>
      </c>
      <c r="U54" s="310"/>
      <c r="V54" s="63"/>
      <c r="W54" s="360">
        <f t="shared" si="2"/>
        <v>0</v>
      </c>
      <c r="X54" s="382">
        <f>'расчет норматив'!AG22+'расчет норматив'!AH22+'расчет норматив'!AI22</f>
        <v>1000046.3551988835</v>
      </c>
      <c r="Y54" s="63">
        <v>978752.36</v>
      </c>
      <c r="Z54" s="360"/>
      <c r="AA54" s="310">
        <v>1687314.17</v>
      </c>
      <c r="AB54" s="63">
        <v>1687314.17</v>
      </c>
      <c r="AC54" s="360">
        <f>AB54-AA54</f>
        <v>0</v>
      </c>
      <c r="AD54" s="279"/>
      <c r="AE54" s="63"/>
      <c r="AF54" s="360"/>
      <c r="AG54" s="279">
        <v>1576521.5200000003</v>
      </c>
      <c r="AH54" s="63">
        <v>1576521.52</v>
      </c>
      <c r="AI54" s="360">
        <f t="shared" si="45"/>
        <v>0</v>
      </c>
      <c r="AJ54" s="425"/>
      <c r="AK54" s="395"/>
      <c r="AL54" s="334">
        <v>43147614.686000004</v>
      </c>
      <c r="AM54" s="347">
        <f t="shared" si="17"/>
        <v>43147614.686000004</v>
      </c>
      <c r="AN54" s="1013">
        <f t="shared" si="5"/>
        <v>0</v>
      </c>
      <c r="AO54" s="338">
        <v>38155862.186000004</v>
      </c>
      <c r="AP54" s="162">
        <f>AL54-AS54-AW54</f>
        <v>38155862.186000004</v>
      </c>
      <c r="AQ54" s="1019">
        <f t="shared" si="40"/>
        <v>0</v>
      </c>
      <c r="AR54" s="324">
        <v>4991752.5</v>
      </c>
      <c r="AS54" s="162">
        <v>4289138.08</v>
      </c>
      <c r="AT54" s="339">
        <f>AS54-AR54</f>
        <v>-702614.41999999993</v>
      </c>
      <c r="AU54" s="540"/>
      <c r="AV54" s="324"/>
      <c r="AW54" s="162">
        <v>702614.42</v>
      </c>
      <c r="AX54" s="339">
        <f>AW54-AV54</f>
        <v>702614.42</v>
      </c>
      <c r="AZ54" s="111">
        <v>11260837.890000001</v>
      </c>
      <c r="BA54" s="111">
        <v>2931349.03</v>
      </c>
      <c r="BB54" s="117" t="s">
        <v>238</v>
      </c>
      <c r="BG54" s="617"/>
      <c r="BH54" s="621">
        <f>AE54-BG54</f>
        <v>0</v>
      </c>
      <c r="BI54" s="617">
        <v>1302967.3999999999</v>
      </c>
      <c r="BJ54" s="621">
        <f t="shared" si="42"/>
        <v>273554.12000000011</v>
      </c>
      <c r="BM54" s="629">
        <f t="shared" si="18"/>
        <v>43147614.686000004</v>
      </c>
      <c r="BN54" s="629">
        <f t="shared" si="11"/>
        <v>8810001.3200000003</v>
      </c>
      <c r="BO54" s="533">
        <f t="shared" si="14"/>
        <v>34337613.366000004</v>
      </c>
      <c r="BP54" s="533">
        <f>BN54</f>
        <v>8810001.3200000003</v>
      </c>
      <c r="BQ54" s="617">
        <f>7007033.92+500000</f>
        <v>7507033.9199999999</v>
      </c>
      <c r="BR54" s="621">
        <f>AO54-BQ54</f>
        <v>30648828.266000003</v>
      </c>
      <c r="BS54" s="617">
        <v>1302967.3999999999</v>
      </c>
      <c r="BT54" s="621">
        <f t="shared" si="44"/>
        <v>3688785.1</v>
      </c>
    </row>
    <row r="55" spans="1:74" ht="19.5" customHeight="1" x14ac:dyDescent="0.3">
      <c r="A55" s="1417" t="s">
        <v>183</v>
      </c>
      <c r="B55" s="148"/>
      <c r="C55" s="1414">
        <v>243</v>
      </c>
      <c r="D55" s="431">
        <v>52389110</v>
      </c>
      <c r="E55" s="64">
        <f t="shared" si="46"/>
        <v>52389110</v>
      </c>
      <c r="F55" s="411">
        <f t="shared" si="1"/>
        <v>0</v>
      </c>
      <c r="G55" s="285"/>
      <c r="H55" s="158"/>
      <c r="I55" s="669">
        <f t="shared" si="16"/>
        <v>0</v>
      </c>
      <c r="J55" s="883"/>
      <c r="K55" s="286"/>
      <c r="L55" s="158"/>
      <c r="M55" s="300"/>
      <c r="N55" s="286"/>
      <c r="O55" s="286"/>
      <c r="P55" s="368"/>
      <c r="Q55" s="279">
        <v>52389110</v>
      </c>
      <c r="R55" s="310">
        <f t="shared" si="47"/>
        <v>52389110</v>
      </c>
      <c r="S55" s="418">
        <f t="shared" si="48"/>
        <v>0</v>
      </c>
      <c r="T55" s="528">
        <v>4389110</v>
      </c>
      <c r="U55" s="310">
        <v>48000000</v>
      </c>
      <c r="V55" s="63">
        <v>48000000</v>
      </c>
      <c r="W55" s="360">
        <f t="shared" si="2"/>
        <v>0</v>
      </c>
      <c r="X55" s="382"/>
      <c r="Y55" s="63"/>
      <c r="Z55" s="360"/>
      <c r="AA55" s="310"/>
      <c r="AB55" s="63"/>
      <c r="AC55" s="360"/>
      <c r="AD55" s="279"/>
      <c r="AE55" s="63"/>
      <c r="AF55" s="360"/>
      <c r="AG55" s="279"/>
      <c r="AH55" s="63"/>
      <c r="AI55" s="360"/>
      <c r="AJ55" s="425"/>
      <c r="AK55" s="397"/>
      <c r="AL55" s="334">
        <v>0</v>
      </c>
      <c r="AM55" s="347">
        <f t="shared" si="17"/>
        <v>0</v>
      </c>
      <c r="AN55" s="1013">
        <f t="shared" si="5"/>
        <v>0</v>
      </c>
      <c r="AO55" s="340">
        <v>0</v>
      </c>
      <c r="AP55" s="162">
        <v>0</v>
      </c>
      <c r="AQ55" s="1019">
        <f t="shared" si="40"/>
        <v>0</v>
      </c>
      <c r="AR55" s="401"/>
      <c r="AS55" s="259"/>
      <c r="AT55" s="341"/>
      <c r="AU55" s="540"/>
      <c r="AV55" s="401"/>
      <c r="AW55" s="259"/>
      <c r="AX55" s="341"/>
      <c r="BG55" s="617"/>
      <c r="BH55" s="621">
        <f>AF55-BG55</f>
        <v>0</v>
      </c>
      <c r="BI55" s="617"/>
      <c r="BJ55" s="621">
        <f t="shared" si="42"/>
        <v>0</v>
      </c>
      <c r="BM55" s="629">
        <f t="shared" si="18"/>
        <v>0</v>
      </c>
      <c r="BN55" s="629">
        <f t="shared" si="11"/>
        <v>0</v>
      </c>
      <c r="BO55" s="533">
        <f t="shared" si="14"/>
        <v>0</v>
      </c>
      <c r="BP55" s="533"/>
      <c r="BQ55" s="617"/>
      <c r="BR55" s="621">
        <f>AP55-BQ55</f>
        <v>0</v>
      </c>
      <c r="BS55" s="617"/>
      <c r="BT55" s="621">
        <f t="shared" si="44"/>
        <v>0</v>
      </c>
    </row>
    <row r="56" spans="1:74" s="145" customFormat="1" ht="18.75" hidden="1" customHeight="1" x14ac:dyDescent="0.3">
      <c r="A56" s="1418"/>
      <c r="B56" s="149"/>
      <c r="C56" s="1415"/>
      <c r="D56" s="432">
        <v>0</v>
      </c>
      <c r="E56" s="64">
        <f t="shared" si="46"/>
        <v>0</v>
      </c>
      <c r="F56" s="411">
        <f t="shared" si="1"/>
        <v>0</v>
      </c>
      <c r="G56" s="285"/>
      <c r="H56" s="158"/>
      <c r="I56" s="669">
        <f t="shared" si="16"/>
        <v>0</v>
      </c>
      <c r="J56" s="884"/>
      <c r="K56" s="287"/>
      <c r="L56" s="158"/>
      <c r="M56" s="302"/>
      <c r="N56" s="287"/>
      <c r="O56" s="287"/>
      <c r="P56" s="369"/>
      <c r="Q56" s="279">
        <v>0</v>
      </c>
      <c r="R56" s="310">
        <f t="shared" si="47"/>
        <v>0</v>
      </c>
      <c r="S56" s="418">
        <f t="shared" si="48"/>
        <v>0</v>
      </c>
      <c r="T56" s="529"/>
      <c r="U56" s="523"/>
      <c r="V56" s="163"/>
      <c r="W56" s="360">
        <f t="shared" si="2"/>
        <v>0</v>
      </c>
      <c r="X56" s="384"/>
      <c r="Y56" s="63">
        <f t="shared" si="39"/>
        <v>0</v>
      </c>
      <c r="Z56" s="360">
        <f>X56-W56</f>
        <v>0</v>
      </c>
      <c r="AA56" s="523"/>
      <c r="AB56" s="163"/>
      <c r="AC56" s="361"/>
      <c r="AD56" s="280"/>
      <c r="AE56" s="163"/>
      <c r="AF56" s="361"/>
      <c r="AG56" s="280"/>
      <c r="AH56" s="163"/>
      <c r="AI56" s="361"/>
      <c r="AJ56" s="427"/>
      <c r="AK56" s="398"/>
      <c r="AL56" s="334">
        <v>0</v>
      </c>
      <c r="AM56" s="347">
        <f t="shared" si="17"/>
        <v>0</v>
      </c>
      <c r="AN56" s="1013">
        <f t="shared" si="5"/>
        <v>0</v>
      </c>
      <c r="AO56" s="342">
        <v>0</v>
      </c>
      <c r="AP56" s="162">
        <v>0</v>
      </c>
      <c r="AQ56" s="1019">
        <f t="shared" si="40"/>
        <v>0</v>
      </c>
      <c r="AR56" s="402"/>
      <c r="AS56" s="262"/>
      <c r="AT56" s="343"/>
      <c r="AU56" s="544"/>
      <c r="AV56" s="402"/>
      <c r="AW56" s="262"/>
      <c r="AX56" s="343"/>
      <c r="BG56" s="617"/>
      <c r="BH56" s="621">
        <f>AF56-BG56</f>
        <v>0</v>
      </c>
      <c r="BI56" s="617"/>
      <c r="BJ56" s="621">
        <f t="shared" si="42"/>
        <v>0</v>
      </c>
      <c r="BM56" s="629">
        <f t="shared" si="18"/>
        <v>0</v>
      </c>
      <c r="BN56" s="629">
        <f t="shared" si="11"/>
        <v>0</v>
      </c>
      <c r="BO56" s="533">
        <f t="shared" si="14"/>
        <v>0</v>
      </c>
      <c r="BP56" s="533"/>
      <c r="BQ56" s="617"/>
      <c r="BR56" s="621">
        <f>AP56-BQ56</f>
        <v>0</v>
      </c>
      <c r="BS56" s="617"/>
      <c r="BT56" s="621">
        <f t="shared" si="44"/>
        <v>0</v>
      </c>
    </row>
    <row r="57" spans="1:74" s="145" customFormat="1" ht="33.75" hidden="1" customHeight="1" x14ac:dyDescent="0.3">
      <c r="A57" s="1418"/>
      <c r="B57" s="149"/>
      <c r="C57" s="1416"/>
      <c r="D57" s="432">
        <v>0</v>
      </c>
      <c r="E57" s="64">
        <f t="shared" si="46"/>
        <v>0</v>
      </c>
      <c r="F57" s="411">
        <f t="shared" si="1"/>
        <v>0</v>
      </c>
      <c r="G57" s="285"/>
      <c r="H57" s="158"/>
      <c r="I57" s="669">
        <f t="shared" si="16"/>
        <v>0</v>
      </c>
      <c r="J57" s="884"/>
      <c r="K57" s="287"/>
      <c r="L57" s="158"/>
      <c r="M57" s="302"/>
      <c r="N57" s="287"/>
      <c r="O57" s="287"/>
      <c r="P57" s="369"/>
      <c r="Q57" s="279">
        <v>0</v>
      </c>
      <c r="R57" s="310">
        <f t="shared" si="47"/>
        <v>0</v>
      </c>
      <c r="S57" s="418">
        <f t="shared" si="48"/>
        <v>0</v>
      </c>
      <c r="T57" s="529"/>
      <c r="U57" s="523"/>
      <c r="V57" s="163"/>
      <c r="W57" s="360">
        <f t="shared" si="2"/>
        <v>0</v>
      </c>
      <c r="X57" s="384"/>
      <c r="Y57" s="63">
        <f t="shared" si="39"/>
        <v>0</v>
      </c>
      <c r="Z57" s="360">
        <f>X57-W57</f>
        <v>0</v>
      </c>
      <c r="AA57" s="523"/>
      <c r="AB57" s="163"/>
      <c r="AC57" s="361"/>
      <c r="AD57" s="280"/>
      <c r="AE57" s="163"/>
      <c r="AF57" s="361"/>
      <c r="AG57" s="280"/>
      <c r="AH57" s="163"/>
      <c r="AI57" s="361"/>
      <c r="AJ57" s="427"/>
      <c r="AK57" s="398"/>
      <c r="AL57" s="334">
        <v>0</v>
      </c>
      <c r="AM57" s="347">
        <f t="shared" si="17"/>
        <v>0</v>
      </c>
      <c r="AN57" s="1013">
        <f t="shared" si="5"/>
        <v>0</v>
      </c>
      <c r="AO57" s="342">
        <v>0</v>
      </c>
      <c r="AP57" s="162">
        <v>0</v>
      </c>
      <c r="AQ57" s="1019">
        <f t="shared" si="40"/>
        <v>0</v>
      </c>
      <c r="AR57" s="402"/>
      <c r="AS57" s="262"/>
      <c r="AT57" s="343"/>
      <c r="AU57" s="544"/>
      <c r="AV57" s="402"/>
      <c r="AW57" s="262"/>
      <c r="AX57" s="343"/>
      <c r="BG57" s="617"/>
      <c r="BH57" s="621">
        <f>AF57-BG57</f>
        <v>0</v>
      </c>
      <c r="BI57" s="617"/>
      <c r="BJ57" s="621">
        <f t="shared" si="42"/>
        <v>0</v>
      </c>
      <c r="BM57" s="629">
        <f t="shared" si="18"/>
        <v>0</v>
      </c>
      <c r="BN57" s="629">
        <f t="shared" si="11"/>
        <v>0</v>
      </c>
      <c r="BO57" s="533">
        <f t="shared" si="14"/>
        <v>0</v>
      </c>
      <c r="BP57" s="533"/>
      <c r="BQ57" s="617"/>
      <c r="BR57" s="621">
        <f>AP57-BQ57</f>
        <v>0</v>
      </c>
      <c r="BS57" s="617"/>
      <c r="BT57" s="621">
        <f t="shared" si="44"/>
        <v>0</v>
      </c>
    </row>
    <row r="58" spans="1:74" ht="19.5" customHeight="1" x14ac:dyDescent="0.3">
      <c r="A58" s="1419"/>
      <c r="B58" s="140"/>
      <c r="C58" s="444">
        <v>244</v>
      </c>
      <c r="D58" s="431">
        <v>321089173.20289463</v>
      </c>
      <c r="E58" s="64">
        <f t="shared" si="46"/>
        <v>321089173.20599997</v>
      </c>
      <c r="F58" s="411">
        <f t="shared" si="1"/>
        <v>3.1053423881530762E-3</v>
      </c>
      <c r="G58" s="285">
        <v>3819615.4699999997</v>
      </c>
      <c r="H58" s="158">
        <f>J58+L58+O58</f>
        <v>3819615.4699999997</v>
      </c>
      <c r="I58" s="669">
        <f t="shared" si="16"/>
        <v>0</v>
      </c>
      <c r="J58" s="881"/>
      <c r="K58" s="285">
        <v>2389277.4415155859</v>
      </c>
      <c r="L58" s="158">
        <f>'расчет норматив'!Z23+'ПФХД 2019 с разбивкой  (2)'!L106</f>
        <v>2389277.4415155859</v>
      </c>
      <c r="M58" s="298">
        <f>L58-K58</f>
        <v>0</v>
      </c>
      <c r="N58" s="285">
        <v>1430338.0284844141</v>
      </c>
      <c r="O58" s="285">
        <f>'расчет норматив'!AA23</f>
        <v>1430338.0284844141</v>
      </c>
      <c r="P58" s="367">
        <f>O58-N58</f>
        <v>0</v>
      </c>
      <c r="Q58" s="279">
        <v>297440872.03689462</v>
      </c>
      <c r="R58" s="310">
        <f t="shared" si="47"/>
        <v>297440872.03999996</v>
      </c>
      <c r="S58" s="418">
        <f t="shared" si="48"/>
        <v>3.1053423881530762E-3</v>
      </c>
      <c r="T58" s="528">
        <f>143149690.39</f>
        <v>143149690.38999999</v>
      </c>
      <c r="U58" s="310">
        <v>153500000</v>
      </c>
      <c r="V58" s="63">
        <v>153500000</v>
      </c>
      <c r="W58" s="360">
        <f>V58-U58</f>
        <v>0</v>
      </c>
      <c r="X58" s="382">
        <f>'расчет норматив'!AG23+'расчет норматив'!AH23+'расчет норматив'!AI23</f>
        <v>1506605.9568946266</v>
      </c>
      <c r="Y58" s="63">
        <v>733581.65</v>
      </c>
      <c r="Z58" s="360"/>
      <c r="AA58" s="310">
        <v>57600</v>
      </c>
      <c r="AB58" s="63">
        <v>57600</v>
      </c>
      <c r="AC58" s="360">
        <f>AB58-AA58</f>
        <v>0</v>
      </c>
      <c r="AD58" s="279"/>
      <c r="AE58" s="63"/>
      <c r="AF58" s="360"/>
      <c r="AG58" s="279"/>
      <c r="AH58" s="63"/>
      <c r="AI58" s="360"/>
      <c r="AJ58" s="425"/>
      <c r="AK58" s="395">
        <v>50000</v>
      </c>
      <c r="AL58" s="334">
        <v>19778685.696000002</v>
      </c>
      <c r="AM58" s="347">
        <f t="shared" si="17"/>
        <v>19778685.696000002</v>
      </c>
      <c r="AN58" s="1013">
        <f t="shared" si="5"/>
        <v>0</v>
      </c>
      <c r="AO58" s="338">
        <v>16879285.696000002</v>
      </c>
      <c r="AP58" s="162">
        <f>AL58-AS58-AW58</f>
        <v>18130316.856000002</v>
      </c>
      <c r="AQ58" s="1019">
        <f t="shared" si="40"/>
        <v>1251031.1600000001</v>
      </c>
      <c r="AR58" s="324">
        <v>2899400</v>
      </c>
      <c r="AS58" s="162">
        <v>1259002.3700000001</v>
      </c>
      <c r="AT58" s="339">
        <f>AS58-AR58</f>
        <v>-1640397.63</v>
      </c>
      <c r="AU58" s="540"/>
      <c r="AV58" s="324"/>
      <c r="AW58" s="162">
        <v>389366.47</v>
      </c>
      <c r="AX58" s="339">
        <f>AW58-AV58</f>
        <v>389366.47</v>
      </c>
      <c r="BG58" s="617"/>
      <c r="BH58" s="621">
        <f>AE58-BG58</f>
        <v>0</v>
      </c>
      <c r="BI58" s="617">
        <v>6240714.6699999999</v>
      </c>
      <c r="BJ58" s="621">
        <f t="shared" si="42"/>
        <v>-6240714.6699999999</v>
      </c>
      <c r="BM58" s="629">
        <f t="shared" si="18"/>
        <v>19778685.696000002</v>
      </c>
      <c r="BN58" s="629">
        <f t="shared" si="11"/>
        <v>15301417.92</v>
      </c>
      <c r="BO58" s="533">
        <f t="shared" si="14"/>
        <v>4477267.7760000024</v>
      </c>
      <c r="BP58" s="533">
        <f>BN58</f>
        <v>15301417.92</v>
      </c>
      <c r="BQ58" s="617">
        <f>10892760.59-2332057.34+500000</f>
        <v>9060703.25</v>
      </c>
      <c r="BR58" s="621">
        <f>AO58-BQ58</f>
        <v>7818582.4460000023</v>
      </c>
      <c r="BS58" s="617">
        <v>6240714.6699999999</v>
      </c>
      <c r="BT58" s="621">
        <f t="shared" si="44"/>
        <v>-3341314.67</v>
      </c>
      <c r="BV58" s="117">
        <f>2595807.22+2416357.34</f>
        <v>5012164.5600000005</v>
      </c>
    </row>
    <row r="59" spans="1:74" ht="19.5" customHeight="1" x14ac:dyDescent="0.3">
      <c r="A59" s="1417" t="s">
        <v>184</v>
      </c>
      <c r="B59" s="547"/>
      <c r="C59" s="444">
        <v>243</v>
      </c>
      <c r="D59" s="431">
        <v>0</v>
      </c>
      <c r="E59" s="64">
        <f>H59+R59+AL59+AK59</f>
        <v>0</v>
      </c>
      <c r="F59" s="411">
        <f t="shared" si="1"/>
        <v>0</v>
      </c>
      <c r="G59" s="285"/>
      <c r="H59" s="158"/>
      <c r="I59" s="669">
        <f t="shared" si="16"/>
        <v>0</v>
      </c>
      <c r="J59" s="881"/>
      <c r="K59" s="285"/>
      <c r="L59" s="158"/>
      <c r="M59" s="298"/>
      <c r="N59" s="297"/>
      <c r="O59" s="285"/>
      <c r="P59" s="367"/>
      <c r="Q59" s="279"/>
      <c r="R59" s="310">
        <f t="shared" si="47"/>
        <v>0</v>
      </c>
      <c r="S59" s="418"/>
      <c r="T59" s="528"/>
      <c r="U59" s="310">
        <v>0</v>
      </c>
      <c r="V59" s="63">
        <v>0</v>
      </c>
      <c r="W59" s="360">
        <f t="shared" si="2"/>
        <v>0</v>
      </c>
      <c r="X59" s="382">
        <v>0</v>
      </c>
      <c r="Y59" s="63">
        <f t="shared" si="39"/>
        <v>0</v>
      </c>
      <c r="Z59" s="360">
        <f>X59-W59</f>
        <v>0</v>
      </c>
      <c r="AA59" s="310"/>
      <c r="AB59" s="63"/>
      <c r="AC59" s="360"/>
      <c r="AD59" s="279"/>
      <c r="AE59" s="63"/>
      <c r="AF59" s="360"/>
      <c r="AG59" s="279"/>
      <c r="AH59" s="63"/>
      <c r="AI59" s="360"/>
      <c r="AJ59" s="425">
        <v>0</v>
      </c>
      <c r="AK59" s="395">
        <v>0</v>
      </c>
      <c r="AL59" s="338">
        <v>0</v>
      </c>
      <c r="AM59" s="347">
        <f t="shared" si="17"/>
        <v>0</v>
      </c>
      <c r="AN59" s="1013">
        <f t="shared" si="5"/>
        <v>0</v>
      </c>
      <c r="AO59" s="338"/>
      <c r="AP59" s="162"/>
      <c r="AQ59" s="1019">
        <f t="shared" si="40"/>
        <v>0</v>
      </c>
      <c r="AR59" s="324"/>
      <c r="AS59" s="162"/>
      <c r="AT59" s="339"/>
      <c r="AU59" s="540">
        <v>0</v>
      </c>
      <c r="AV59" s="324"/>
      <c r="AW59" s="162"/>
      <c r="AX59" s="339"/>
      <c r="BG59" s="617"/>
      <c r="BH59" s="621">
        <f>AF59-BG59</f>
        <v>0</v>
      </c>
      <c r="BI59" s="617"/>
      <c r="BJ59" s="621">
        <f t="shared" si="42"/>
        <v>0</v>
      </c>
      <c r="BM59" s="629">
        <f t="shared" si="18"/>
        <v>0</v>
      </c>
      <c r="BN59" s="629">
        <f t="shared" si="11"/>
        <v>0</v>
      </c>
      <c r="BO59" s="533">
        <f t="shared" si="14"/>
        <v>0</v>
      </c>
      <c r="BP59" s="533"/>
      <c r="BQ59" s="617"/>
      <c r="BR59" s="621">
        <f>AP59-BQ59</f>
        <v>0</v>
      </c>
      <c r="BS59" s="617"/>
      <c r="BT59" s="621">
        <f t="shared" si="44"/>
        <v>0</v>
      </c>
    </row>
    <row r="60" spans="1:74" ht="16.5" customHeight="1" x14ac:dyDescent="0.3">
      <c r="A60" s="1419"/>
      <c r="B60" s="548"/>
      <c r="C60" s="444">
        <v>244</v>
      </c>
      <c r="D60" s="431">
        <v>1034</v>
      </c>
      <c r="E60" s="64">
        <f>H60+R60+AM60+AK60</f>
        <v>1034</v>
      </c>
      <c r="F60" s="411">
        <f t="shared" si="1"/>
        <v>0</v>
      </c>
      <c r="G60" s="285">
        <v>1034</v>
      </c>
      <c r="H60" s="158">
        <f>J60+L60+O60</f>
        <v>1034</v>
      </c>
      <c r="I60" s="669">
        <f t="shared" si="16"/>
        <v>0</v>
      </c>
      <c r="J60" s="881">
        <f>SUM(J61:J65)</f>
        <v>0</v>
      </c>
      <c r="K60" s="285">
        <v>1034</v>
      </c>
      <c r="L60" s="158">
        <f>L107</f>
        <v>1034</v>
      </c>
      <c r="M60" s="298">
        <f>L60-K60</f>
        <v>0</v>
      </c>
      <c r="N60" s="297"/>
      <c r="O60" s="285"/>
      <c r="P60" s="367">
        <f>O60-N60</f>
        <v>0</v>
      </c>
      <c r="Q60" s="279"/>
      <c r="R60" s="310">
        <f t="shared" si="47"/>
        <v>0</v>
      </c>
      <c r="S60" s="418">
        <f>R60-Q60</f>
        <v>0</v>
      </c>
      <c r="T60" s="528"/>
      <c r="U60" s="310"/>
      <c r="V60" s="63"/>
      <c r="W60" s="360">
        <f t="shared" si="2"/>
        <v>0</v>
      </c>
      <c r="X60" s="382"/>
      <c r="Y60" s="63">
        <f t="shared" si="39"/>
        <v>0</v>
      </c>
      <c r="Z60" s="360">
        <f>X60-W60</f>
        <v>0</v>
      </c>
      <c r="AA60" s="310"/>
      <c r="AB60" s="63"/>
      <c r="AC60" s="360">
        <f>AB60-AA60</f>
        <v>0</v>
      </c>
      <c r="AD60" s="279"/>
      <c r="AE60" s="63"/>
      <c r="AF60" s="360"/>
      <c r="AG60" s="279"/>
      <c r="AH60" s="63"/>
      <c r="AI60" s="360"/>
      <c r="AJ60" s="425">
        <f t="shared" ref="AJ60:AU60" si="49">SUM(AJ61:AJ65)</f>
        <v>0</v>
      </c>
      <c r="AK60" s="395">
        <f t="shared" si="49"/>
        <v>0</v>
      </c>
      <c r="AL60" s="338">
        <v>0</v>
      </c>
      <c r="AM60" s="347">
        <f t="shared" si="17"/>
        <v>0</v>
      </c>
      <c r="AN60" s="1013">
        <f t="shared" si="5"/>
        <v>0</v>
      </c>
      <c r="AO60" s="338"/>
      <c r="AP60" s="324"/>
      <c r="AQ60" s="1019"/>
      <c r="AR60" s="324"/>
      <c r="AS60" s="162"/>
      <c r="AT60" s="339">
        <f>AS60-AR60</f>
        <v>0</v>
      </c>
      <c r="AU60" s="540">
        <f t="shared" si="49"/>
        <v>0</v>
      </c>
      <c r="AV60" s="324"/>
      <c r="AW60" s="162"/>
      <c r="AX60" s="339">
        <f>AW60-AV60</f>
        <v>0</v>
      </c>
      <c r="AZ60" s="121" t="s">
        <v>237</v>
      </c>
      <c r="BA60" s="121" t="s">
        <v>197</v>
      </c>
      <c r="BB60" s="121" t="s">
        <v>197</v>
      </c>
      <c r="BC60" s="121"/>
      <c r="BD60" s="121"/>
      <c r="BE60" s="121"/>
      <c r="BF60" s="121"/>
      <c r="BG60" s="617"/>
      <c r="BH60" s="621">
        <f>AF60-BG60</f>
        <v>0</v>
      </c>
      <c r="BI60" s="617">
        <v>25587.66</v>
      </c>
      <c r="BJ60" s="621">
        <f t="shared" si="42"/>
        <v>-25587.66</v>
      </c>
      <c r="BK60" s="121"/>
      <c r="BL60" s="121"/>
      <c r="BM60" s="629">
        <f t="shared" si="18"/>
        <v>0</v>
      </c>
      <c r="BN60" s="629">
        <f t="shared" si="11"/>
        <v>25587.66</v>
      </c>
      <c r="BO60" s="533">
        <f t="shared" si="14"/>
        <v>-25587.66</v>
      </c>
      <c r="BP60" s="533">
        <f>BN60</f>
        <v>25587.66</v>
      </c>
      <c r="BQ60" s="617"/>
      <c r="BR60" s="621">
        <f>AP60-BQ60</f>
        <v>0</v>
      </c>
      <c r="BS60" s="617">
        <v>25587.66</v>
      </c>
      <c r="BT60" s="621">
        <f t="shared" si="44"/>
        <v>-25587.66</v>
      </c>
    </row>
    <row r="61" spans="1:74" x14ac:dyDescent="0.3">
      <c r="A61" s="1420" t="s">
        <v>185</v>
      </c>
      <c r="B61" s="1422"/>
      <c r="C61" s="1054">
        <v>243</v>
      </c>
      <c r="D61" s="431">
        <v>860103.18000000715</v>
      </c>
      <c r="E61" s="64">
        <f>H61+R61+AL61+AK61</f>
        <v>860103.18</v>
      </c>
      <c r="F61" s="411">
        <f t="shared" si="1"/>
        <v>-7.1013346314430237E-9</v>
      </c>
      <c r="G61" s="285"/>
      <c r="H61" s="158"/>
      <c r="I61" s="669">
        <f t="shared" si="16"/>
        <v>0</v>
      </c>
      <c r="J61" s="881"/>
      <c r="K61" s="285"/>
      <c r="L61" s="158"/>
      <c r="M61" s="298"/>
      <c r="N61" s="297"/>
      <c r="O61" s="285"/>
      <c r="P61" s="367"/>
      <c r="Q61" s="279">
        <v>860103.18000000715</v>
      </c>
      <c r="R61" s="310">
        <f t="shared" si="47"/>
        <v>860103.18</v>
      </c>
      <c r="S61" s="418">
        <f>R61-Q61</f>
        <v>-7.1013346314430237E-9</v>
      </c>
      <c r="T61" s="528">
        <f>R103</f>
        <v>860103.18</v>
      </c>
      <c r="U61" s="310"/>
      <c r="V61" s="63"/>
      <c r="W61" s="360">
        <f t="shared" si="2"/>
        <v>0</v>
      </c>
      <c r="X61" s="382"/>
      <c r="Y61" s="63">
        <f t="shared" si="39"/>
        <v>0</v>
      </c>
      <c r="Z61" s="360">
        <f>X61-W61</f>
        <v>0</v>
      </c>
      <c r="AA61" s="310"/>
      <c r="AB61" s="63"/>
      <c r="AC61" s="360"/>
      <c r="AD61" s="279"/>
      <c r="AE61" s="63"/>
      <c r="AF61" s="360"/>
      <c r="AG61" s="279"/>
      <c r="AH61" s="63"/>
      <c r="AI61" s="360"/>
      <c r="AJ61" s="425"/>
      <c r="AK61" s="395"/>
      <c r="AL61" s="334">
        <v>0</v>
      </c>
      <c r="AM61" s="347">
        <f t="shared" si="17"/>
        <v>0</v>
      </c>
      <c r="AN61" s="1013">
        <f t="shared" si="5"/>
        <v>0</v>
      </c>
      <c r="AO61" s="338"/>
      <c r="AP61" s="162"/>
      <c r="AQ61" s="1019">
        <f t="shared" si="40"/>
        <v>0</v>
      </c>
      <c r="AR61" s="324"/>
      <c r="AS61" s="162"/>
      <c r="AT61" s="339"/>
      <c r="AU61" s="540"/>
      <c r="AV61" s="324"/>
      <c r="AW61" s="162"/>
      <c r="AX61" s="339"/>
      <c r="AZ61" s="118"/>
      <c r="BA61" s="146">
        <v>2621361</v>
      </c>
      <c r="BB61" s="611"/>
      <c r="BC61" s="636"/>
      <c r="BD61" s="636"/>
      <c r="BE61" s="636"/>
      <c r="BF61" s="636"/>
      <c r="BG61" s="617"/>
      <c r="BH61" s="621">
        <f>AF61-BG61</f>
        <v>0</v>
      </c>
      <c r="BI61" s="617"/>
      <c r="BJ61" s="621">
        <f>AH61-BI61</f>
        <v>0</v>
      </c>
      <c r="BK61" s="636"/>
      <c r="BL61" s="636"/>
      <c r="BM61" s="629">
        <f t="shared" si="18"/>
        <v>0</v>
      </c>
      <c r="BN61" s="629">
        <f t="shared" si="11"/>
        <v>0</v>
      </c>
      <c r="BO61" s="533">
        <f t="shared" si="14"/>
        <v>0</v>
      </c>
      <c r="BP61" s="533"/>
      <c r="BQ61" s="617"/>
      <c r="BR61" s="621">
        <f>AP61-BQ61</f>
        <v>0</v>
      </c>
      <c r="BS61" s="617"/>
      <c r="BT61" s="621">
        <f>AR61-BS61</f>
        <v>0</v>
      </c>
    </row>
    <row r="62" spans="1:74" x14ac:dyDescent="0.3">
      <c r="A62" s="1421"/>
      <c r="B62" s="1423"/>
      <c r="C62" s="1054">
        <v>244</v>
      </c>
      <c r="D62" s="431">
        <v>229839778.43852258</v>
      </c>
      <c r="E62" s="64">
        <f>H62+R62+AM62+AK62</f>
        <v>230776734.66999999</v>
      </c>
      <c r="F62" s="411">
        <f t="shared" si="1"/>
        <v>936956.2314774096</v>
      </c>
      <c r="G62" s="285">
        <v>2019992.7</v>
      </c>
      <c r="H62" s="158">
        <f>J62+L62+O62</f>
        <v>2019992.7</v>
      </c>
      <c r="I62" s="669">
        <f t="shared" si="16"/>
        <v>0</v>
      </c>
      <c r="J62" s="881"/>
      <c r="K62" s="285">
        <v>1247751.5445001791</v>
      </c>
      <c r="L62" s="158">
        <f>'расчет норматив'!Z26+'ПФХД 2019 с разбивкой  (2)'!L108</f>
        <v>1247751.5445001791</v>
      </c>
      <c r="M62" s="298">
        <f>L62-K62</f>
        <v>0</v>
      </c>
      <c r="N62" s="367">
        <v>772241.15549982083</v>
      </c>
      <c r="O62" s="158">
        <f>'расчет норматив'!AA26</f>
        <v>772241.15549982083</v>
      </c>
      <c r="P62" s="367">
        <f>O62-N62</f>
        <v>0</v>
      </c>
      <c r="Q62" s="279">
        <v>227074261.3185226</v>
      </c>
      <c r="R62" s="310">
        <f>T62+V62+Y62+AB62+AE62+AH62</f>
        <v>226004857.31999999</v>
      </c>
      <c r="S62" s="418">
        <f>R62-Q62</f>
        <v>-1069403.9985226095</v>
      </c>
      <c r="T62" s="528">
        <f>88525993.1-1033200-36204</f>
        <v>87456589.099999994</v>
      </c>
      <c r="U62" s="310">
        <v>138442000</v>
      </c>
      <c r="V62" s="63">
        <v>138442000</v>
      </c>
      <c r="W62" s="360">
        <f t="shared" si="2"/>
        <v>0</v>
      </c>
      <c r="X62" s="382">
        <f>'расчет норматив'!AG26+'расчет норматив'!AH26+'расчет норматив'!AI26</f>
        <v>108580.21852258001</v>
      </c>
      <c r="Y62" s="63">
        <v>106268.22</v>
      </c>
      <c r="Z62" s="360"/>
      <c r="AA62" s="310"/>
      <c r="AB62" s="63"/>
      <c r="AC62" s="360"/>
      <c r="AD62" s="279"/>
      <c r="AE62" s="63"/>
      <c r="AF62" s="360"/>
      <c r="AG62" s="279"/>
      <c r="AH62" s="63"/>
      <c r="AI62" s="360"/>
      <c r="AJ62" s="425"/>
      <c r="AK62" s="395"/>
      <c r="AL62" s="334">
        <v>745524.42</v>
      </c>
      <c r="AM62" s="347">
        <f t="shared" si="17"/>
        <v>2751884.65</v>
      </c>
      <c r="AN62" s="1013">
        <f t="shared" si="5"/>
        <v>2006360.23</v>
      </c>
      <c r="AO62" s="338">
        <v>607649</v>
      </c>
      <c r="AP62" s="162">
        <v>2000000</v>
      </c>
      <c r="AQ62" s="1019">
        <f t="shared" si="40"/>
        <v>1392351</v>
      </c>
      <c r="AR62" s="324">
        <v>137875.42000000001</v>
      </c>
      <c r="AS62" s="162">
        <v>541665.35</v>
      </c>
      <c r="AT62" s="339">
        <f>AS62-AR62</f>
        <v>403789.92999999993</v>
      </c>
      <c r="AU62" s="540"/>
      <c r="AV62" s="324"/>
      <c r="AW62" s="162">
        <v>210219.3</v>
      </c>
      <c r="AX62" s="339">
        <f>AW62-AV62</f>
        <v>210219.3</v>
      </c>
      <c r="AZ62" s="111"/>
      <c r="BA62" s="111">
        <v>487564.3</v>
      </c>
      <c r="BG62" s="617"/>
      <c r="BH62" s="621">
        <f>AE62-BG62</f>
        <v>0</v>
      </c>
      <c r="BI62" s="617">
        <v>2174384</v>
      </c>
      <c r="BJ62" s="621">
        <f t="shared" ref="BJ62:BJ65" si="50">AH62-BI62</f>
        <v>-2174384</v>
      </c>
      <c r="BM62" s="629">
        <f t="shared" si="18"/>
        <v>745524.42</v>
      </c>
      <c r="BN62" s="629">
        <f t="shared" si="11"/>
        <v>3971652.4699999997</v>
      </c>
      <c r="BO62" s="533">
        <f t="shared" si="14"/>
        <v>-3226128.05</v>
      </c>
      <c r="BP62" s="533">
        <f>BM62</f>
        <v>745524.42</v>
      </c>
      <c r="BQ62" s="617">
        <f>1878568.47-81300</f>
        <v>1797268.47</v>
      </c>
      <c r="BR62" s="621">
        <f>AO62-BQ62</f>
        <v>-1189619.47</v>
      </c>
      <c r="BS62" s="617">
        <v>2174384</v>
      </c>
      <c r="BT62" s="621">
        <f t="shared" si="44"/>
        <v>-2036508.58</v>
      </c>
    </row>
    <row r="63" spans="1:74" ht="31.5" x14ac:dyDescent="0.3">
      <c r="A63" s="437" t="s">
        <v>186</v>
      </c>
      <c r="B63" s="1052"/>
      <c r="C63" s="1054">
        <v>244</v>
      </c>
      <c r="D63" s="431">
        <v>0</v>
      </c>
      <c r="E63" s="59">
        <f>H63+R63+AL63+AK63</f>
        <v>0</v>
      </c>
      <c r="F63" s="411">
        <f t="shared" si="1"/>
        <v>0</v>
      </c>
      <c r="G63" s="285"/>
      <c r="H63" s="158"/>
      <c r="I63" s="669">
        <f t="shared" si="16"/>
        <v>0</v>
      </c>
      <c r="J63" s="881"/>
      <c r="K63" s="285"/>
      <c r="L63" s="158"/>
      <c r="M63" s="298"/>
      <c r="N63" s="367"/>
      <c r="O63" s="158"/>
      <c r="P63" s="367"/>
      <c r="Q63" s="279"/>
      <c r="R63" s="310">
        <f t="shared" si="47"/>
        <v>0</v>
      </c>
      <c r="S63" s="418"/>
      <c r="T63" s="528"/>
      <c r="U63" s="310"/>
      <c r="V63" s="63"/>
      <c r="W63" s="360">
        <f t="shared" si="2"/>
        <v>0</v>
      </c>
      <c r="X63" s="382"/>
      <c r="Y63" s="63">
        <f t="shared" si="39"/>
        <v>0</v>
      </c>
      <c r="Z63" s="360">
        <f>X63-W63</f>
        <v>0</v>
      </c>
      <c r="AA63" s="310"/>
      <c r="AB63" s="63"/>
      <c r="AC63" s="360"/>
      <c r="AD63" s="279"/>
      <c r="AE63" s="63"/>
      <c r="AF63" s="360"/>
      <c r="AG63" s="279"/>
      <c r="AH63" s="63"/>
      <c r="AI63" s="360"/>
      <c r="AJ63" s="425"/>
      <c r="AK63" s="395"/>
      <c r="AL63" s="334">
        <v>0</v>
      </c>
      <c r="AM63" s="347">
        <f t="shared" si="17"/>
        <v>0</v>
      </c>
      <c r="AN63" s="1013">
        <f t="shared" si="5"/>
        <v>0</v>
      </c>
      <c r="AO63" s="338"/>
      <c r="AP63" s="162"/>
      <c r="AQ63" s="1019">
        <f t="shared" si="40"/>
        <v>0</v>
      </c>
      <c r="AR63" s="324"/>
      <c r="AS63" s="162"/>
      <c r="AT63" s="339"/>
      <c r="AU63" s="540"/>
      <c r="AV63" s="324"/>
      <c r="AW63" s="162"/>
      <c r="AX63" s="339"/>
      <c r="AZ63" s="121" t="s">
        <v>237</v>
      </c>
      <c r="BA63" s="121" t="s">
        <v>197</v>
      </c>
      <c r="BG63" s="617"/>
      <c r="BH63" s="621">
        <f>AF63-BG63</f>
        <v>0</v>
      </c>
      <c r="BI63" s="617"/>
      <c r="BJ63" s="621">
        <f t="shared" si="50"/>
        <v>0</v>
      </c>
      <c r="BM63" s="629">
        <f t="shared" si="18"/>
        <v>0</v>
      </c>
      <c r="BN63" s="629">
        <f t="shared" si="11"/>
        <v>0</v>
      </c>
      <c r="BO63" s="533">
        <f t="shared" si="14"/>
        <v>0</v>
      </c>
      <c r="BP63" s="533"/>
      <c r="BQ63" s="617"/>
      <c r="BR63" s="621">
        <f>AP63-BQ63</f>
        <v>0</v>
      </c>
      <c r="BS63" s="617"/>
      <c r="BT63" s="621">
        <f t="shared" si="44"/>
        <v>0</v>
      </c>
    </row>
    <row r="64" spans="1:74" x14ac:dyDescent="0.3">
      <c r="A64" s="1420" t="s">
        <v>187</v>
      </c>
      <c r="B64" s="1424"/>
      <c r="C64" s="1054">
        <v>243</v>
      </c>
      <c r="D64" s="431">
        <v>0</v>
      </c>
      <c r="E64" s="59">
        <f>H64+R64+AL64+AK64</f>
        <v>0</v>
      </c>
      <c r="F64" s="411">
        <f t="shared" si="1"/>
        <v>0</v>
      </c>
      <c r="G64" s="285"/>
      <c r="H64" s="158"/>
      <c r="I64" s="669">
        <f t="shared" si="16"/>
        <v>0</v>
      </c>
      <c r="J64" s="881"/>
      <c r="K64" s="285"/>
      <c r="L64" s="158"/>
      <c r="M64" s="298"/>
      <c r="N64" s="367"/>
      <c r="O64" s="158"/>
      <c r="P64" s="367"/>
      <c r="Q64" s="279"/>
      <c r="R64" s="310">
        <f t="shared" si="47"/>
        <v>0</v>
      </c>
      <c r="S64" s="418"/>
      <c r="T64" s="528"/>
      <c r="U64" s="310"/>
      <c r="V64" s="63"/>
      <c r="W64" s="360">
        <f t="shared" si="2"/>
        <v>0</v>
      </c>
      <c r="X64" s="382"/>
      <c r="Y64" s="63">
        <f t="shared" si="39"/>
        <v>0</v>
      </c>
      <c r="Z64" s="360">
        <f>X64-W64</f>
        <v>0</v>
      </c>
      <c r="AA64" s="310"/>
      <c r="AB64" s="63"/>
      <c r="AC64" s="360"/>
      <c r="AD64" s="279"/>
      <c r="AE64" s="63"/>
      <c r="AF64" s="360"/>
      <c r="AG64" s="279"/>
      <c r="AH64" s="63"/>
      <c r="AI64" s="360"/>
      <c r="AJ64" s="425"/>
      <c r="AK64" s="395"/>
      <c r="AL64" s="334">
        <v>0</v>
      </c>
      <c r="AM64" s="347">
        <f t="shared" si="17"/>
        <v>0</v>
      </c>
      <c r="AN64" s="1013">
        <f t="shared" si="5"/>
        <v>0</v>
      </c>
      <c r="AO64" s="338"/>
      <c r="AP64" s="162"/>
      <c r="AQ64" s="1019">
        <f t="shared" si="40"/>
        <v>0</v>
      </c>
      <c r="AR64" s="324"/>
      <c r="AS64" s="162"/>
      <c r="AT64" s="339"/>
      <c r="AU64" s="540"/>
      <c r="AV64" s="324"/>
      <c r="AW64" s="162"/>
      <c r="AX64" s="339"/>
      <c r="AZ64" s="118"/>
      <c r="BA64" s="146">
        <v>-260231.34</v>
      </c>
      <c r="BG64" s="617"/>
      <c r="BH64" s="621">
        <f>AF64-BG64</f>
        <v>0</v>
      </c>
      <c r="BI64" s="617"/>
      <c r="BJ64" s="621">
        <f t="shared" si="50"/>
        <v>0</v>
      </c>
      <c r="BM64" s="629">
        <f t="shared" si="18"/>
        <v>0</v>
      </c>
      <c r="BN64" s="629">
        <f t="shared" si="11"/>
        <v>0</v>
      </c>
      <c r="BO64" s="533">
        <f t="shared" si="14"/>
        <v>0</v>
      </c>
      <c r="BP64" s="533"/>
      <c r="BQ64" s="617"/>
      <c r="BR64" s="621">
        <f>AP64-BQ64</f>
        <v>0</v>
      </c>
      <c r="BS64" s="617"/>
      <c r="BT64" s="621">
        <f t="shared" si="44"/>
        <v>0</v>
      </c>
    </row>
    <row r="65" spans="1:72" x14ac:dyDescent="0.3">
      <c r="A65" s="1421"/>
      <c r="B65" s="1423"/>
      <c r="C65" s="1054">
        <v>244</v>
      </c>
      <c r="D65" s="431">
        <v>154214329.18110299</v>
      </c>
      <c r="E65" s="64">
        <f>H65+R65+AM65+AK65</f>
        <v>150393593.87</v>
      </c>
      <c r="F65" s="411">
        <f t="shared" si="1"/>
        <v>-3820735.3111029863</v>
      </c>
      <c r="G65" s="285">
        <v>22183509.009999998</v>
      </c>
      <c r="H65" s="158">
        <f>J65+L65+O65</f>
        <v>22183509.009999998</v>
      </c>
      <c r="I65" s="669">
        <f t="shared" si="16"/>
        <v>0</v>
      </c>
      <c r="J65" s="881"/>
      <c r="K65" s="285">
        <v>13818675.923932537</v>
      </c>
      <c r="L65" s="158">
        <f>'расчет норматив'!Z27+'ПФХД 2019 с разбивкой  (2)'!L109</f>
        <v>13818675.923932537</v>
      </c>
      <c r="M65" s="298">
        <f>L65-K65</f>
        <v>0</v>
      </c>
      <c r="N65" s="367">
        <v>8364833.0860674623</v>
      </c>
      <c r="O65" s="158">
        <f>'расчет норматив'!AA27</f>
        <v>8364833.0860674623</v>
      </c>
      <c r="P65" s="367">
        <f>O65-N65</f>
        <v>0</v>
      </c>
      <c r="Q65" s="279">
        <v>36307883.637102984</v>
      </c>
      <c r="R65" s="310">
        <f t="shared" si="47"/>
        <v>34763856.480000004</v>
      </c>
      <c r="S65" s="418">
        <f>R65-Q65</f>
        <v>-1544027.1571029797</v>
      </c>
      <c r="T65" s="528">
        <f>7077043.25-1435000-109027.16</f>
        <v>5533016.0899999999</v>
      </c>
      <c r="U65" s="310">
        <v>20000000</v>
      </c>
      <c r="V65" s="63">
        <v>20000000</v>
      </c>
      <c r="W65" s="360">
        <f t="shared" si="2"/>
        <v>0</v>
      </c>
      <c r="X65" s="382">
        <f>'расчет норматив'!AG27+'расчет норматив'!AH27+'расчет норматив'!AI27</f>
        <v>7035399.9871029798</v>
      </c>
      <c r="Y65" s="63">
        <v>6369566.2599999998</v>
      </c>
      <c r="Z65" s="360"/>
      <c r="AA65" s="310">
        <v>2861274.13</v>
      </c>
      <c r="AB65" s="63">
        <v>2861274.13</v>
      </c>
      <c r="AC65" s="360">
        <f>AB65-AA65</f>
        <v>0</v>
      </c>
      <c r="AD65" s="279"/>
      <c r="AE65" s="63"/>
      <c r="AF65" s="360"/>
      <c r="AG65" s="279"/>
      <c r="AH65" s="63"/>
      <c r="AI65" s="360"/>
      <c r="AJ65" s="425"/>
      <c r="AK65" s="395"/>
      <c r="AL65" s="334">
        <v>95722936.533999994</v>
      </c>
      <c r="AM65" s="347">
        <f t="shared" si="17"/>
        <v>93446228.38000001</v>
      </c>
      <c r="AN65" s="1013">
        <f t="shared" si="5"/>
        <v>-2276708.1539999843</v>
      </c>
      <c r="AO65" s="338">
        <v>72017548.733999997</v>
      </c>
      <c r="AP65" s="162">
        <v>76818434.900000006</v>
      </c>
      <c r="AQ65" s="1019">
        <f t="shared" si="40"/>
        <v>4800886.1660000086</v>
      </c>
      <c r="AR65" s="324">
        <f>23705387.8</f>
        <v>23705387.800000001</v>
      </c>
      <c r="AS65" s="162">
        <v>14350719.92</v>
      </c>
      <c r="AT65" s="339">
        <f>AS65-AR65</f>
        <v>-9354667.8800000008</v>
      </c>
      <c r="AU65" s="540"/>
      <c r="AV65" s="324"/>
      <c r="AW65" s="162">
        <v>2277073.56</v>
      </c>
      <c r="AX65" s="339">
        <f>AW65-AV65</f>
        <v>2277073.56</v>
      </c>
      <c r="AZ65" s="111">
        <v>74638998.689999998</v>
      </c>
      <c r="BA65" s="111">
        <v>25190635.949999999</v>
      </c>
      <c r="BG65" s="617"/>
      <c r="BH65" s="621">
        <f>AE65-BG65</f>
        <v>0</v>
      </c>
      <c r="BI65" s="617">
        <v>14782649</v>
      </c>
      <c r="BJ65" s="621">
        <f t="shared" si="50"/>
        <v>-14782649</v>
      </c>
      <c r="BM65" s="629">
        <f t="shared" si="18"/>
        <v>95722936.533999994</v>
      </c>
      <c r="BN65" s="629">
        <f t="shared" si="11"/>
        <v>81371069.319999993</v>
      </c>
      <c r="BO65" s="533">
        <f t="shared" si="14"/>
        <v>14351867.214000002</v>
      </c>
      <c r="BP65" s="533">
        <f>BN65</f>
        <v>81371069.319999993</v>
      </c>
      <c r="BQ65" s="617">
        <f>64959183.81-3000+1195603.28+500000-63366.77</f>
        <v>66588420.32</v>
      </c>
      <c r="BR65" s="621">
        <f>AO65-BQ65</f>
        <v>5429128.4139999971</v>
      </c>
      <c r="BS65" s="617">
        <v>14782649</v>
      </c>
      <c r="BT65" s="621">
        <f t="shared" si="44"/>
        <v>8922738.8000000007</v>
      </c>
    </row>
    <row r="66" spans="1:72" s="115" customFormat="1" ht="21.75" customHeight="1" x14ac:dyDescent="0.3">
      <c r="A66" s="435" t="s">
        <v>188</v>
      </c>
      <c r="B66" s="1053">
        <v>300</v>
      </c>
      <c r="C66" s="436" t="s">
        <v>149</v>
      </c>
      <c r="D66" s="430">
        <v>0</v>
      </c>
      <c r="E66" s="59">
        <f t="shared" ref="E66:E73" si="51">H66+R66+AL66+AK66</f>
        <v>0</v>
      </c>
      <c r="F66" s="411">
        <f t="shared" si="1"/>
        <v>0</v>
      </c>
      <c r="G66" s="283"/>
      <c r="H66" s="157"/>
      <c r="I66" s="669">
        <f t="shared" si="16"/>
        <v>0</v>
      </c>
      <c r="J66" s="882"/>
      <c r="K66" s="283"/>
      <c r="L66" s="157"/>
      <c r="M66" s="294"/>
      <c r="N66" s="521"/>
      <c r="O66" s="157"/>
      <c r="P66" s="365"/>
      <c r="Q66" s="276"/>
      <c r="R66" s="307"/>
      <c r="S66" s="415"/>
      <c r="T66" s="525"/>
      <c r="U66" s="307">
        <v>0</v>
      </c>
      <c r="V66" s="153">
        <v>0</v>
      </c>
      <c r="W66" s="357">
        <f t="shared" si="2"/>
        <v>0</v>
      </c>
      <c r="X66" s="379">
        <v>0</v>
      </c>
      <c r="Y66" s="153">
        <f t="shared" ref="Y66:Y73" si="52">X66-W66</f>
        <v>0</v>
      </c>
      <c r="Z66" s="357">
        <f t="shared" ref="Z66:Z73" si="53">X66-W66</f>
        <v>0</v>
      </c>
      <c r="AA66" s="307"/>
      <c r="AB66" s="153"/>
      <c r="AC66" s="357"/>
      <c r="AD66" s="276"/>
      <c r="AE66" s="153"/>
      <c r="AF66" s="357"/>
      <c r="AG66" s="276"/>
      <c r="AH66" s="153"/>
      <c r="AI66" s="357"/>
      <c r="AJ66" s="422">
        <f>AJ68+AJ69</f>
        <v>0</v>
      </c>
      <c r="AK66" s="396">
        <f>SUM(AK68:AK69)</f>
        <v>0</v>
      </c>
      <c r="AL66" s="334">
        <v>0</v>
      </c>
      <c r="AM66" s="347">
        <f t="shared" si="17"/>
        <v>0</v>
      </c>
      <c r="AN66" s="1013">
        <f t="shared" si="5"/>
        <v>0</v>
      </c>
      <c r="AO66" s="334"/>
      <c r="AP66" s="161"/>
      <c r="AQ66" s="1019">
        <f t="shared" si="40"/>
        <v>0</v>
      </c>
      <c r="AR66" s="323"/>
      <c r="AS66" s="161"/>
      <c r="AT66" s="335"/>
      <c r="AU66" s="539">
        <f>SUM(AU68:AU69)</f>
        <v>0</v>
      </c>
      <c r="AV66" s="323"/>
      <c r="AW66" s="161"/>
      <c r="AX66" s="335"/>
      <c r="BG66" s="617"/>
      <c r="BH66" s="621">
        <f t="shared" ref="BH66:BH73" si="54">AF66-BG66</f>
        <v>0</v>
      </c>
      <c r="BI66" s="617"/>
      <c r="BJ66" s="621">
        <f>AH66-BI66</f>
        <v>0</v>
      </c>
      <c r="BM66" s="628">
        <f t="shared" si="18"/>
        <v>0</v>
      </c>
      <c r="BN66" s="628">
        <f t="shared" si="11"/>
        <v>0</v>
      </c>
      <c r="BO66" s="535">
        <f t="shared" si="14"/>
        <v>0</v>
      </c>
      <c r="BP66" s="533"/>
      <c r="BQ66" s="617"/>
      <c r="BR66" s="621">
        <f t="shared" ref="BR66:BR73" si="55">AP66-BQ66</f>
        <v>0</v>
      </c>
      <c r="BS66" s="617"/>
      <c r="BT66" s="621">
        <f>AR66-BS66</f>
        <v>0</v>
      </c>
    </row>
    <row r="67" spans="1:72" x14ac:dyDescent="0.3">
      <c r="A67" s="437" t="s">
        <v>92</v>
      </c>
      <c r="B67" s="133"/>
      <c r="C67" s="438"/>
      <c r="D67" s="431">
        <v>0</v>
      </c>
      <c r="E67" s="59">
        <f t="shared" si="51"/>
        <v>0</v>
      </c>
      <c r="F67" s="410">
        <f t="shared" si="1"/>
        <v>0</v>
      </c>
      <c r="G67" s="285"/>
      <c r="H67" s="158"/>
      <c r="I67" s="669">
        <f t="shared" si="16"/>
        <v>0</v>
      </c>
      <c r="J67" s="881"/>
      <c r="K67" s="285"/>
      <c r="L67" s="158"/>
      <c r="M67" s="298"/>
      <c r="N67" s="297"/>
      <c r="O67" s="285"/>
      <c r="P67" s="367"/>
      <c r="Q67" s="279"/>
      <c r="R67" s="310"/>
      <c r="S67" s="418"/>
      <c r="T67" s="528"/>
      <c r="U67" s="310"/>
      <c r="V67" s="63"/>
      <c r="W67" s="357">
        <f t="shared" si="2"/>
        <v>0</v>
      </c>
      <c r="X67" s="382"/>
      <c r="Y67" s="153">
        <f t="shared" si="52"/>
        <v>0</v>
      </c>
      <c r="Z67" s="357">
        <f t="shared" si="53"/>
        <v>0</v>
      </c>
      <c r="AA67" s="310"/>
      <c r="AB67" s="63"/>
      <c r="AC67" s="360"/>
      <c r="AD67" s="279"/>
      <c r="AE67" s="63"/>
      <c r="AF67" s="360"/>
      <c r="AG67" s="279"/>
      <c r="AH67" s="63"/>
      <c r="AI67" s="360"/>
      <c r="AJ67" s="425"/>
      <c r="AK67" s="395"/>
      <c r="AL67" s="334">
        <v>0</v>
      </c>
      <c r="AM67" s="347">
        <f t="shared" si="17"/>
        <v>0</v>
      </c>
      <c r="AN67" s="1013">
        <f t="shared" si="5"/>
        <v>0</v>
      </c>
      <c r="AO67" s="338"/>
      <c r="AP67" s="162"/>
      <c r="AQ67" s="1019"/>
      <c r="AR67" s="324"/>
      <c r="AS67" s="162"/>
      <c r="AT67" s="339"/>
      <c r="AU67" s="540"/>
      <c r="AV67" s="324"/>
      <c r="AW67" s="162"/>
      <c r="AX67" s="339"/>
      <c r="BG67" s="617"/>
      <c r="BH67" s="621">
        <f t="shared" si="54"/>
        <v>0</v>
      </c>
      <c r="BI67" s="617"/>
      <c r="BJ67" s="621">
        <f t="shared" ref="BJ67:BJ74" si="56">AH67-BI67</f>
        <v>0</v>
      </c>
      <c r="BM67" s="628">
        <f t="shared" si="18"/>
        <v>0</v>
      </c>
      <c r="BN67" s="628">
        <f t="shared" si="11"/>
        <v>0</v>
      </c>
      <c r="BO67" s="535">
        <f t="shared" si="14"/>
        <v>0</v>
      </c>
      <c r="BP67" s="533"/>
      <c r="BQ67" s="617"/>
      <c r="BR67" s="621">
        <f t="shared" si="55"/>
        <v>0</v>
      </c>
      <c r="BS67" s="617"/>
      <c r="BT67" s="621">
        <f t="shared" si="44"/>
        <v>0</v>
      </c>
    </row>
    <row r="68" spans="1:72" x14ac:dyDescent="0.3">
      <c r="A68" s="437" t="s">
        <v>189</v>
      </c>
      <c r="B68" s="1052">
        <v>310</v>
      </c>
      <c r="C68" s="438"/>
      <c r="D68" s="431">
        <v>0</v>
      </c>
      <c r="E68" s="59">
        <f t="shared" si="51"/>
        <v>0</v>
      </c>
      <c r="F68" s="410">
        <f t="shared" si="1"/>
        <v>0</v>
      </c>
      <c r="G68" s="285"/>
      <c r="H68" s="158"/>
      <c r="I68" s="669">
        <f t="shared" si="16"/>
        <v>0</v>
      </c>
      <c r="J68" s="881"/>
      <c r="K68" s="285"/>
      <c r="L68" s="158"/>
      <c r="M68" s="298"/>
      <c r="N68" s="297"/>
      <c r="O68" s="285"/>
      <c r="P68" s="367"/>
      <c r="Q68" s="279"/>
      <c r="R68" s="310"/>
      <c r="S68" s="418"/>
      <c r="T68" s="528"/>
      <c r="U68" s="310"/>
      <c r="V68" s="63"/>
      <c r="W68" s="357">
        <f t="shared" si="2"/>
        <v>0</v>
      </c>
      <c r="X68" s="382"/>
      <c r="Y68" s="153">
        <f t="shared" si="52"/>
        <v>0</v>
      </c>
      <c r="Z68" s="357">
        <f t="shared" si="53"/>
        <v>0</v>
      </c>
      <c r="AA68" s="310"/>
      <c r="AB68" s="63"/>
      <c r="AC68" s="360"/>
      <c r="AD68" s="279"/>
      <c r="AE68" s="63"/>
      <c r="AF68" s="360"/>
      <c r="AG68" s="279"/>
      <c r="AH68" s="63"/>
      <c r="AI68" s="360"/>
      <c r="AJ68" s="425"/>
      <c r="AK68" s="395"/>
      <c r="AL68" s="334">
        <v>0</v>
      </c>
      <c r="AM68" s="347">
        <f t="shared" si="17"/>
        <v>0</v>
      </c>
      <c r="AN68" s="1013">
        <f t="shared" si="5"/>
        <v>0</v>
      </c>
      <c r="AO68" s="338"/>
      <c r="AP68" s="162"/>
      <c r="AQ68" s="1019"/>
      <c r="AR68" s="324"/>
      <c r="AS68" s="162"/>
      <c r="AT68" s="339"/>
      <c r="AU68" s="540"/>
      <c r="AV68" s="324"/>
      <c r="AW68" s="162"/>
      <c r="AX68" s="339"/>
      <c r="BG68" s="617"/>
      <c r="BH68" s="621">
        <f t="shared" si="54"/>
        <v>0</v>
      </c>
      <c r="BI68" s="617"/>
      <c r="BJ68" s="621">
        <f t="shared" si="56"/>
        <v>0</v>
      </c>
      <c r="BM68" s="628">
        <f t="shared" si="18"/>
        <v>0</v>
      </c>
      <c r="BN68" s="628">
        <f t="shared" si="11"/>
        <v>0</v>
      </c>
      <c r="BO68" s="535">
        <f t="shared" si="14"/>
        <v>0</v>
      </c>
      <c r="BP68" s="533"/>
      <c r="BQ68" s="617"/>
      <c r="BR68" s="621">
        <f t="shared" si="55"/>
        <v>0</v>
      </c>
      <c r="BS68" s="617"/>
      <c r="BT68" s="621">
        <f t="shared" si="44"/>
        <v>0</v>
      </c>
    </row>
    <row r="69" spans="1:72" x14ac:dyDescent="0.3">
      <c r="A69" s="437" t="s">
        <v>190</v>
      </c>
      <c r="B69" s="1052">
        <v>320</v>
      </c>
      <c r="C69" s="438"/>
      <c r="D69" s="431">
        <v>0</v>
      </c>
      <c r="E69" s="59">
        <f t="shared" si="51"/>
        <v>0</v>
      </c>
      <c r="F69" s="410">
        <f t="shared" si="1"/>
        <v>0</v>
      </c>
      <c r="G69" s="285"/>
      <c r="H69" s="158"/>
      <c r="I69" s="669">
        <f t="shared" si="16"/>
        <v>0</v>
      </c>
      <c r="J69" s="881"/>
      <c r="K69" s="285"/>
      <c r="L69" s="158"/>
      <c r="M69" s="298"/>
      <c r="N69" s="297"/>
      <c r="O69" s="285"/>
      <c r="P69" s="367"/>
      <c r="Q69" s="279"/>
      <c r="R69" s="310"/>
      <c r="S69" s="418"/>
      <c r="T69" s="528"/>
      <c r="U69" s="310"/>
      <c r="V69" s="63"/>
      <c r="W69" s="357">
        <f t="shared" si="2"/>
        <v>0</v>
      </c>
      <c r="X69" s="382"/>
      <c r="Y69" s="153">
        <f t="shared" si="52"/>
        <v>0</v>
      </c>
      <c r="Z69" s="357">
        <f t="shared" si="53"/>
        <v>0</v>
      </c>
      <c r="AA69" s="310"/>
      <c r="AB69" s="63"/>
      <c r="AC69" s="360"/>
      <c r="AD69" s="279"/>
      <c r="AE69" s="63"/>
      <c r="AF69" s="360"/>
      <c r="AG69" s="279"/>
      <c r="AH69" s="63"/>
      <c r="AI69" s="360"/>
      <c r="AJ69" s="425"/>
      <c r="AK69" s="395"/>
      <c r="AL69" s="334">
        <v>0</v>
      </c>
      <c r="AM69" s="347">
        <f t="shared" si="17"/>
        <v>0</v>
      </c>
      <c r="AN69" s="1013">
        <f t="shared" si="5"/>
        <v>0</v>
      </c>
      <c r="AO69" s="338"/>
      <c r="AP69" s="162"/>
      <c r="AQ69" s="1019"/>
      <c r="AR69" s="324"/>
      <c r="AS69" s="162"/>
      <c r="AT69" s="339"/>
      <c r="AU69" s="540"/>
      <c r="AV69" s="324"/>
      <c r="AW69" s="162"/>
      <c r="AX69" s="339"/>
      <c r="BG69" s="617"/>
      <c r="BH69" s="621">
        <f t="shared" si="54"/>
        <v>0</v>
      </c>
      <c r="BI69" s="617"/>
      <c r="BJ69" s="621">
        <f t="shared" si="56"/>
        <v>0</v>
      </c>
      <c r="BM69" s="628">
        <f t="shared" si="18"/>
        <v>0</v>
      </c>
      <c r="BN69" s="628">
        <f t="shared" si="11"/>
        <v>0</v>
      </c>
      <c r="BO69" s="535">
        <f t="shared" si="14"/>
        <v>0</v>
      </c>
      <c r="BP69" s="533"/>
      <c r="BQ69" s="617"/>
      <c r="BR69" s="621">
        <f t="shared" si="55"/>
        <v>0</v>
      </c>
      <c r="BS69" s="617"/>
      <c r="BT69" s="621">
        <f t="shared" si="44"/>
        <v>0</v>
      </c>
    </row>
    <row r="70" spans="1:72" s="115" customFormat="1" x14ac:dyDescent="0.3">
      <c r="A70" s="435" t="s">
        <v>191</v>
      </c>
      <c r="B70" s="1053">
        <v>400</v>
      </c>
      <c r="C70" s="442"/>
      <c r="D70" s="430">
        <v>0</v>
      </c>
      <c r="E70" s="59">
        <f t="shared" si="51"/>
        <v>-205614792.37</v>
      </c>
      <c r="F70" s="410">
        <f t="shared" si="1"/>
        <v>-205614792.37</v>
      </c>
      <c r="G70" s="283"/>
      <c r="H70" s="157"/>
      <c r="I70" s="669">
        <f t="shared" si="16"/>
        <v>0</v>
      </c>
      <c r="J70" s="882"/>
      <c r="K70" s="283"/>
      <c r="L70" s="157"/>
      <c r="M70" s="294"/>
      <c r="N70" s="293"/>
      <c r="O70" s="283"/>
      <c r="P70" s="365"/>
      <c r="Q70" s="276"/>
      <c r="R70" s="307">
        <f>R72</f>
        <v>-205614792.37</v>
      </c>
      <c r="S70" s="415"/>
      <c r="T70" s="525"/>
      <c r="U70" s="307"/>
      <c r="V70" s="153">
        <f>V72</f>
        <v>0</v>
      </c>
      <c r="W70" s="357">
        <f t="shared" si="2"/>
        <v>0</v>
      </c>
      <c r="X70" s="379">
        <v>0</v>
      </c>
      <c r="Y70" s="153">
        <f t="shared" si="52"/>
        <v>0</v>
      </c>
      <c r="Z70" s="357">
        <f t="shared" si="53"/>
        <v>0</v>
      </c>
      <c r="AA70" s="307"/>
      <c r="AB70" s="153"/>
      <c r="AC70" s="357"/>
      <c r="AD70" s="276"/>
      <c r="AE70" s="153"/>
      <c r="AF70" s="357"/>
      <c r="AG70" s="276"/>
      <c r="AH70" s="153"/>
      <c r="AI70" s="357"/>
      <c r="AJ70" s="422">
        <f>AJ72+AJ73</f>
        <v>0</v>
      </c>
      <c r="AK70" s="396">
        <v>0</v>
      </c>
      <c r="AL70" s="334">
        <v>0</v>
      </c>
      <c r="AM70" s="347">
        <f t="shared" si="17"/>
        <v>0</v>
      </c>
      <c r="AN70" s="1013">
        <f t="shared" si="5"/>
        <v>0</v>
      </c>
      <c r="AO70" s="334"/>
      <c r="AP70" s="161"/>
      <c r="AQ70" s="406"/>
      <c r="AR70" s="323"/>
      <c r="AS70" s="161"/>
      <c r="AT70" s="335"/>
      <c r="AU70" s="539">
        <f>AU72+AU73</f>
        <v>0</v>
      </c>
      <c r="AV70" s="323"/>
      <c r="AW70" s="161"/>
      <c r="AX70" s="335"/>
      <c r="BG70" s="617"/>
      <c r="BH70" s="621">
        <f t="shared" si="54"/>
        <v>0</v>
      </c>
      <c r="BI70" s="617"/>
      <c r="BJ70" s="621">
        <f t="shared" si="56"/>
        <v>0</v>
      </c>
      <c r="BM70" s="628">
        <f t="shared" si="18"/>
        <v>0</v>
      </c>
      <c r="BN70" s="628">
        <f t="shared" si="11"/>
        <v>0</v>
      </c>
      <c r="BO70" s="535">
        <f t="shared" si="14"/>
        <v>0</v>
      </c>
      <c r="BP70" s="533"/>
      <c r="BQ70" s="617"/>
      <c r="BR70" s="621">
        <f t="shared" si="55"/>
        <v>0</v>
      </c>
      <c r="BS70" s="617"/>
      <c r="BT70" s="621">
        <f t="shared" si="44"/>
        <v>0</v>
      </c>
    </row>
    <row r="71" spans="1:72" x14ac:dyDescent="0.3">
      <c r="A71" s="437" t="s">
        <v>92</v>
      </c>
      <c r="B71" s="133"/>
      <c r="C71" s="438"/>
      <c r="D71" s="431">
        <v>0</v>
      </c>
      <c r="E71" s="59">
        <f t="shared" si="51"/>
        <v>0</v>
      </c>
      <c r="F71" s="410">
        <f t="shared" si="1"/>
        <v>0</v>
      </c>
      <c r="G71" s="285"/>
      <c r="H71" s="158"/>
      <c r="I71" s="669">
        <f t="shared" si="16"/>
        <v>0</v>
      </c>
      <c r="J71" s="881"/>
      <c r="K71" s="285"/>
      <c r="L71" s="158"/>
      <c r="M71" s="298"/>
      <c r="N71" s="297"/>
      <c r="O71" s="285"/>
      <c r="P71" s="367"/>
      <c r="Q71" s="279"/>
      <c r="R71" s="310"/>
      <c r="S71" s="418"/>
      <c r="T71" s="528"/>
      <c r="U71" s="310"/>
      <c r="V71" s="63"/>
      <c r="W71" s="357">
        <f t="shared" si="2"/>
        <v>0</v>
      </c>
      <c r="X71" s="382"/>
      <c r="Y71" s="153">
        <f t="shared" si="52"/>
        <v>0</v>
      </c>
      <c r="Z71" s="357">
        <f t="shared" si="53"/>
        <v>0</v>
      </c>
      <c r="AA71" s="310"/>
      <c r="AB71" s="63"/>
      <c r="AC71" s="360"/>
      <c r="AD71" s="279"/>
      <c r="AE71" s="63"/>
      <c r="AF71" s="360"/>
      <c r="AG71" s="279"/>
      <c r="AH71" s="63"/>
      <c r="AI71" s="360"/>
      <c r="AJ71" s="425"/>
      <c r="AK71" s="395"/>
      <c r="AL71" s="334">
        <v>0</v>
      </c>
      <c r="AM71" s="347">
        <f t="shared" si="17"/>
        <v>0</v>
      </c>
      <c r="AN71" s="1013">
        <f t="shared" si="5"/>
        <v>0</v>
      </c>
      <c r="AO71" s="338"/>
      <c r="AP71" s="162"/>
      <c r="AQ71" s="1019"/>
      <c r="AR71" s="324"/>
      <c r="AS71" s="162"/>
      <c r="AT71" s="339"/>
      <c r="AU71" s="540"/>
      <c r="AV71" s="324"/>
      <c r="AW71" s="162"/>
      <c r="AX71" s="339"/>
      <c r="BG71" s="617"/>
      <c r="BH71" s="621">
        <f t="shared" si="54"/>
        <v>0</v>
      </c>
      <c r="BI71" s="617"/>
      <c r="BJ71" s="621">
        <f t="shared" si="56"/>
        <v>0</v>
      </c>
      <c r="BM71" s="628">
        <f t="shared" si="18"/>
        <v>0</v>
      </c>
      <c r="BN71" s="628">
        <f t="shared" si="11"/>
        <v>0</v>
      </c>
      <c r="BO71" s="535">
        <f t="shared" si="14"/>
        <v>0</v>
      </c>
      <c r="BP71" s="533"/>
      <c r="BQ71" s="617"/>
      <c r="BR71" s="621">
        <f t="shared" si="55"/>
        <v>0</v>
      </c>
      <c r="BS71" s="617"/>
      <c r="BT71" s="621">
        <f t="shared" si="44"/>
        <v>0</v>
      </c>
    </row>
    <row r="72" spans="1:72" x14ac:dyDescent="0.3">
      <c r="A72" s="437" t="s">
        <v>192</v>
      </c>
      <c r="B72" s="1052">
        <v>410</v>
      </c>
      <c r="C72" s="438"/>
      <c r="D72" s="431">
        <v>0</v>
      </c>
      <c r="E72" s="59">
        <f t="shared" si="51"/>
        <v>-205614792.37</v>
      </c>
      <c r="F72" s="410">
        <f t="shared" si="1"/>
        <v>-205614792.37</v>
      </c>
      <c r="G72" s="285"/>
      <c r="H72" s="158"/>
      <c r="I72" s="669">
        <f t="shared" si="16"/>
        <v>0</v>
      </c>
      <c r="J72" s="881"/>
      <c r="K72" s="285"/>
      <c r="L72" s="158"/>
      <c r="M72" s="298"/>
      <c r="N72" s="297"/>
      <c r="O72" s="285"/>
      <c r="P72" s="367"/>
      <c r="Q72" s="279"/>
      <c r="R72" s="1028">
        <v>-205614792.37</v>
      </c>
      <c r="S72" s="418"/>
      <c r="T72" s="528"/>
      <c r="U72" s="310"/>
      <c r="V72" s="63"/>
      <c r="W72" s="357">
        <f t="shared" si="2"/>
        <v>0</v>
      </c>
      <c r="X72" s="382"/>
      <c r="Y72" s="153">
        <f t="shared" si="52"/>
        <v>0</v>
      </c>
      <c r="Z72" s="357">
        <f t="shared" si="53"/>
        <v>0</v>
      </c>
      <c r="AA72" s="310"/>
      <c r="AB72" s="63"/>
      <c r="AC72" s="360"/>
      <c r="AD72" s="279"/>
      <c r="AE72" s="63"/>
      <c r="AF72" s="360"/>
      <c r="AG72" s="279"/>
      <c r="AH72" s="63"/>
      <c r="AI72" s="360"/>
      <c r="AJ72" s="425"/>
      <c r="AK72" s="395"/>
      <c r="AL72" s="334">
        <v>0</v>
      </c>
      <c r="AM72" s="347">
        <f t="shared" si="17"/>
        <v>0</v>
      </c>
      <c r="AN72" s="1013">
        <f t="shared" si="5"/>
        <v>0</v>
      </c>
      <c r="AO72" s="338"/>
      <c r="AP72" s="162"/>
      <c r="AQ72" s="1019"/>
      <c r="AR72" s="324"/>
      <c r="AS72" s="162"/>
      <c r="AT72" s="339"/>
      <c r="AU72" s="540"/>
      <c r="AV72" s="324"/>
      <c r="AW72" s="162"/>
      <c r="AX72" s="339"/>
      <c r="BG72" s="617"/>
      <c r="BH72" s="621">
        <f t="shared" si="54"/>
        <v>0</v>
      </c>
      <c r="BI72" s="617"/>
      <c r="BJ72" s="621">
        <f t="shared" si="56"/>
        <v>0</v>
      </c>
      <c r="BM72" s="628">
        <f t="shared" si="18"/>
        <v>0</v>
      </c>
      <c r="BN72" s="628">
        <f t="shared" si="11"/>
        <v>0</v>
      </c>
      <c r="BO72" s="535">
        <f t="shared" si="14"/>
        <v>0</v>
      </c>
      <c r="BP72" s="533"/>
      <c r="BQ72" s="617"/>
      <c r="BR72" s="621">
        <f t="shared" si="55"/>
        <v>0</v>
      </c>
      <c r="BS72" s="617"/>
      <c r="BT72" s="621">
        <f t="shared" si="44"/>
        <v>0</v>
      </c>
    </row>
    <row r="73" spans="1:72" x14ac:dyDescent="0.3">
      <c r="A73" s="437" t="s">
        <v>193</v>
      </c>
      <c r="B73" s="1052">
        <v>420</v>
      </c>
      <c r="C73" s="438"/>
      <c r="D73" s="431">
        <v>0</v>
      </c>
      <c r="E73" s="59">
        <f t="shared" si="51"/>
        <v>0</v>
      </c>
      <c r="F73" s="410">
        <f t="shared" si="1"/>
        <v>0</v>
      </c>
      <c r="G73" s="285"/>
      <c r="H73" s="158"/>
      <c r="I73" s="669">
        <f t="shared" si="16"/>
        <v>0</v>
      </c>
      <c r="J73" s="881"/>
      <c r="K73" s="285"/>
      <c r="L73" s="158"/>
      <c r="M73" s="298"/>
      <c r="N73" s="297"/>
      <c r="O73" s="285"/>
      <c r="P73" s="367"/>
      <c r="Q73" s="279"/>
      <c r="R73" s="310"/>
      <c r="S73" s="418"/>
      <c r="T73" s="528"/>
      <c r="U73" s="310"/>
      <c r="V73" s="63"/>
      <c r="W73" s="357">
        <f t="shared" si="2"/>
        <v>0</v>
      </c>
      <c r="X73" s="382"/>
      <c r="Y73" s="153">
        <f t="shared" si="52"/>
        <v>0</v>
      </c>
      <c r="Z73" s="357">
        <f t="shared" si="53"/>
        <v>0</v>
      </c>
      <c r="AA73" s="310"/>
      <c r="AB73" s="63"/>
      <c r="AC73" s="360"/>
      <c r="AD73" s="279"/>
      <c r="AE73" s="63"/>
      <c r="AF73" s="360"/>
      <c r="AG73" s="279"/>
      <c r="AH73" s="63"/>
      <c r="AI73" s="360"/>
      <c r="AJ73" s="425"/>
      <c r="AK73" s="395"/>
      <c r="AL73" s="334">
        <v>0</v>
      </c>
      <c r="AM73" s="347">
        <f t="shared" si="7"/>
        <v>0</v>
      </c>
      <c r="AN73" s="1013">
        <f t="shared" si="5"/>
        <v>0</v>
      </c>
      <c r="AO73" s="338"/>
      <c r="AP73" s="162"/>
      <c r="AQ73" s="1019"/>
      <c r="AR73" s="324"/>
      <c r="AS73" s="162"/>
      <c r="AT73" s="339"/>
      <c r="AU73" s="540"/>
      <c r="AV73" s="324"/>
      <c r="AW73" s="162"/>
      <c r="AX73" s="339"/>
      <c r="BG73" s="617"/>
      <c r="BH73" s="621">
        <f t="shared" si="54"/>
        <v>0</v>
      </c>
      <c r="BI73" s="617"/>
      <c r="BJ73" s="621">
        <f t="shared" si="56"/>
        <v>0</v>
      </c>
      <c r="BM73" s="628">
        <f t="shared" si="18"/>
        <v>0</v>
      </c>
      <c r="BN73" s="628">
        <f t="shared" si="11"/>
        <v>0</v>
      </c>
      <c r="BO73" s="535">
        <f t="shared" si="14"/>
        <v>0</v>
      </c>
      <c r="BP73" s="533"/>
      <c r="BQ73" s="617"/>
      <c r="BR73" s="621">
        <f t="shared" si="55"/>
        <v>0</v>
      </c>
      <c r="BS73" s="617"/>
      <c r="BT73" s="621">
        <f t="shared" si="44"/>
        <v>0</v>
      </c>
    </row>
    <row r="74" spans="1:72" s="115" customFormat="1" ht="17.25" customHeight="1" x14ac:dyDescent="0.3">
      <c r="A74" s="435" t="s">
        <v>194</v>
      </c>
      <c r="B74" s="1053">
        <v>500</v>
      </c>
      <c r="C74" s="436" t="s">
        <v>149</v>
      </c>
      <c r="D74" s="430">
        <v>625060898.9475373</v>
      </c>
      <c r="E74" s="59">
        <f>H74+R74+AK74+AM74</f>
        <v>625060898.94506431</v>
      </c>
      <c r="F74" s="410">
        <f t="shared" si="1"/>
        <v>-2.472996711730957E-3</v>
      </c>
      <c r="G74" s="283">
        <v>21072590.984773755</v>
      </c>
      <c r="H74" s="157">
        <f>H22-H10</f>
        <v>21072590.976300776</v>
      </c>
      <c r="I74" s="669">
        <f t="shared" si="16"/>
        <v>-8.4729790687561035E-3</v>
      </c>
      <c r="J74" s="882">
        <f>J22-J10</f>
        <v>16524140.506574497</v>
      </c>
      <c r="K74" s="283">
        <v>4548450.4781993032</v>
      </c>
      <c r="L74" s="157">
        <f>L22-L10</f>
        <v>4548450.4697262943</v>
      </c>
      <c r="M74" s="298">
        <f>L74-K74</f>
        <v>-8.4730088710784912E-3</v>
      </c>
      <c r="N74" s="157">
        <f>N22-N10</f>
        <v>0</v>
      </c>
      <c r="O74" s="157">
        <f>O22-O10</f>
        <v>0</v>
      </c>
      <c r="P74" s="365"/>
      <c r="Q74" s="1025">
        <v>593808468.51999998</v>
      </c>
      <c r="R74" s="1026">
        <v>593808468.51999998</v>
      </c>
      <c r="S74" s="415">
        <f>R74-Q74</f>
        <v>0</v>
      </c>
      <c r="T74" s="525">
        <v>593808468.51999998</v>
      </c>
      <c r="U74" s="307">
        <v>0</v>
      </c>
      <c r="V74" s="63">
        <f>V10-V22</f>
        <v>9.9999904632568359E-3</v>
      </c>
      <c r="W74" s="357">
        <f t="shared" si="2"/>
        <v>9.9999904632568359E-3</v>
      </c>
      <c r="X74" s="307">
        <f>'расчет норматив'!AH6+'расчет норматив'!AI6</f>
        <v>5188510.33</v>
      </c>
      <c r="Y74" s="63"/>
      <c r="Z74" s="357"/>
      <c r="AA74" s="63">
        <f>AA22-AA10</f>
        <v>0</v>
      </c>
      <c r="AB74" s="63">
        <f>AB22-AB10</f>
        <v>0</v>
      </c>
      <c r="AC74" s="63">
        <f>AC22-AC10</f>
        <v>0</v>
      </c>
      <c r="AD74" s="276">
        <v>0</v>
      </c>
      <c r="AE74" s="63">
        <f>AE22-AE10</f>
        <v>0</v>
      </c>
      <c r="AF74" s="357"/>
      <c r="AG74" s="307">
        <f>'расчет норматив'!AQ6+'расчет норматив'!AR6</f>
        <v>0</v>
      </c>
      <c r="AH74" s="63">
        <f>'расчет норматив'!AQ6</f>
        <v>0</v>
      </c>
      <c r="AI74" s="357">
        <f>'расчет норматив'!AR6</f>
        <v>0</v>
      </c>
      <c r="AJ74" s="422">
        <v>0</v>
      </c>
      <c r="AK74" s="395"/>
      <c r="AL74" s="334">
        <v>10179839.442763567</v>
      </c>
      <c r="AM74" s="161">
        <f t="shared" ref="AM74:AN74" si="57">AM22-AM10</f>
        <v>10179839.448763549</v>
      </c>
      <c r="AN74" s="1013">
        <f t="shared" si="57"/>
        <v>5.9999823570251465E-3</v>
      </c>
      <c r="AO74" s="334">
        <v>9808185.4527635574</v>
      </c>
      <c r="AP74" s="323">
        <f>AP22-AP10</f>
        <v>9808185.4587635398</v>
      </c>
      <c r="AQ74" s="406">
        <f>AQ22-AQ10</f>
        <v>5.9999823570251465E-3</v>
      </c>
      <c r="AR74" s="323">
        <f>AR22-AR10</f>
        <v>371653.98999999464</v>
      </c>
      <c r="AS74" s="323">
        <f>AS22-AS10</f>
        <v>371653.99000000209</v>
      </c>
      <c r="AT74" s="406">
        <f t="shared" ref="AT74" si="58">AT22-AT10</f>
        <v>0</v>
      </c>
      <c r="AU74" s="539">
        <v>0</v>
      </c>
      <c r="AV74" s="323"/>
      <c r="AW74" s="323">
        <f t="shared" ref="AW74:AX74" si="59">AW22-AW10</f>
        <v>0</v>
      </c>
      <c r="AX74" s="406">
        <f t="shared" si="59"/>
        <v>0</v>
      </c>
      <c r="BG74" s="619"/>
      <c r="BH74" s="620"/>
      <c r="BI74" s="617">
        <v>1222485.57</v>
      </c>
      <c r="BJ74" s="621">
        <f t="shared" si="56"/>
        <v>-1222485.57</v>
      </c>
      <c r="BM74" s="632">
        <f>BM22-BM10</f>
        <v>10179839.442763567</v>
      </c>
      <c r="BN74" s="632">
        <f>BN22-BN10</f>
        <v>-12791385.120000064</v>
      </c>
      <c r="BO74" s="632"/>
      <c r="BP74" s="632">
        <f t="shared" ref="BP74" si="60">BP22-BP10</f>
        <v>-7266364.0435999632</v>
      </c>
      <c r="BQ74" s="619"/>
      <c r="BR74" s="620"/>
      <c r="BS74" s="617">
        <v>1222485.57</v>
      </c>
      <c r="BT74" s="621">
        <f t="shared" si="44"/>
        <v>-850831.58000000543</v>
      </c>
    </row>
    <row r="75" spans="1:72" s="115" customFormat="1" ht="19.5" thickBot="1" x14ac:dyDescent="0.35">
      <c r="A75" s="446" t="s">
        <v>195</v>
      </c>
      <c r="B75" s="447">
        <v>600</v>
      </c>
      <c r="C75" s="448" t="s">
        <v>149</v>
      </c>
      <c r="D75" s="433">
        <f>D10-D22+D74</f>
        <v>203001361.20999992</v>
      </c>
      <c r="E75" s="433">
        <f>E10-E22+E74</f>
        <v>205614792.37000012</v>
      </c>
      <c r="F75" s="413">
        <f t="shared" ref="F75" si="61">E75-D75</f>
        <v>2613431.160000205</v>
      </c>
      <c r="G75" s="407">
        <f>G10+G74-G22</f>
        <v>0</v>
      </c>
      <c r="H75" s="304">
        <f>H10+H74-H22</f>
        <v>0</v>
      </c>
      <c r="I75" s="670">
        <f t="shared" ref="I75:AE75" si="62">I10+I74-I22</f>
        <v>0</v>
      </c>
      <c r="J75" s="1031">
        <f t="shared" si="62"/>
        <v>0</v>
      </c>
      <c r="K75" s="407">
        <f t="shared" si="62"/>
        <v>0</v>
      </c>
      <c r="L75" s="304">
        <f t="shared" si="62"/>
        <v>0</v>
      </c>
      <c r="M75" s="304">
        <f t="shared" si="62"/>
        <v>0</v>
      </c>
      <c r="N75" s="303">
        <f t="shared" si="62"/>
        <v>0</v>
      </c>
      <c r="O75" s="304">
        <f t="shared" si="62"/>
        <v>0</v>
      </c>
      <c r="P75" s="370"/>
      <c r="Q75" s="1027">
        <f>Q10+Q74-Q22</f>
        <v>203001361.2099998</v>
      </c>
      <c r="R75" s="1027">
        <f>R74+R10-R22+R70</f>
        <v>0</v>
      </c>
      <c r="S75" s="420">
        <f t="shared" si="62"/>
        <v>2613431.1600000858</v>
      </c>
      <c r="T75" s="530">
        <f>T10+T74-T22+T70</f>
        <v>205614792.37</v>
      </c>
      <c r="U75" s="388">
        <f t="shared" si="62"/>
        <v>0</v>
      </c>
      <c r="V75" s="388">
        <f t="shared" si="62"/>
        <v>1.9999980926513672E-2</v>
      </c>
      <c r="W75" s="362">
        <f t="shared" ref="W75" si="63">V75-U75</f>
        <v>1.9999980926513672E-2</v>
      </c>
      <c r="X75" s="376">
        <f t="shared" si="62"/>
        <v>0</v>
      </c>
      <c r="Y75" s="388">
        <f t="shared" si="62"/>
        <v>-9.9999979138374329E-3</v>
      </c>
      <c r="Z75" s="362">
        <f t="shared" si="62"/>
        <v>0</v>
      </c>
      <c r="AA75" s="388">
        <f t="shared" si="62"/>
        <v>0</v>
      </c>
      <c r="AB75" s="388">
        <f t="shared" si="62"/>
        <v>0</v>
      </c>
      <c r="AC75" s="388">
        <f t="shared" si="62"/>
        <v>0</v>
      </c>
      <c r="AD75" s="281">
        <v>0</v>
      </c>
      <c r="AE75" s="388">
        <f t="shared" si="62"/>
        <v>0</v>
      </c>
      <c r="AF75" s="362">
        <f t="shared" ref="AF75" si="64">AE75-AD75</f>
        <v>0</v>
      </c>
      <c r="AG75" s="281"/>
      <c r="AH75" s="388"/>
      <c r="AI75" s="362"/>
      <c r="AJ75" s="428">
        <f t="shared" ref="AJ75:AU75" si="65">AJ10+AJ74-AJ22</f>
        <v>0</v>
      </c>
      <c r="AK75" s="399">
        <f t="shared" si="65"/>
        <v>0</v>
      </c>
      <c r="AL75" s="344">
        <v>0</v>
      </c>
      <c r="AM75" s="345">
        <f>AM10+AM74-AM22</f>
        <v>0</v>
      </c>
      <c r="AN75" s="1014">
        <f t="shared" ref="AN75:AS75" si="66">AN10+AN74-AN22</f>
        <v>0</v>
      </c>
      <c r="AO75" s="344">
        <v>0</v>
      </c>
      <c r="AP75" s="345">
        <f t="shared" si="66"/>
        <v>0</v>
      </c>
      <c r="AQ75" s="346">
        <f t="shared" si="66"/>
        <v>0</v>
      </c>
      <c r="AR75" s="390">
        <v>0</v>
      </c>
      <c r="AS75" s="345">
        <f t="shared" si="66"/>
        <v>0</v>
      </c>
      <c r="AT75" s="346"/>
      <c r="AU75" s="545">
        <f t="shared" si="65"/>
        <v>0</v>
      </c>
      <c r="AV75" s="390">
        <v>0</v>
      </c>
      <c r="AW75" s="345">
        <f t="shared" ref="AW75" si="67">AW10+AW74-AW22</f>
        <v>0</v>
      </c>
      <c r="AX75" s="346"/>
      <c r="BG75" s="623">
        <f>BG22</f>
        <v>0</v>
      </c>
      <c r="BH75" s="624">
        <f>SUM(BH25:BH73)</f>
        <v>15071900</v>
      </c>
      <c r="BI75" s="623">
        <f>BI22</f>
        <v>69438047.340000004</v>
      </c>
      <c r="BJ75" s="624">
        <f>SUM(BJ25:BJ73)</f>
        <v>-77779061.369999975</v>
      </c>
      <c r="BM75" s="628">
        <f t="shared" si="18"/>
        <v>0</v>
      </c>
      <c r="BN75" s="628"/>
      <c r="BO75" s="604"/>
      <c r="BP75" s="531"/>
      <c r="BQ75" s="623">
        <f>BQ22</f>
        <v>262223617.94999999</v>
      </c>
      <c r="BR75" s="624">
        <f>SUM(BR25:BR73)</f>
        <v>103077143.47892708</v>
      </c>
      <c r="BS75" s="623">
        <f>BS22</f>
        <v>69438047.340000004</v>
      </c>
      <c r="BT75" s="624">
        <f>SUM(BT25:BT73)</f>
        <v>23912198.940000005</v>
      </c>
    </row>
    <row r="76" spans="1:72" s="115" customFormat="1" ht="19.5" hidden="1" customHeight="1" thickBot="1" x14ac:dyDescent="0.35">
      <c r="A76" s="463"/>
      <c r="B76" s="464"/>
      <c r="C76" s="465"/>
      <c r="D76" s="466"/>
      <c r="E76" s="466"/>
      <c r="F76" s="466"/>
      <c r="G76" s="466"/>
      <c r="H76" s="466"/>
      <c r="I76" s="471"/>
      <c r="J76" s="466"/>
      <c r="K76" s="466"/>
      <c r="L76" s="466"/>
      <c r="M76" s="466"/>
      <c r="N76" s="466"/>
      <c r="O76" s="466"/>
      <c r="P76" s="466"/>
      <c r="Q76" s="466"/>
      <c r="R76" s="466"/>
      <c r="S76" s="466"/>
      <c r="T76" s="466"/>
      <c r="U76" s="466"/>
      <c r="V76" s="466"/>
      <c r="W76" s="466"/>
      <c r="X76" s="466"/>
      <c r="Y76" s="466"/>
      <c r="Z76" s="466"/>
      <c r="AA76" s="466"/>
      <c r="AB76" s="466"/>
      <c r="AC76" s="466"/>
      <c r="AD76" s="466"/>
      <c r="AE76" s="466"/>
      <c r="AF76" s="466"/>
      <c r="AG76" s="466"/>
      <c r="AH76" s="466"/>
      <c r="AI76" s="466"/>
      <c r="AJ76" s="466"/>
      <c r="AK76" s="466"/>
      <c r="AL76" s="466"/>
      <c r="AM76" s="466"/>
      <c r="AN76" s="466"/>
      <c r="AO76" s="466"/>
      <c r="AP76" s="466"/>
      <c r="AQ76" s="466"/>
      <c r="AR76" s="466"/>
      <c r="AS76" s="466"/>
      <c r="AT76" s="466"/>
      <c r="AU76" s="466"/>
      <c r="AV76" s="466"/>
      <c r="AW76" s="466"/>
      <c r="AX76" s="466"/>
      <c r="BM76" s="604"/>
      <c r="BN76" s="604"/>
      <c r="BO76" s="604"/>
      <c r="BP76" s="531"/>
      <c r="BQ76" s="607"/>
    </row>
    <row r="77" spans="1:72" s="115" customFormat="1" hidden="1" x14ac:dyDescent="0.3">
      <c r="A77" s="463"/>
      <c r="B77" s="464"/>
      <c r="C77" s="465"/>
      <c r="D77" s="157">
        <f>D22-D10</f>
        <v>422059537.73753738</v>
      </c>
      <c r="E77" s="157">
        <f t="shared" ref="E77:AU77" si="68">E22-E10</f>
        <v>419446106.57506418</v>
      </c>
      <c r="F77" s="157">
        <f t="shared" si="68"/>
        <v>-2613431.1624732018</v>
      </c>
      <c r="G77" s="157">
        <f t="shared" si="68"/>
        <v>21072590.984773755</v>
      </c>
      <c r="H77" s="157">
        <f t="shared" si="68"/>
        <v>21072590.976300776</v>
      </c>
      <c r="I77" s="157">
        <f t="shared" si="68"/>
        <v>-8.4729790687561035E-3</v>
      </c>
      <c r="J77" s="157">
        <f t="shared" si="68"/>
        <v>16524140.506574497</v>
      </c>
      <c r="K77" s="157">
        <f t="shared" si="68"/>
        <v>4548450.4781993032</v>
      </c>
      <c r="L77" s="157">
        <f t="shared" si="68"/>
        <v>4548450.4697262943</v>
      </c>
      <c r="M77" s="157">
        <f t="shared" si="68"/>
        <v>-8.4730088710784912E-3</v>
      </c>
      <c r="N77" s="157">
        <f t="shared" si="68"/>
        <v>0</v>
      </c>
      <c r="O77" s="157">
        <f t="shared" si="68"/>
        <v>0</v>
      </c>
      <c r="P77" s="157">
        <f t="shared" si="68"/>
        <v>0</v>
      </c>
      <c r="Q77" s="157">
        <f t="shared" si="68"/>
        <v>390807107.31000018</v>
      </c>
      <c r="R77" s="157">
        <f t="shared" si="68"/>
        <v>388193676.1500001</v>
      </c>
      <c r="S77" s="157">
        <f t="shared" si="68"/>
        <v>-2613431.1600000858</v>
      </c>
      <c r="T77" s="157">
        <f t="shared" si="68"/>
        <v>388193676.14999998</v>
      </c>
      <c r="U77" s="157">
        <f t="shared" si="68"/>
        <v>0</v>
      </c>
      <c r="V77" s="157">
        <f t="shared" si="68"/>
        <v>-9.9999904632568359E-3</v>
      </c>
      <c r="W77" s="157">
        <f t="shared" si="68"/>
        <v>-9.9999904632568359E-3</v>
      </c>
      <c r="X77" s="157">
        <f t="shared" si="68"/>
        <v>5188510.3299999982</v>
      </c>
      <c r="Y77" s="157">
        <f t="shared" si="68"/>
        <v>9.9999979138374329E-3</v>
      </c>
      <c r="Z77" s="157">
        <f t="shared" si="68"/>
        <v>0</v>
      </c>
      <c r="AA77" s="157">
        <f t="shared" si="68"/>
        <v>0</v>
      </c>
      <c r="AB77" s="157">
        <f t="shared" si="68"/>
        <v>0</v>
      </c>
      <c r="AC77" s="157">
        <f t="shared" si="68"/>
        <v>0</v>
      </c>
      <c r="AD77" s="157"/>
      <c r="AE77" s="157"/>
      <c r="AF77" s="157"/>
      <c r="AG77" s="157"/>
      <c r="AH77" s="157"/>
      <c r="AI77" s="157"/>
      <c r="AJ77" s="157">
        <f t="shared" si="68"/>
        <v>0</v>
      </c>
      <c r="AK77" s="157">
        <f t="shared" si="68"/>
        <v>0</v>
      </c>
      <c r="AL77" s="157">
        <f t="shared" si="68"/>
        <v>10179839.442763567</v>
      </c>
      <c r="AM77" s="157">
        <f t="shared" si="68"/>
        <v>10179839.448763549</v>
      </c>
      <c r="AN77" s="157">
        <f t="shared" si="68"/>
        <v>5.9999823570251465E-3</v>
      </c>
      <c r="AO77" s="157">
        <f t="shared" si="68"/>
        <v>9808185.4527635574</v>
      </c>
      <c r="AP77" s="157">
        <f t="shared" si="68"/>
        <v>9808185.4587635398</v>
      </c>
      <c r="AQ77" s="157">
        <f t="shared" si="68"/>
        <v>5.9999823570251465E-3</v>
      </c>
      <c r="AR77" s="157">
        <f t="shared" si="68"/>
        <v>371653.98999999464</v>
      </c>
      <c r="AS77" s="157">
        <f t="shared" si="68"/>
        <v>371653.99000000209</v>
      </c>
      <c r="AT77" s="157">
        <f t="shared" si="68"/>
        <v>0</v>
      </c>
      <c r="AU77" s="157">
        <f t="shared" si="68"/>
        <v>0</v>
      </c>
      <c r="AV77" s="467"/>
      <c r="AW77" s="467"/>
      <c r="AX77" s="467"/>
      <c r="BM77" s="604"/>
      <c r="BN77" s="604"/>
      <c r="BO77" s="604"/>
      <c r="BP77" s="531"/>
      <c r="BQ77" s="607"/>
    </row>
    <row r="78" spans="1:72" s="115" customFormat="1" hidden="1" x14ac:dyDescent="0.3">
      <c r="A78" s="463"/>
      <c r="B78" s="464"/>
      <c r="C78" s="465"/>
      <c r="D78" s="466">
        <f>D77+D75</f>
        <v>625060898.9475373</v>
      </c>
      <c r="E78" s="466">
        <f t="shared" ref="E78:AU78" si="69">E77+E75</f>
        <v>625060898.94506431</v>
      </c>
      <c r="F78" s="466">
        <f t="shared" si="69"/>
        <v>-2.472996711730957E-3</v>
      </c>
      <c r="G78" s="466">
        <f t="shared" si="69"/>
        <v>21072590.984773755</v>
      </c>
      <c r="H78" s="466">
        <f t="shared" si="69"/>
        <v>21072590.976300776</v>
      </c>
      <c r="I78" s="466">
        <f t="shared" si="69"/>
        <v>-8.4729790687561035E-3</v>
      </c>
      <c r="J78" s="466">
        <f t="shared" si="69"/>
        <v>16524140.506574497</v>
      </c>
      <c r="K78" s="466">
        <f t="shared" si="69"/>
        <v>4548450.4781993032</v>
      </c>
      <c r="L78" s="466">
        <f t="shared" si="69"/>
        <v>4548450.4697262943</v>
      </c>
      <c r="M78" s="466">
        <f t="shared" si="69"/>
        <v>-8.4730088710784912E-3</v>
      </c>
      <c r="N78" s="466">
        <f t="shared" si="69"/>
        <v>0</v>
      </c>
      <c r="O78" s="466">
        <f t="shared" si="69"/>
        <v>0</v>
      </c>
      <c r="P78" s="466">
        <f t="shared" si="69"/>
        <v>0</v>
      </c>
      <c r="Q78" s="466">
        <f t="shared" si="69"/>
        <v>593808468.51999998</v>
      </c>
      <c r="R78" s="466">
        <f t="shared" si="69"/>
        <v>388193676.1500001</v>
      </c>
      <c r="S78" s="466">
        <f t="shared" si="69"/>
        <v>0</v>
      </c>
      <c r="T78" s="466">
        <f t="shared" si="69"/>
        <v>593808468.51999998</v>
      </c>
      <c r="U78" s="466">
        <f t="shared" si="69"/>
        <v>0</v>
      </c>
      <c r="V78" s="466">
        <f t="shared" si="69"/>
        <v>9.9999904632568359E-3</v>
      </c>
      <c r="W78" s="466">
        <f t="shared" si="69"/>
        <v>9.9999904632568359E-3</v>
      </c>
      <c r="X78" s="466">
        <f t="shared" si="69"/>
        <v>5188510.3299999982</v>
      </c>
      <c r="Y78" s="466">
        <f t="shared" si="69"/>
        <v>0</v>
      </c>
      <c r="Z78" s="466">
        <f t="shared" si="69"/>
        <v>0</v>
      </c>
      <c r="AA78" s="466">
        <f t="shared" si="69"/>
        <v>0</v>
      </c>
      <c r="AB78" s="466">
        <f t="shared" si="69"/>
        <v>0</v>
      </c>
      <c r="AC78" s="466">
        <f t="shared" si="69"/>
        <v>0</v>
      </c>
      <c r="AD78" s="466"/>
      <c r="AE78" s="466"/>
      <c r="AF78" s="466"/>
      <c r="AG78" s="466"/>
      <c r="AH78" s="466"/>
      <c r="AI78" s="466"/>
      <c r="AJ78" s="466">
        <f t="shared" si="69"/>
        <v>0</v>
      </c>
      <c r="AK78" s="466">
        <f t="shared" si="69"/>
        <v>0</v>
      </c>
      <c r="AL78" s="466">
        <f t="shared" si="69"/>
        <v>10179839.442763567</v>
      </c>
      <c r="AM78" s="466">
        <f t="shared" si="69"/>
        <v>10179839.448763549</v>
      </c>
      <c r="AN78" s="466">
        <f t="shared" si="69"/>
        <v>5.9999823570251465E-3</v>
      </c>
      <c r="AO78" s="466">
        <f t="shared" si="69"/>
        <v>9808185.4527635574</v>
      </c>
      <c r="AP78" s="466">
        <f t="shared" si="69"/>
        <v>9808185.4587635398</v>
      </c>
      <c r="AQ78" s="466">
        <f t="shared" si="69"/>
        <v>5.9999823570251465E-3</v>
      </c>
      <c r="AR78" s="466">
        <f t="shared" si="69"/>
        <v>371653.98999999464</v>
      </c>
      <c r="AS78" s="466">
        <f t="shared" si="69"/>
        <v>371653.99000000209</v>
      </c>
      <c r="AT78" s="466">
        <f t="shared" si="69"/>
        <v>0</v>
      </c>
      <c r="AU78" s="466">
        <f t="shared" si="69"/>
        <v>0</v>
      </c>
      <c r="AV78" s="466"/>
      <c r="AW78" s="466"/>
      <c r="AX78" s="466"/>
      <c r="BM78" s="604"/>
      <c r="BN78" s="604"/>
      <c r="BO78" s="604"/>
      <c r="BP78" s="531"/>
      <c r="BQ78" s="607"/>
    </row>
    <row r="79" spans="1:72" s="115" customFormat="1" hidden="1" x14ac:dyDescent="0.3">
      <c r="A79" s="463"/>
      <c r="B79" s="464"/>
      <c r="C79" s="465"/>
      <c r="D79" s="466" t="b">
        <f>D74=D78</f>
        <v>1</v>
      </c>
      <c r="E79" s="466" t="b">
        <f t="shared" ref="E79:AU79" si="70">E74=E78</f>
        <v>1</v>
      </c>
      <c r="F79" s="466" t="b">
        <f t="shared" si="70"/>
        <v>1</v>
      </c>
      <c r="G79" s="466" t="b">
        <f t="shared" si="70"/>
        <v>1</v>
      </c>
      <c r="H79" s="466" t="b">
        <f t="shared" si="70"/>
        <v>1</v>
      </c>
      <c r="I79" s="466" t="b">
        <f t="shared" si="70"/>
        <v>1</v>
      </c>
      <c r="J79" s="466" t="b">
        <f t="shared" si="70"/>
        <v>1</v>
      </c>
      <c r="K79" s="466" t="b">
        <f t="shared" si="70"/>
        <v>1</v>
      </c>
      <c r="L79" s="466" t="b">
        <f t="shared" si="70"/>
        <v>1</v>
      </c>
      <c r="M79" s="466" t="b">
        <f t="shared" si="70"/>
        <v>1</v>
      </c>
      <c r="N79" s="466" t="b">
        <f t="shared" si="70"/>
        <v>1</v>
      </c>
      <c r="O79" s="466" t="b">
        <f t="shared" si="70"/>
        <v>1</v>
      </c>
      <c r="P79" s="466" t="b">
        <f t="shared" si="70"/>
        <v>1</v>
      </c>
      <c r="Q79" s="466" t="b">
        <f t="shared" si="70"/>
        <v>1</v>
      </c>
      <c r="R79" s="466" t="b">
        <f t="shared" si="70"/>
        <v>0</v>
      </c>
      <c r="S79" s="466" t="b">
        <f t="shared" si="70"/>
        <v>1</v>
      </c>
      <c r="T79" s="466" t="b">
        <f t="shared" si="70"/>
        <v>1</v>
      </c>
      <c r="U79" s="466" t="b">
        <f t="shared" si="70"/>
        <v>1</v>
      </c>
      <c r="V79" s="466" t="b">
        <f t="shared" si="70"/>
        <v>1</v>
      </c>
      <c r="W79" s="466" t="b">
        <f t="shared" si="70"/>
        <v>1</v>
      </c>
      <c r="X79" s="466" t="b">
        <f t="shared" si="70"/>
        <v>1</v>
      </c>
      <c r="Y79" s="466" t="b">
        <f t="shared" si="70"/>
        <v>1</v>
      </c>
      <c r="Z79" s="466" t="b">
        <f t="shared" si="70"/>
        <v>1</v>
      </c>
      <c r="AA79" s="466" t="b">
        <f t="shared" si="70"/>
        <v>1</v>
      </c>
      <c r="AB79" s="466" t="b">
        <f t="shared" si="70"/>
        <v>1</v>
      </c>
      <c r="AC79" s="466" t="b">
        <f t="shared" si="70"/>
        <v>1</v>
      </c>
      <c r="AD79" s="466"/>
      <c r="AE79" s="466"/>
      <c r="AF79" s="466"/>
      <c r="AG79" s="466"/>
      <c r="AH79" s="466"/>
      <c r="AI79" s="466"/>
      <c r="AJ79" s="466" t="b">
        <f t="shared" si="70"/>
        <v>1</v>
      </c>
      <c r="AK79" s="466" t="b">
        <f t="shared" si="70"/>
        <v>1</v>
      </c>
      <c r="AL79" s="466" t="b">
        <f t="shared" si="70"/>
        <v>1</v>
      </c>
      <c r="AM79" s="466" t="b">
        <f t="shared" si="70"/>
        <v>1</v>
      </c>
      <c r="AN79" s="466" t="b">
        <f t="shared" si="70"/>
        <v>1</v>
      </c>
      <c r="AO79" s="466" t="b">
        <f t="shared" si="70"/>
        <v>1</v>
      </c>
      <c r="AP79" s="466" t="b">
        <f t="shared" si="70"/>
        <v>1</v>
      </c>
      <c r="AQ79" s="466" t="b">
        <f t="shared" si="70"/>
        <v>1</v>
      </c>
      <c r="AR79" s="466" t="b">
        <f t="shared" si="70"/>
        <v>1</v>
      </c>
      <c r="AS79" s="466" t="b">
        <f t="shared" si="70"/>
        <v>1</v>
      </c>
      <c r="AT79" s="466" t="b">
        <f t="shared" si="70"/>
        <v>1</v>
      </c>
      <c r="AU79" s="466" t="b">
        <f t="shared" si="70"/>
        <v>1</v>
      </c>
      <c r="AV79" s="466"/>
      <c r="AW79" s="466"/>
      <c r="AX79" s="466"/>
      <c r="BM79" s="604"/>
      <c r="BN79" s="604"/>
      <c r="BO79" s="604"/>
      <c r="BP79" s="531"/>
      <c r="BQ79" s="607"/>
    </row>
    <row r="80" spans="1:72" s="115" customFormat="1" hidden="1" x14ac:dyDescent="0.3">
      <c r="A80" s="463"/>
      <c r="B80" s="464"/>
      <c r="C80" s="465"/>
      <c r="D80" s="466"/>
      <c r="E80" s="466">
        <f>E22-E10</f>
        <v>419446106.57506418</v>
      </c>
      <c r="F80" s="466"/>
      <c r="G80" s="466"/>
      <c r="H80" s="466"/>
      <c r="I80" s="466"/>
      <c r="J80" s="466"/>
      <c r="K80" s="466"/>
      <c r="L80" s="466"/>
      <c r="M80" s="466"/>
      <c r="N80" s="466"/>
      <c r="O80" s="466"/>
      <c r="P80" s="466"/>
      <c r="Q80" s="466"/>
      <c r="R80" s="466"/>
      <c r="S80" s="466"/>
      <c r="T80" s="466"/>
      <c r="U80" s="466"/>
      <c r="V80" s="466"/>
      <c r="W80" s="466"/>
      <c r="X80" s="466"/>
      <c r="Y80" s="466"/>
      <c r="Z80" s="466"/>
      <c r="AA80" s="466"/>
      <c r="AB80" s="466"/>
      <c r="AC80" s="466"/>
      <c r="AD80" s="466"/>
      <c r="AE80" s="466"/>
      <c r="AF80" s="466"/>
      <c r="AG80" s="466"/>
      <c r="AH80" s="466"/>
      <c r="AI80" s="466"/>
      <c r="AJ80" s="466"/>
      <c r="AK80" s="466"/>
      <c r="AL80" s="466"/>
      <c r="AM80" s="466"/>
      <c r="AN80" s="466"/>
      <c r="AO80" s="466"/>
      <c r="AP80" s="466"/>
      <c r="AQ80" s="466"/>
      <c r="AR80" s="466"/>
      <c r="AS80" s="466"/>
      <c r="AT80" s="466"/>
      <c r="AU80" s="466"/>
      <c r="AV80" s="466"/>
      <c r="AW80" s="466"/>
      <c r="AX80" s="466"/>
      <c r="BM80" s="604"/>
      <c r="BN80" s="604"/>
      <c r="BO80" s="604"/>
      <c r="BP80" s="531"/>
      <c r="BQ80" s="607"/>
    </row>
    <row r="81" spans="1:69" s="115" customFormat="1" hidden="1" x14ac:dyDescent="0.3">
      <c r="A81" s="463"/>
      <c r="B81" s="464"/>
      <c r="C81" s="465"/>
      <c r="D81" s="466"/>
      <c r="E81" s="466"/>
      <c r="F81" s="466"/>
      <c r="G81" s="466"/>
      <c r="H81" s="466"/>
      <c r="I81" s="466"/>
      <c r="J81" s="466"/>
      <c r="K81" s="466"/>
      <c r="L81" s="466"/>
      <c r="M81" s="466"/>
      <c r="N81" s="466"/>
      <c r="O81" s="466"/>
      <c r="P81" s="466"/>
      <c r="Q81" s="466"/>
      <c r="R81" s="466"/>
      <c r="S81" s="466"/>
      <c r="T81" s="466"/>
      <c r="U81" s="466"/>
      <c r="V81" s="466">
        <v>824053700</v>
      </c>
      <c r="W81" s="466"/>
      <c r="X81" s="466"/>
      <c r="Y81" s="466"/>
      <c r="Z81" s="466"/>
      <c r="AA81" s="466"/>
      <c r="AB81" s="466"/>
      <c r="AC81" s="466"/>
      <c r="AD81" s="466"/>
      <c r="AE81" s="466"/>
      <c r="AF81" s="466"/>
      <c r="AG81" s="466"/>
      <c r="AH81" s="466"/>
      <c r="AI81" s="466"/>
      <c r="AJ81" s="466"/>
      <c r="AK81" s="466"/>
      <c r="AL81" s="466"/>
      <c r="AM81" s="466"/>
      <c r="AN81" s="466"/>
      <c r="AO81" s="466"/>
      <c r="AP81" s="466">
        <f>AO74-AP74</f>
        <v>-5.9999823570251465E-3</v>
      </c>
      <c r="AQ81" s="466"/>
      <c r="AR81" s="466"/>
      <c r="AS81" s="466"/>
      <c r="AT81" s="466"/>
      <c r="AU81" s="466"/>
      <c r="AV81" s="466"/>
      <c r="AW81" s="466"/>
      <c r="AX81" s="466"/>
      <c r="BM81" s="604"/>
      <c r="BN81" s="604"/>
      <c r="BO81" s="604"/>
      <c r="BP81" s="531"/>
      <c r="BQ81" s="607"/>
    </row>
    <row r="82" spans="1:69" s="115" customFormat="1" hidden="1" x14ac:dyDescent="0.3">
      <c r="A82" s="463"/>
      <c r="B82" s="464"/>
      <c r="C82" s="465"/>
      <c r="D82" s="466"/>
      <c r="E82" s="466"/>
      <c r="F82" s="466">
        <f>F10-F22</f>
        <v>2613431.1624732018</v>
      </c>
      <c r="G82" s="466"/>
      <c r="H82" s="466"/>
      <c r="I82" s="466"/>
      <c r="J82" s="466"/>
      <c r="K82" s="466"/>
      <c r="L82" s="466"/>
      <c r="M82" s="466"/>
      <c r="N82" s="466"/>
      <c r="O82" s="466"/>
      <c r="P82" s="466"/>
      <c r="Q82" s="466"/>
      <c r="R82" s="466"/>
      <c r="S82" s="466"/>
      <c r="T82" s="466"/>
      <c r="U82" s="466"/>
      <c r="V82" s="466">
        <f>V81-X10-AA10-1896500.82-6372300</f>
        <v>786775320.70999992</v>
      </c>
      <c r="W82" s="466"/>
      <c r="X82" s="466"/>
      <c r="Y82" s="466"/>
      <c r="Z82" s="466"/>
      <c r="AA82" s="466"/>
      <c r="AB82" s="466"/>
      <c r="AC82" s="466"/>
      <c r="AD82" s="466"/>
      <c r="AE82" s="466"/>
      <c r="AF82" s="466"/>
      <c r="AG82" s="466"/>
      <c r="AH82" s="466"/>
      <c r="AI82" s="466"/>
      <c r="AJ82" s="466"/>
      <c r="AK82" s="466"/>
      <c r="AL82" s="466"/>
      <c r="AM82" s="466"/>
      <c r="AN82" s="466"/>
      <c r="AO82" s="466"/>
      <c r="AP82" s="466"/>
      <c r="AQ82" s="466"/>
      <c r="AR82" s="466"/>
      <c r="AS82" s="466"/>
      <c r="AT82" s="466"/>
      <c r="AU82" s="466"/>
      <c r="AV82" s="466"/>
      <c r="AW82" s="466"/>
      <c r="AX82" s="466"/>
      <c r="BM82" s="604"/>
      <c r="BN82" s="604"/>
      <c r="BO82" s="604"/>
      <c r="BP82" s="531"/>
      <c r="BQ82" s="607"/>
    </row>
    <row r="83" spans="1:69" s="115" customFormat="1" hidden="1" x14ac:dyDescent="0.3">
      <c r="A83" s="463"/>
      <c r="B83" s="464"/>
      <c r="C83" s="465"/>
      <c r="D83" s="466"/>
      <c r="E83" s="466"/>
      <c r="F83" s="466" t="b">
        <f>F75=F82</f>
        <v>0</v>
      </c>
      <c r="G83" s="466"/>
      <c r="H83" s="466"/>
      <c r="I83" s="466"/>
      <c r="J83" s="466"/>
      <c r="K83" s="466"/>
      <c r="L83" s="466"/>
      <c r="M83" s="466"/>
      <c r="N83" s="466"/>
      <c r="O83" s="466"/>
      <c r="P83" s="466"/>
      <c r="Q83" s="466"/>
      <c r="R83" s="466"/>
      <c r="S83" s="466"/>
      <c r="T83" s="466"/>
      <c r="U83" s="466"/>
      <c r="V83" s="466"/>
      <c r="W83" s="466"/>
      <c r="X83" s="466"/>
      <c r="Y83" s="466"/>
      <c r="Z83" s="466"/>
      <c r="AA83" s="466"/>
      <c r="AB83" s="466"/>
      <c r="AC83" s="466"/>
      <c r="AD83" s="466"/>
      <c r="AE83" s="466"/>
      <c r="AF83" s="466"/>
      <c r="AG83" s="466"/>
      <c r="AH83" s="466"/>
      <c r="AI83" s="466"/>
      <c r="AJ83" s="466"/>
      <c r="AK83" s="466"/>
      <c r="AL83" s="466"/>
      <c r="AM83" s="466"/>
      <c r="AN83" s="466"/>
      <c r="AO83" s="466"/>
      <c r="AP83" s="466"/>
      <c r="AQ83" s="466"/>
      <c r="AR83" s="466"/>
      <c r="AS83" s="466"/>
      <c r="AT83" s="466"/>
      <c r="AU83" s="466"/>
      <c r="AV83" s="466"/>
      <c r="AW83" s="466"/>
      <c r="AX83" s="466"/>
      <c r="BM83" s="604"/>
      <c r="BN83" s="604"/>
      <c r="BO83" s="604"/>
      <c r="BP83" s="531"/>
      <c r="BQ83" s="607"/>
    </row>
    <row r="84" spans="1:69" s="115" customFormat="1" hidden="1" x14ac:dyDescent="0.3">
      <c r="A84" s="463"/>
      <c r="B84" s="464"/>
      <c r="C84" s="465"/>
      <c r="D84" s="466"/>
      <c r="E84" s="466"/>
      <c r="F84" s="466"/>
      <c r="G84" s="466"/>
      <c r="H84" s="466"/>
      <c r="I84" s="466"/>
      <c r="J84" s="466"/>
      <c r="K84" s="466"/>
      <c r="L84" s="466"/>
      <c r="M84" s="466"/>
      <c r="N84" s="466"/>
      <c r="O84" s="466"/>
      <c r="P84" s="466"/>
      <c r="Q84" s="466"/>
      <c r="R84" s="466"/>
      <c r="S84" s="466"/>
      <c r="T84" s="466"/>
      <c r="U84" s="466"/>
      <c r="V84" s="466"/>
      <c r="W84" s="466"/>
      <c r="X84" s="466"/>
      <c r="Y84" s="466"/>
      <c r="Z84" s="466"/>
      <c r="AA84" s="466"/>
      <c r="AB84" s="466"/>
      <c r="AC84" s="466"/>
      <c r="AD84" s="466"/>
      <c r="AE84" s="466"/>
      <c r="AF84" s="466"/>
      <c r="AG84" s="466"/>
      <c r="AH84" s="466"/>
      <c r="AI84" s="466"/>
      <c r="AJ84" s="466"/>
      <c r="AK84" s="466"/>
      <c r="AL84" s="466"/>
      <c r="AM84" s="466"/>
      <c r="AN84" s="466"/>
      <c r="AO84" s="466"/>
      <c r="AP84" s="466"/>
      <c r="AQ84" s="466"/>
      <c r="AR84" s="466"/>
      <c r="AS84" s="466"/>
      <c r="AT84" s="466"/>
      <c r="AU84" s="466"/>
      <c r="AV84" s="466"/>
      <c r="AW84" s="466"/>
      <c r="AX84" s="466"/>
      <c r="BM84" s="604"/>
      <c r="BN84" s="604"/>
      <c r="BO84" s="604"/>
      <c r="BP84" s="531"/>
      <c r="BQ84" s="607"/>
    </row>
    <row r="85" spans="1:69" s="115" customFormat="1" hidden="1" x14ac:dyDescent="0.3">
      <c r="A85" s="463"/>
      <c r="B85" s="464"/>
      <c r="C85" s="465"/>
      <c r="D85" s="466"/>
      <c r="E85" s="466"/>
      <c r="F85" s="466"/>
      <c r="G85" s="283">
        <v>493797.89</v>
      </c>
      <c r="H85" s="157">
        <v>493797.8900000155</v>
      </c>
      <c r="I85" s="298">
        <v>1.548323780298233E-8</v>
      </c>
      <c r="J85" s="467"/>
      <c r="K85" s="467"/>
      <c r="L85" s="467"/>
      <c r="M85" s="467"/>
      <c r="N85" s="467"/>
      <c r="O85" s="467"/>
      <c r="P85" s="467"/>
      <c r="Q85" s="468"/>
      <c r="R85" s="468"/>
      <c r="S85" s="468"/>
      <c r="T85" s="468"/>
      <c r="U85" s="468"/>
      <c r="V85" s="468"/>
      <c r="W85" s="468"/>
      <c r="X85" s="468"/>
      <c r="Y85" s="468"/>
      <c r="Z85" s="468"/>
      <c r="AA85" s="468"/>
      <c r="AB85" s="468"/>
      <c r="AC85" s="468"/>
      <c r="AD85" s="468"/>
      <c r="AE85" s="468"/>
      <c r="AF85" s="468"/>
      <c r="AG85" s="468"/>
      <c r="AH85" s="468"/>
      <c r="AI85" s="468"/>
      <c r="AJ85" s="469"/>
      <c r="AK85" s="469"/>
      <c r="AL85" s="470"/>
      <c r="AM85" s="470"/>
      <c r="AN85" s="470"/>
      <c r="AO85" s="470"/>
      <c r="AP85" s="470"/>
      <c r="AQ85" s="470"/>
      <c r="AR85" s="470"/>
      <c r="AS85" s="470"/>
      <c r="AT85" s="470"/>
      <c r="AU85" s="470"/>
      <c r="AV85" s="470"/>
      <c r="AW85" s="470"/>
      <c r="AX85" s="470"/>
      <c r="BM85" s="604"/>
      <c r="BN85" s="604"/>
      <c r="BO85" s="604"/>
      <c r="BP85" s="531"/>
      <c r="BQ85" s="607"/>
    </row>
    <row r="86" spans="1:69" ht="19.5" hidden="1" thickBot="1" x14ac:dyDescent="0.35">
      <c r="G86" s="407">
        <v>-2.1200180053710938E-3</v>
      </c>
      <c r="H86" s="304">
        <v>0</v>
      </c>
      <c r="I86" s="377">
        <v>2.1200180053710938E-3</v>
      </c>
      <c r="J86" s="117"/>
      <c r="K86" s="117"/>
      <c r="L86" s="117"/>
      <c r="M86" s="117"/>
      <c r="N86" s="117"/>
      <c r="O86" s="117"/>
      <c r="P86" s="117"/>
      <c r="Q86" s="117"/>
      <c r="R86" s="117"/>
      <c r="S86" s="117"/>
      <c r="T86" s="111">
        <v>49006743.600000001</v>
      </c>
      <c r="U86" s="117" t="s">
        <v>237</v>
      </c>
      <c r="V86" s="117"/>
      <c r="W86" s="117"/>
      <c r="X86" s="117"/>
      <c r="Y86" s="117"/>
      <c r="Z86" s="117"/>
      <c r="AA86" s="117"/>
      <c r="AB86" s="117"/>
      <c r="AC86" s="117"/>
      <c r="AD86" s="117"/>
      <c r="AE86" s="117"/>
      <c r="AF86" s="117"/>
      <c r="AG86" s="117"/>
      <c r="AH86" s="117"/>
      <c r="AI86" s="117"/>
      <c r="AL86" s="137">
        <f>AL22-AL10</f>
        <v>10179839.442763567</v>
      </c>
      <c r="AM86" s="137">
        <f>AM22-AM10</f>
        <v>10179839.448763549</v>
      </c>
      <c r="AO86" s="137">
        <f>AO22-AO10</f>
        <v>9808185.4527635574</v>
      </c>
      <c r="AP86" s="137">
        <f>AP22-AP10</f>
        <v>9808185.4587635398</v>
      </c>
      <c r="AQ86" s="137"/>
      <c r="AR86" s="137">
        <f t="shared" ref="AR86:AS86" si="71">AR22-AR10</f>
        <v>371653.98999999464</v>
      </c>
      <c r="AS86" s="137">
        <f t="shared" si="71"/>
        <v>371653.99000000209</v>
      </c>
    </row>
    <row r="87" spans="1:69" hidden="1" x14ac:dyDescent="0.3">
      <c r="D87" s="111">
        <f>D22-D10</f>
        <v>422059537.73753738</v>
      </c>
      <c r="G87" s="466"/>
      <c r="H87" s="466"/>
      <c r="I87" s="471"/>
      <c r="J87" s="117"/>
      <c r="K87" s="111"/>
      <c r="L87" s="111"/>
      <c r="M87" s="111"/>
      <c r="N87" s="117"/>
      <c r="O87" s="117"/>
      <c r="P87" s="117"/>
      <c r="Q87" s="117"/>
      <c r="R87" s="117"/>
      <c r="S87" s="117"/>
      <c r="T87" s="111">
        <f>T75-T86</f>
        <v>156608048.77000001</v>
      </c>
      <c r="U87" s="117" t="s">
        <v>197</v>
      </c>
      <c r="V87" s="117"/>
      <c r="W87" s="117"/>
      <c r="X87" s="117"/>
      <c r="Y87" s="117"/>
      <c r="Z87" s="117"/>
      <c r="AA87" s="117"/>
      <c r="AB87" s="117"/>
      <c r="AC87" s="117"/>
      <c r="AD87" s="117"/>
      <c r="AE87" s="117"/>
      <c r="AF87" s="117"/>
      <c r="AG87" s="117"/>
      <c r="AH87" s="117"/>
      <c r="AI87" s="117"/>
    </row>
    <row r="88" spans="1:69" hidden="1" x14ac:dyDescent="0.3">
      <c r="G88" s="157">
        <v>493797.8921200037</v>
      </c>
      <c r="H88" s="157">
        <v>493797.8900000155</v>
      </c>
      <c r="I88" s="157">
        <v>-2.1199882030487061E-3</v>
      </c>
      <c r="J88" s="117">
        <v>211</v>
      </c>
      <c r="K88" s="111">
        <v>170582.06</v>
      </c>
      <c r="L88" s="111"/>
      <c r="M88" s="111"/>
      <c r="N88" s="117"/>
      <c r="O88" s="117"/>
      <c r="P88" s="117"/>
      <c r="Q88" s="117"/>
      <c r="R88" s="117"/>
      <c r="S88" s="117"/>
      <c r="T88" s="117"/>
      <c r="U88" s="117"/>
      <c r="V88" s="117"/>
      <c r="W88" s="117"/>
      <c r="X88" s="117"/>
      <c r="Y88" s="117"/>
      <c r="Z88" s="117"/>
      <c r="AA88" s="117"/>
      <c r="AB88" s="117"/>
      <c r="AC88" s="117"/>
      <c r="AD88" s="117"/>
      <c r="AE88" s="117"/>
      <c r="AF88" s="117"/>
      <c r="AG88" s="117"/>
      <c r="AH88" s="117"/>
      <c r="AI88" s="117"/>
      <c r="AJ88" s="117">
        <v>211</v>
      </c>
      <c r="AK88" s="137">
        <v>109680.99846390169</v>
      </c>
      <c r="AO88" s="263"/>
      <c r="AP88" s="263"/>
      <c r="AQ88" s="263"/>
      <c r="AR88" s="137">
        <v>2818.05</v>
      </c>
      <c r="AS88" s="137"/>
      <c r="AT88" s="137"/>
      <c r="AU88" s="151">
        <v>221</v>
      </c>
      <c r="AV88" s="151"/>
      <c r="AW88" s="151"/>
      <c r="AX88" s="151"/>
    </row>
    <row r="89" spans="1:69" hidden="1" x14ac:dyDescent="0.3">
      <c r="G89" s="466">
        <v>493797.88999998569</v>
      </c>
      <c r="H89" s="466">
        <v>493797.8900000155</v>
      </c>
      <c r="I89" s="466">
        <v>2.9802322387695313E-8</v>
      </c>
      <c r="J89" s="117">
        <v>213</v>
      </c>
      <c r="K89" s="111">
        <f>K88*30.2%+0.01</f>
        <v>51515.792119999998</v>
      </c>
      <c r="L89" s="111"/>
      <c r="M89" s="111"/>
      <c r="N89" s="117"/>
      <c r="O89" s="117"/>
      <c r="P89" s="117"/>
      <c r="Q89" s="117"/>
      <c r="R89" s="117"/>
      <c r="S89" s="117"/>
      <c r="T89" s="117"/>
      <c r="U89" s="117"/>
      <c r="V89" s="117"/>
      <c r="W89" s="117"/>
      <c r="X89" s="117"/>
      <c r="Y89" s="117"/>
      <c r="Z89" s="117"/>
      <c r="AA89" s="117"/>
      <c r="AB89" s="117"/>
      <c r="AC89" s="117"/>
      <c r="AD89" s="117"/>
      <c r="AE89" s="117"/>
      <c r="AF89" s="117"/>
      <c r="AG89" s="117"/>
      <c r="AH89" s="117"/>
      <c r="AI89" s="117"/>
      <c r="AJ89" s="117">
        <v>213</v>
      </c>
      <c r="AK89" s="137">
        <v>33123.660000000003</v>
      </c>
      <c r="AO89" s="263"/>
      <c r="AP89" s="263"/>
      <c r="AQ89" s="263"/>
      <c r="AR89" s="137">
        <v>63920</v>
      </c>
      <c r="AS89" s="137"/>
      <c r="AT89" s="137"/>
      <c r="AU89" s="151">
        <v>310</v>
      </c>
      <c r="AV89" s="151"/>
      <c r="AW89" s="151"/>
      <c r="AX89" s="151"/>
    </row>
    <row r="90" spans="1:69" hidden="1" x14ac:dyDescent="0.3">
      <c r="G90" s="466" t="b">
        <v>0</v>
      </c>
      <c r="H90" s="466" t="b">
        <v>1</v>
      </c>
      <c r="I90" s="466" t="b">
        <v>0</v>
      </c>
      <c r="J90" s="117">
        <v>226</v>
      </c>
      <c r="K90" s="111">
        <v>176906.04</v>
      </c>
      <c r="L90" s="111"/>
      <c r="M90" s="111"/>
      <c r="N90" s="117"/>
      <c r="O90" s="117"/>
      <c r="P90" s="117"/>
      <c r="Q90" s="111"/>
      <c r="R90" s="111"/>
      <c r="S90" s="111"/>
      <c r="T90" s="111"/>
      <c r="U90" s="117"/>
      <c r="V90" s="117"/>
      <c r="W90" s="117"/>
      <c r="X90" s="117"/>
      <c r="Y90" s="117"/>
      <c r="Z90" s="117"/>
      <c r="AA90" s="117"/>
      <c r="AB90" s="117"/>
      <c r="AC90" s="117"/>
      <c r="AD90" s="117"/>
      <c r="AE90" s="117"/>
      <c r="AF90" s="117"/>
      <c r="AG90" s="117"/>
      <c r="AH90" s="117"/>
      <c r="AI90" s="117"/>
      <c r="AK90" s="137">
        <f>SUM(AK88:AK89)</f>
        <v>142804.65846390169</v>
      </c>
      <c r="AO90" s="264">
        <f>AO74</f>
        <v>9808185.4527635574</v>
      </c>
      <c r="AP90" s="264"/>
      <c r="AQ90" s="264"/>
      <c r="AR90" s="137">
        <v>1155747.52</v>
      </c>
      <c r="AS90" s="137"/>
      <c r="AT90" s="137"/>
      <c r="AU90" s="151">
        <v>340</v>
      </c>
      <c r="AV90" s="151"/>
      <c r="AW90" s="151"/>
      <c r="AX90" s="151"/>
    </row>
    <row r="91" spans="1:69" hidden="1" x14ac:dyDescent="0.3">
      <c r="G91" s="117"/>
      <c r="H91" s="117"/>
      <c r="I91" s="117"/>
      <c r="J91" s="117">
        <v>340</v>
      </c>
      <c r="K91" s="111">
        <v>94794</v>
      </c>
      <c r="L91" s="111"/>
      <c r="M91" s="111"/>
      <c r="N91" s="117"/>
      <c r="O91" s="117"/>
      <c r="P91" s="117"/>
      <c r="Q91" s="117"/>
      <c r="R91" s="117"/>
      <c r="S91" s="117"/>
      <c r="T91" s="117"/>
      <c r="U91" s="117"/>
      <c r="V91" s="117"/>
      <c r="W91" s="117"/>
      <c r="X91" s="117"/>
      <c r="Y91" s="117"/>
      <c r="Z91" s="117"/>
      <c r="AA91" s="117"/>
      <c r="AB91" s="117"/>
      <c r="AC91" s="117"/>
      <c r="AD91" s="117"/>
      <c r="AE91" s="117"/>
      <c r="AF91" s="117"/>
      <c r="AG91" s="117"/>
      <c r="AH91" s="117"/>
      <c r="AI91" s="117"/>
    </row>
    <row r="92" spans="1:69" s="531" customFormat="1" hidden="1" x14ac:dyDescent="0.3">
      <c r="C92" s="532"/>
      <c r="H92" s="535">
        <f>H22-H85</f>
        <v>239248393.08630076</v>
      </c>
      <c r="K92" s="533">
        <f>SUM(K88:K91)</f>
        <v>493797.89211999997</v>
      </c>
      <c r="L92" s="533"/>
      <c r="M92" s="533"/>
      <c r="AK92" s="534"/>
      <c r="AL92" s="534"/>
      <c r="AM92" s="534"/>
      <c r="AN92" s="534"/>
      <c r="BQ92" s="602"/>
    </row>
    <row r="93" spans="1:69" s="531" customFormat="1" hidden="1" x14ac:dyDescent="0.3">
      <c r="C93" s="532"/>
      <c r="G93" s="531" t="s">
        <v>450</v>
      </c>
      <c r="H93" s="535">
        <f>212239200+57300000</f>
        <v>269539200</v>
      </c>
      <c r="I93" s="533">
        <f>H93+H85</f>
        <v>270032997.88999999</v>
      </c>
      <c r="K93" s="533"/>
      <c r="L93" s="533"/>
      <c r="M93" s="533"/>
      <c r="AK93" s="534"/>
      <c r="AL93" s="534"/>
      <c r="AM93" s="534"/>
      <c r="AN93" s="534"/>
      <c r="BQ93" s="602"/>
    </row>
    <row r="94" spans="1:69" hidden="1" x14ac:dyDescent="0.3">
      <c r="G94" s="117"/>
      <c r="H94" s="111">
        <f>H93-H92</f>
        <v>30290806.913699239</v>
      </c>
      <c r="I94" s="117"/>
      <c r="J94" s="117"/>
      <c r="K94" s="111"/>
      <c r="L94" s="111"/>
      <c r="M94" s="111"/>
      <c r="N94" s="117"/>
      <c r="O94" s="117"/>
      <c r="P94" s="117"/>
      <c r="Q94" s="117"/>
      <c r="R94" s="117"/>
      <c r="S94" s="117"/>
      <c r="T94" s="117"/>
      <c r="U94" s="117"/>
      <c r="V94" s="117"/>
      <c r="W94" s="117"/>
      <c r="X94" s="117"/>
      <c r="Y94" s="117"/>
      <c r="Z94" s="117"/>
      <c r="AA94" s="117"/>
      <c r="AB94" s="117"/>
      <c r="AC94" s="117"/>
      <c r="AD94" s="117"/>
      <c r="AE94" s="117"/>
      <c r="AF94" s="117"/>
      <c r="AG94" s="117"/>
      <c r="AH94" s="117"/>
      <c r="AI94" s="117"/>
    </row>
    <row r="95" spans="1:69" hidden="1" x14ac:dyDescent="0.3">
      <c r="G95" s="117"/>
      <c r="H95" s="117"/>
      <c r="I95" s="117"/>
      <c r="J95" s="117"/>
      <c r="K95" s="117"/>
      <c r="L95" s="117"/>
      <c r="M95" s="117"/>
      <c r="N95" s="117"/>
      <c r="O95" s="117"/>
      <c r="P95" s="117"/>
      <c r="Q95" s="117"/>
      <c r="R95" s="117"/>
      <c r="S95" s="117"/>
      <c r="T95" s="117"/>
      <c r="U95" s="117"/>
      <c r="V95" s="117"/>
      <c r="W95" s="117"/>
      <c r="X95" s="117"/>
      <c r="Y95" s="117"/>
      <c r="Z95" s="117"/>
      <c r="AA95" s="117"/>
      <c r="AB95" s="117"/>
      <c r="AC95" s="117"/>
      <c r="AD95" s="117"/>
      <c r="AE95" s="117"/>
      <c r="AF95" s="117"/>
      <c r="AG95" s="117"/>
      <c r="AH95" s="117"/>
      <c r="AI95" s="117"/>
    </row>
    <row r="96" spans="1:69" hidden="1" x14ac:dyDescent="0.3">
      <c r="E96" s="111">
        <f>E44-T44-AM44</f>
        <v>1289985709.3799999</v>
      </c>
      <c r="G96" s="117"/>
      <c r="H96" s="117"/>
      <c r="I96" s="117"/>
      <c r="J96" s="117"/>
      <c r="K96" s="117"/>
      <c r="L96" s="117"/>
      <c r="M96" s="117"/>
      <c r="N96" s="117"/>
      <c r="O96" s="117"/>
      <c r="P96" s="117"/>
      <c r="Q96" s="117"/>
      <c r="R96" s="117"/>
      <c r="S96" s="117"/>
      <c r="T96" s="117"/>
      <c r="U96" s="117"/>
      <c r="V96" s="117"/>
      <c r="W96" s="117"/>
      <c r="X96" s="117"/>
      <c r="Y96" s="117"/>
      <c r="Z96" s="117"/>
      <c r="AA96" s="117"/>
      <c r="AB96" s="117"/>
      <c r="AC96" s="117"/>
      <c r="AD96" s="117"/>
      <c r="AE96" s="117"/>
      <c r="AF96" s="117"/>
      <c r="AG96" s="117"/>
      <c r="AH96" s="117"/>
      <c r="AI96" s="117"/>
    </row>
    <row r="97" spans="5:69" hidden="1" x14ac:dyDescent="0.3">
      <c r="G97" s="117"/>
      <c r="H97" s="117"/>
      <c r="I97" s="117"/>
      <c r="J97" s="117"/>
      <c r="K97" s="117"/>
      <c r="L97" s="117"/>
      <c r="M97" s="117"/>
      <c r="N97" s="117"/>
      <c r="O97" s="117"/>
      <c r="P97" s="117"/>
      <c r="Q97" s="117"/>
      <c r="R97" s="117"/>
      <c r="S97" s="117"/>
      <c r="T97" s="117"/>
      <c r="U97" s="117"/>
      <c r="V97" s="117"/>
      <c r="W97" s="117"/>
      <c r="X97" s="117"/>
      <c r="Y97" s="117"/>
      <c r="Z97" s="117"/>
      <c r="AA97" s="117"/>
      <c r="AB97" s="117"/>
      <c r="AC97" s="117"/>
      <c r="AD97" s="117"/>
      <c r="AE97" s="117"/>
      <c r="AF97" s="117"/>
      <c r="AG97" s="117"/>
      <c r="AH97" s="117"/>
      <c r="AI97" s="117"/>
    </row>
    <row r="98" spans="5:69" hidden="1" x14ac:dyDescent="0.3">
      <c r="G98" s="117"/>
      <c r="H98" s="117"/>
      <c r="I98" s="117"/>
      <c r="J98" s="117"/>
      <c r="K98" s="117"/>
      <c r="L98" s="117"/>
      <c r="M98" s="117"/>
      <c r="N98" s="117"/>
      <c r="O98" s="117"/>
      <c r="P98" s="117"/>
      <c r="Q98" s="117"/>
      <c r="R98" s="1030" t="s">
        <v>908</v>
      </c>
      <c r="S98" s="117"/>
      <c r="T98" s="117"/>
      <c r="U98" s="117"/>
      <c r="V98" s="602" t="s">
        <v>905</v>
      </c>
      <c r="W98" s="111">
        <f>SUM(W50:W97)</f>
        <v>2.9999971389770508E-2</v>
      </c>
      <c r="X98" s="602" t="s">
        <v>906</v>
      </c>
      <c r="Y98" s="117"/>
      <c r="Z98" s="117"/>
      <c r="AA98" s="117"/>
      <c r="AB98" s="602" t="s">
        <v>907</v>
      </c>
      <c r="AC98" s="117"/>
      <c r="AD98" s="117"/>
      <c r="AE98" s="117"/>
      <c r="AF98" s="117"/>
      <c r="AG98" s="117"/>
      <c r="AH98" s="117"/>
      <c r="AI98" s="117"/>
      <c r="BQ98" s="605"/>
    </row>
    <row r="99" spans="5:69" hidden="1" x14ac:dyDescent="0.3">
      <c r="E99" s="111"/>
      <c r="G99" s="117"/>
      <c r="H99" s="111">
        <f>H23-L99-L100-L101</f>
        <v>170782399.99630082</v>
      </c>
      <c r="I99" s="117"/>
      <c r="J99" s="117"/>
      <c r="K99" s="117">
        <v>211</v>
      </c>
      <c r="L99" s="111">
        <f>Санкционирование!AV25</f>
        <v>12712935.3365745</v>
      </c>
      <c r="M99" s="111">
        <f>L99</f>
        <v>12712935.3365745</v>
      </c>
      <c r="N99" s="117"/>
      <c r="O99" s="117"/>
      <c r="P99" s="117"/>
      <c r="Q99" s="880" t="s">
        <v>917</v>
      </c>
      <c r="R99" s="111">
        <v>146375908.19999999</v>
      </c>
      <c r="S99" s="117"/>
      <c r="T99" s="117"/>
      <c r="U99" s="117"/>
      <c r="V99" s="117">
        <v>211</v>
      </c>
      <c r="W99" s="117"/>
      <c r="X99" s="111">
        <f>'расчет норматив'!AC10</f>
        <v>130723623.19</v>
      </c>
      <c r="Y99" s="117"/>
      <c r="Z99" s="117"/>
      <c r="AA99" s="117"/>
      <c r="AB99" s="111">
        <f>115806600+15362600</f>
        <v>131169200</v>
      </c>
      <c r="AC99" s="117"/>
      <c r="AD99" s="117"/>
      <c r="AE99" s="117"/>
      <c r="AF99" s="117"/>
      <c r="AG99" s="117"/>
      <c r="AH99" s="117"/>
      <c r="AI99" s="117"/>
      <c r="AK99" s="1032">
        <v>530061.06000000006</v>
      </c>
      <c r="AP99" s="970">
        <v>9808185.4700000044</v>
      </c>
      <c r="AS99" s="111">
        <f>AS74-AR74</f>
        <v>7.4505805969238281E-9</v>
      </c>
      <c r="BP99" s="533">
        <f>BP74-AL74</f>
        <v>-17446203.48636353</v>
      </c>
      <c r="BQ99" s="605">
        <v>261252050.31999999</v>
      </c>
    </row>
    <row r="100" spans="5:69" hidden="1" x14ac:dyDescent="0.3">
      <c r="E100" s="117">
        <v>205614792.37</v>
      </c>
      <c r="G100" s="117"/>
      <c r="H100" s="111">
        <f>AB102-H99</f>
        <v>3.699183464050293E-3</v>
      </c>
      <c r="I100" s="117"/>
      <c r="J100" s="117"/>
      <c r="K100" s="117">
        <v>213</v>
      </c>
      <c r="L100" s="111">
        <f>Санкционирование!AV26</f>
        <v>4311035.7434254978</v>
      </c>
      <c r="M100" s="111">
        <f>'Лист2 (2)'!F13</f>
        <v>3811205.169999999</v>
      </c>
      <c r="N100" s="111">
        <f>L100-M100</f>
        <v>499830.57342549879</v>
      </c>
      <c r="O100" s="111">
        <f>'расчет норматив'!AC8+L99+L100</f>
        <v>187806371.08477378</v>
      </c>
      <c r="P100" s="117"/>
      <c r="Q100" s="880" t="s">
        <v>919</v>
      </c>
      <c r="R100" s="111">
        <v>429259.19</v>
      </c>
      <c r="S100" s="117"/>
      <c r="T100" s="117">
        <v>205614792.37</v>
      </c>
      <c r="U100" s="117"/>
      <c r="V100" s="117">
        <v>213</v>
      </c>
      <c r="W100" s="117"/>
      <c r="X100" s="111">
        <f>'расчет норматив'!AC11</f>
        <v>39613200</v>
      </c>
      <c r="Y100" s="117"/>
      <c r="Z100" s="117"/>
      <c r="AA100" s="117"/>
      <c r="AB100" s="111">
        <f>34973700+4639500</f>
        <v>39613200</v>
      </c>
      <c r="AC100" s="117"/>
      <c r="AD100" s="117"/>
      <c r="AE100" s="117"/>
      <c r="AF100" s="117"/>
      <c r="AG100" s="117"/>
      <c r="AH100" s="117"/>
      <c r="AI100" s="117"/>
      <c r="AJ100" s="117">
        <v>211</v>
      </c>
      <c r="AK100" s="1032">
        <f>AK99/1.302</f>
        <v>407112.94930875581</v>
      </c>
      <c r="BQ100" s="605">
        <f>BQ99-BQ75</f>
        <v>-971567.62999999523</v>
      </c>
    </row>
    <row r="101" spans="5:69" hidden="1" x14ac:dyDescent="0.3">
      <c r="E101" s="111">
        <f>E10+E74-E22</f>
        <v>205614792.36999989</v>
      </c>
      <c r="G101" s="117"/>
      <c r="H101" s="117"/>
      <c r="I101" s="117"/>
      <c r="J101" s="117"/>
      <c r="K101" s="117">
        <v>212</v>
      </c>
      <c r="L101" s="111">
        <f>Санкционирование!AV27</f>
        <v>79091.530000000028</v>
      </c>
      <c r="M101" s="117"/>
      <c r="N101" s="111">
        <f>L101</f>
        <v>79091.530000000028</v>
      </c>
      <c r="O101" s="111">
        <f>H23</f>
        <v>187885462.6063008</v>
      </c>
      <c r="P101" s="117"/>
      <c r="Q101" s="880" t="s">
        <v>918</v>
      </c>
      <c r="R101" s="111">
        <v>4389110</v>
      </c>
      <c r="S101" s="117"/>
      <c r="T101" s="117">
        <v>203001361.21000001</v>
      </c>
      <c r="U101" s="117"/>
      <c r="V101" s="117">
        <v>212</v>
      </c>
      <c r="W101" s="117"/>
      <c r="X101" s="111">
        <f>'расчет норматив'!AC12</f>
        <v>445576.81477379624</v>
      </c>
      <c r="Y101" s="117"/>
      <c r="Z101" s="117"/>
      <c r="AA101" s="117"/>
      <c r="AB101" s="117"/>
      <c r="AC101" s="117"/>
      <c r="AD101" s="117"/>
      <c r="AE101" s="117"/>
      <c r="AF101" s="117"/>
      <c r="AG101" s="117"/>
      <c r="AH101" s="117"/>
      <c r="AI101" s="117"/>
      <c r="AJ101" s="117">
        <v>213</v>
      </c>
      <c r="AK101" s="1032">
        <f>AK100*0.302</f>
        <v>122948.11069124425</v>
      </c>
    </row>
    <row r="102" spans="5:69" hidden="1" x14ac:dyDescent="0.3">
      <c r="G102" s="117"/>
      <c r="H102" s="117"/>
      <c r="I102" s="117"/>
      <c r="J102" s="117"/>
      <c r="K102" s="117">
        <v>221</v>
      </c>
      <c r="L102" s="111">
        <f>Санкционирование!AV47</f>
        <v>385393.10000000003</v>
      </c>
      <c r="M102" s="117"/>
      <c r="N102" s="111">
        <f t="shared" ref="N102:N112" si="72">L102</f>
        <v>385393.10000000003</v>
      </c>
      <c r="O102" s="117"/>
      <c r="P102" s="117"/>
      <c r="Q102" s="880" t="s">
        <v>920</v>
      </c>
      <c r="R102" s="111">
        <v>137961180.06</v>
      </c>
      <c r="S102" s="117"/>
      <c r="T102" s="117">
        <f>T100-T101</f>
        <v>2613431.1599999964</v>
      </c>
      <c r="U102" s="117"/>
      <c r="V102" s="117"/>
      <c r="W102" s="117"/>
      <c r="X102" s="111">
        <f>SUM(X99:X101)</f>
        <v>170782400.0047738</v>
      </c>
      <c r="Y102" s="117"/>
      <c r="Z102" s="117"/>
      <c r="AA102" s="117"/>
      <c r="AB102" s="111">
        <f>SUM(AB99:AB101)</f>
        <v>170782400</v>
      </c>
      <c r="AC102" s="117"/>
      <c r="AD102" s="117"/>
      <c r="AE102" s="137">
        <f>X102-AB102</f>
        <v>4.7737956047058105E-3</v>
      </c>
      <c r="AF102" s="117"/>
      <c r="AG102" s="117"/>
      <c r="AH102" s="117"/>
      <c r="AI102" s="117"/>
      <c r="AK102" s="1032">
        <f>AK100+AK101</f>
        <v>530061.06000000006</v>
      </c>
    </row>
    <row r="103" spans="5:69" hidden="1" x14ac:dyDescent="0.3">
      <c r="E103" s="111">
        <f>E74-D74</f>
        <v>-2.472996711730957E-3</v>
      </c>
      <c r="G103" s="117"/>
      <c r="H103" s="117"/>
      <c r="I103" s="117"/>
      <c r="J103" s="117"/>
      <c r="K103" s="117">
        <v>222</v>
      </c>
      <c r="L103" s="111">
        <f>Санкционирование!AV48</f>
        <v>0</v>
      </c>
      <c r="M103" s="117"/>
      <c r="N103" s="111">
        <f t="shared" si="72"/>
        <v>0</v>
      </c>
      <c r="O103" s="117"/>
      <c r="P103" s="117"/>
      <c r="Q103" s="880" t="s">
        <v>922</v>
      </c>
      <c r="R103" s="111">
        <v>860103.18</v>
      </c>
      <c r="S103" s="117"/>
      <c r="T103" s="117"/>
      <c r="U103" s="117"/>
      <c r="V103" s="117"/>
      <c r="W103" s="117"/>
      <c r="X103" s="117"/>
      <c r="Y103" s="117"/>
      <c r="Z103" s="117"/>
      <c r="AA103" s="117"/>
      <c r="AB103" s="602" t="s">
        <v>908</v>
      </c>
      <c r="AC103" s="117"/>
      <c r="AD103" s="117"/>
      <c r="AE103" s="117"/>
      <c r="AF103" s="117"/>
      <c r="AG103" s="117"/>
      <c r="AH103" s="117"/>
      <c r="AI103" s="117"/>
    </row>
    <row r="104" spans="5:69" hidden="1" x14ac:dyDescent="0.3">
      <c r="G104" s="117"/>
      <c r="H104" s="117"/>
      <c r="I104" s="117"/>
      <c r="J104" s="117"/>
      <c r="K104" s="117">
        <v>223</v>
      </c>
      <c r="L104" s="111">
        <f>Санкционирование!AV49</f>
        <v>804094.59999999963</v>
      </c>
      <c r="M104" s="117"/>
      <c r="N104" s="111">
        <f t="shared" si="72"/>
        <v>804094.59999999963</v>
      </c>
      <c r="O104" s="117"/>
      <c r="P104" s="117"/>
      <c r="Q104" s="880" t="s">
        <v>921</v>
      </c>
      <c r="R104" s="111">
        <v>87456589.090000004</v>
      </c>
      <c r="S104" s="117"/>
      <c r="T104" s="117"/>
      <c r="U104" s="117"/>
      <c r="V104" s="117">
        <v>211</v>
      </c>
      <c r="W104" s="117"/>
      <c r="X104" s="111">
        <f>L99</f>
        <v>12712935.3365745</v>
      </c>
      <c r="Y104" s="117"/>
      <c r="Z104" s="117"/>
      <c r="AA104" s="117"/>
      <c r="AB104" s="111">
        <f>L99</f>
        <v>12712935.3365745</v>
      </c>
      <c r="AC104" s="117"/>
      <c r="AD104" s="117"/>
      <c r="AE104" s="117"/>
      <c r="AF104" s="117"/>
      <c r="AG104" s="117"/>
      <c r="AH104" s="117"/>
      <c r="AI104" s="117"/>
    </row>
    <row r="105" spans="5:69" hidden="1" x14ac:dyDescent="0.3">
      <c r="G105" s="117"/>
      <c r="H105" s="117"/>
      <c r="I105" s="117"/>
      <c r="J105" s="117"/>
      <c r="K105" s="117">
        <v>225</v>
      </c>
      <c r="L105" s="111">
        <f>Санкционирование!AV54</f>
        <v>9226.5200000004843</v>
      </c>
      <c r="M105" s="117"/>
      <c r="N105" s="111">
        <f t="shared" si="72"/>
        <v>9226.5200000004843</v>
      </c>
      <c r="O105" s="117"/>
      <c r="P105" s="117"/>
      <c r="Q105" s="880" t="s">
        <v>923</v>
      </c>
      <c r="R105" s="111">
        <v>5533016.0999999996</v>
      </c>
      <c r="S105" s="117"/>
      <c r="T105" s="117"/>
      <c r="U105" s="117"/>
      <c r="V105" s="117">
        <v>213</v>
      </c>
      <c r="W105" s="117"/>
      <c r="X105" s="111">
        <f>L100</f>
        <v>4311035.7434254978</v>
      </c>
      <c r="Y105" s="117"/>
      <c r="Z105" s="117"/>
      <c r="AA105" s="117"/>
      <c r="AB105" s="111">
        <f>L100</f>
        <v>4311035.7434254978</v>
      </c>
      <c r="AC105" s="117"/>
      <c r="AD105" s="117"/>
      <c r="AE105" s="117"/>
      <c r="AF105" s="117"/>
      <c r="AG105" s="117"/>
      <c r="AH105" s="117"/>
      <c r="AI105" s="117"/>
    </row>
    <row r="106" spans="5:69" hidden="1" x14ac:dyDescent="0.3">
      <c r="G106" s="117"/>
      <c r="H106" s="117"/>
      <c r="I106" s="117"/>
      <c r="J106" s="117"/>
      <c r="K106" s="117">
        <v>226</v>
      </c>
      <c r="L106" s="111">
        <f>Санкционирование!AV58</f>
        <v>213871.7200000002</v>
      </c>
      <c r="M106" s="117"/>
      <c r="N106" s="111">
        <f t="shared" si="72"/>
        <v>213871.7200000002</v>
      </c>
      <c r="O106" s="117"/>
      <c r="P106" s="117"/>
      <c r="Q106" s="880"/>
      <c r="R106" s="111"/>
      <c r="S106" s="117"/>
      <c r="T106" s="117"/>
      <c r="U106" s="117"/>
      <c r="V106" s="117">
        <v>212</v>
      </c>
      <c r="W106" s="117"/>
      <c r="X106" s="111">
        <f>L101</f>
        <v>79091.530000000028</v>
      </c>
      <c r="Y106" s="117"/>
      <c r="Z106" s="117"/>
      <c r="AA106" s="117"/>
      <c r="AB106" s="111">
        <f>L101</f>
        <v>79091.530000000028</v>
      </c>
      <c r="AC106" s="117"/>
      <c r="AD106" s="117"/>
      <c r="AE106" s="117"/>
      <c r="AF106" s="117"/>
      <c r="AG106" s="117"/>
      <c r="AH106" s="117"/>
      <c r="AI106" s="117"/>
    </row>
    <row r="107" spans="5:69" hidden="1" x14ac:dyDescent="0.3">
      <c r="G107" s="117"/>
      <c r="H107" s="117"/>
      <c r="I107" s="117"/>
      <c r="J107" s="117"/>
      <c r="K107" s="117">
        <v>290</v>
      </c>
      <c r="L107" s="111">
        <f>Санкционирование!AV60</f>
        <v>1034</v>
      </c>
      <c r="M107" s="117"/>
      <c r="N107" s="111">
        <f t="shared" si="72"/>
        <v>1034</v>
      </c>
      <c r="O107" s="117"/>
      <c r="P107" s="111">
        <v>3814919.6568</v>
      </c>
      <c r="Q107" s="880"/>
      <c r="R107" s="111"/>
      <c r="S107" s="117"/>
      <c r="T107" s="117"/>
      <c r="U107" s="117"/>
      <c r="V107" s="117"/>
      <c r="W107" s="117"/>
      <c r="X107" s="117"/>
      <c r="Y107" s="117"/>
      <c r="Z107" s="117"/>
      <c r="AA107" s="117"/>
      <c r="AB107" s="117"/>
      <c r="AC107" s="117"/>
      <c r="AD107" s="117"/>
      <c r="AE107" s="117"/>
      <c r="AF107" s="117"/>
      <c r="AG107" s="117"/>
      <c r="AH107" s="117"/>
      <c r="AI107" s="117"/>
    </row>
    <row r="108" spans="5:69" hidden="1" x14ac:dyDescent="0.3">
      <c r="G108" s="117"/>
      <c r="H108" s="117"/>
      <c r="I108" s="117"/>
      <c r="J108" s="117"/>
      <c r="K108" s="117">
        <v>310</v>
      </c>
      <c r="L108" s="111">
        <f>Санкционирование!AV62</f>
        <v>73247.479999999981</v>
      </c>
      <c r="M108" s="117"/>
      <c r="N108" s="111">
        <f t="shared" si="72"/>
        <v>73247.479999999981</v>
      </c>
      <c r="O108" s="117"/>
      <c r="P108" s="111">
        <f>P107+L110+L111+L112</f>
        <v>5201006.3068000004</v>
      </c>
      <c r="Q108" s="880"/>
      <c r="R108" s="111"/>
      <c r="S108" s="117"/>
      <c r="T108" s="117"/>
      <c r="U108" s="117"/>
      <c r="V108" s="117"/>
      <c r="W108" s="117"/>
      <c r="X108" s="111">
        <f>X99+X100+X101+X105+X104+X106</f>
        <v>187885462.61477378</v>
      </c>
      <c r="Y108" s="117"/>
      <c r="Z108" s="117"/>
      <c r="AA108" s="117"/>
      <c r="AB108" s="111">
        <f>AB99+AB100+AB104+AB105+AB106</f>
        <v>187885462.60999998</v>
      </c>
      <c r="AC108" s="117"/>
      <c r="AD108" s="117"/>
      <c r="AE108" s="137">
        <f>X108-AB108</f>
        <v>4.7737956047058105E-3</v>
      </c>
      <c r="AF108" s="117"/>
      <c r="AG108" s="117"/>
      <c r="AH108" s="117"/>
      <c r="AI108" s="117"/>
    </row>
    <row r="109" spans="5:69" hidden="1" x14ac:dyDescent="0.3">
      <c r="G109" s="117"/>
      <c r="H109" s="117"/>
      <c r="I109" s="117"/>
      <c r="J109" s="117"/>
      <c r="K109" s="117">
        <v>340</v>
      </c>
      <c r="L109" s="111">
        <f>Санкционирование!AV65</f>
        <v>1096574.299999997</v>
      </c>
      <c r="M109" s="117"/>
      <c r="N109" s="111">
        <f t="shared" si="72"/>
        <v>1096574.299999997</v>
      </c>
      <c r="O109" s="117"/>
      <c r="P109" s="117"/>
      <c r="Q109" s="880"/>
      <c r="R109" s="111"/>
      <c r="S109" s="117"/>
      <c r="T109" s="117"/>
      <c r="U109" s="117"/>
      <c r="V109" s="117"/>
      <c r="W109" s="117"/>
      <c r="X109" s="117"/>
      <c r="Y109" s="117"/>
      <c r="Z109" s="117"/>
      <c r="AA109" s="117"/>
      <c r="AB109" s="117"/>
      <c r="AC109" s="117"/>
      <c r="AD109" s="117"/>
      <c r="AE109" s="117"/>
      <c r="AF109" s="117"/>
      <c r="AG109" s="117"/>
      <c r="AH109" s="117"/>
      <c r="AI109" s="117"/>
    </row>
    <row r="110" spans="5:69" hidden="1" x14ac:dyDescent="0.3">
      <c r="G110" s="117"/>
      <c r="H110" s="117"/>
      <c r="I110" s="117"/>
      <c r="J110" s="117"/>
      <c r="K110" s="117">
        <v>851</v>
      </c>
      <c r="L110" s="111">
        <f>Санкционирование!AV37</f>
        <v>1075176.6200000001</v>
      </c>
      <c r="M110" s="117"/>
      <c r="N110" s="111">
        <f t="shared" si="72"/>
        <v>1075176.6200000001</v>
      </c>
      <c r="O110" s="117"/>
      <c r="P110" s="117"/>
      <c r="Q110" s="880"/>
      <c r="R110" s="111">
        <f>R74-S74</f>
        <v>593808468.51999998</v>
      </c>
      <c r="S110" s="117"/>
      <c r="T110" s="117"/>
      <c r="U110" s="117"/>
      <c r="V110" s="117"/>
      <c r="W110" s="117"/>
      <c r="X110" s="117"/>
      <c r="Y110" s="117"/>
      <c r="Z110" s="117"/>
      <c r="AA110" s="117"/>
      <c r="AB110" s="117"/>
      <c r="AC110" s="117"/>
      <c r="AD110" s="117"/>
      <c r="AE110" s="117"/>
      <c r="AF110" s="117"/>
      <c r="AG110" s="117"/>
      <c r="AH110" s="117"/>
      <c r="AI110" s="117"/>
    </row>
    <row r="111" spans="5:69" hidden="1" x14ac:dyDescent="0.3">
      <c r="G111" s="117"/>
      <c r="H111" s="117"/>
      <c r="I111" s="117"/>
      <c r="J111" s="117"/>
      <c r="K111" s="117">
        <v>852</v>
      </c>
      <c r="L111" s="111">
        <f>Санкционирование!AV38</f>
        <v>209267.46000000002</v>
      </c>
      <c r="M111" s="117"/>
      <c r="N111" s="111">
        <f t="shared" si="72"/>
        <v>209267.46000000002</v>
      </c>
      <c r="O111" s="117"/>
      <c r="P111" s="117"/>
      <c r="Q111" s="880"/>
      <c r="R111" s="111"/>
      <c r="S111" s="117"/>
      <c r="T111" s="117"/>
      <c r="U111" s="117"/>
      <c r="V111" s="117"/>
      <c r="W111" s="117"/>
      <c r="X111" s="117"/>
      <c r="Y111" s="117"/>
      <c r="Z111" s="117"/>
      <c r="AA111" s="117"/>
      <c r="AB111" s="117"/>
      <c r="AC111" s="117"/>
      <c r="AD111" s="117"/>
      <c r="AE111" s="117"/>
      <c r="AF111" s="117"/>
      <c r="AG111" s="117"/>
      <c r="AH111" s="117"/>
      <c r="AI111" s="117"/>
    </row>
    <row r="112" spans="5:69" hidden="1" x14ac:dyDescent="0.3">
      <c r="G112" s="117"/>
      <c r="H112" s="117"/>
      <c r="I112" s="117"/>
      <c r="J112" s="117"/>
      <c r="K112" s="117">
        <v>853</v>
      </c>
      <c r="L112" s="111">
        <f>Санкционирование!AV39</f>
        <v>101642.56999999999</v>
      </c>
      <c r="M112" s="117"/>
      <c r="N112" s="111">
        <f t="shared" si="72"/>
        <v>101642.56999999999</v>
      </c>
      <c r="O112" s="117"/>
      <c r="P112" s="117"/>
      <c r="Q112" s="880"/>
      <c r="R112" s="111"/>
      <c r="S112" s="117"/>
      <c r="T112" s="117"/>
      <c r="U112" s="111">
        <f>1216891000.01-V10</f>
        <v>0</v>
      </c>
      <c r="V112" s="117"/>
      <c r="W112" s="117"/>
      <c r="X112" s="117"/>
      <c r="Y112" s="117"/>
      <c r="Z112" s="117"/>
      <c r="AA112" s="117"/>
      <c r="AB112" s="117"/>
      <c r="AC112" s="117"/>
      <c r="AD112" s="117"/>
      <c r="AE112" s="117"/>
      <c r="AF112" s="117"/>
      <c r="AG112" s="117"/>
      <c r="AH112" s="117"/>
      <c r="AI112" s="117"/>
    </row>
    <row r="113" spans="7:35" hidden="1" x14ac:dyDescent="0.3">
      <c r="G113" s="117"/>
      <c r="H113" s="117"/>
      <c r="I113" s="117"/>
      <c r="J113" s="117"/>
      <c r="K113" s="880" t="s">
        <v>293</v>
      </c>
      <c r="L113" s="111">
        <f>SUM(L99:L112)</f>
        <v>21072590.98</v>
      </c>
      <c r="M113" s="117"/>
      <c r="N113" s="111">
        <f>SUM(N99:N112)</f>
        <v>4548450.4734254964</v>
      </c>
      <c r="O113" s="117"/>
      <c r="P113" s="117"/>
      <c r="Q113" s="880"/>
      <c r="R113" s="111"/>
      <c r="S113" s="117"/>
      <c r="T113" s="117"/>
      <c r="U113" s="117"/>
      <c r="V113" s="117"/>
      <c r="W113" s="117"/>
      <c r="X113" s="117"/>
      <c r="Y113" s="117"/>
      <c r="Z113" s="117"/>
      <c r="AA113" s="117"/>
      <c r="AB113" s="117"/>
      <c r="AC113" s="117"/>
      <c r="AD113" s="117"/>
      <c r="AE113" s="117"/>
      <c r="AF113" s="117"/>
      <c r="AG113" s="117"/>
      <c r="AH113" s="117"/>
      <c r="AI113" s="117"/>
    </row>
    <row r="114" spans="7:35" hidden="1" x14ac:dyDescent="0.3">
      <c r="G114" s="117"/>
      <c r="H114" s="117"/>
      <c r="I114" s="117"/>
      <c r="J114" s="117"/>
      <c r="K114" s="117"/>
      <c r="L114" s="111" t="b">
        <f>L113=Санкционирование!AV22</f>
        <v>1</v>
      </c>
      <c r="M114" s="117"/>
      <c r="N114" s="117"/>
      <c r="O114" s="117"/>
      <c r="P114" s="117"/>
      <c r="Q114" s="880"/>
      <c r="R114" s="117"/>
      <c r="S114" s="117"/>
      <c r="T114" s="117"/>
      <c r="U114" s="117"/>
      <c r="V114" s="117"/>
      <c r="W114" s="117"/>
      <c r="X114" s="117"/>
      <c r="Y114" s="117"/>
      <c r="Z114" s="117"/>
      <c r="AA114" s="117"/>
      <c r="AB114" s="117"/>
      <c r="AC114" s="117"/>
      <c r="AD114" s="117"/>
      <c r="AE114" s="117"/>
      <c r="AF114" s="117"/>
      <c r="AG114" s="117"/>
      <c r="AH114" s="117"/>
      <c r="AI114" s="117"/>
    </row>
    <row r="115" spans="7:35" hidden="1" x14ac:dyDescent="0.3">
      <c r="G115" s="117"/>
      <c r="H115" s="117"/>
      <c r="I115" s="117"/>
      <c r="J115" s="117"/>
      <c r="K115" s="117"/>
      <c r="L115" s="111">
        <f>'[2]декабрь 2018'!$M$39</f>
        <v>21072590.979999892</v>
      </c>
      <c r="M115" s="117"/>
      <c r="N115" s="117"/>
      <c r="O115" s="117"/>
      <c r="P115" s="117"/>
      <c r="Q115" s="880"/>
      <c r="R115" s="117"/>
      <c r="S115" s="117"/>
      <c r="T115" s="117"/>
      <c r="U115" s="117"/>
      <c r="V115" s="117"/>
      <c r="W115" s="117"/>
      <c r="X115" s="117"/>
      <c r="Y115" s="117"/>
      <c r="Z115" s="117"/>
      <c r="AA115" s="117"/>
      <c r="AB115" s="117"/>
      <c r="AC115" s="117"/>
      <c r="AD115" s="117"/>
      <c r="AE115" s="117"/>
      <c r="AF115" s="117"/>
      <c r="AG115" s="117"/>
      <c r="AH115" s="117"/>
      <c r="AI115" s="117"/>
    </row>
    <row r="116" spans="7:35" hidden="1" x14ac:dyDescent="0.3">
      <c r="G116" s="117"/>
      <c r="H116" s="117"/>
      <c r="I116" s="117"/>
      <c r="J116" s="117"/>
      <c r="K116" s="117"/>
      <c r="L116" s="111">
        <f>H74-L113</f>
        <v>-3.699224442243576E-3</v>
      </c>
      <c r="M116" s="117"/>
      <c r="N116" s="117"/>
      <c r="O116" s="117"/>
      <c r="P116" s="117"/>
      <c r="Q116" s="880"/>
      <c r="R116" s="117"/>
      <c r="S116" s="117"/>
      <c r="T116" s="117"/>
      <c r="U116" s="117"/>
      <c r="V116" s="117"/>
      <c r="W116" s="117"/>
      <c r="X116" s="117"/>
      <c r="Y116" s="117"/>
      <c r="Z116" s="117"/>
      <c r="AA116" s="117"/>
      <c r="AB116" s="117"/>
      <c r="AC116" s="117"/>
      <c r="AD116" s="117"/>
      <c r="AE116" s="117"/>
      <c r="AF116" s="117"/>
      <c r="AG116" s="117"/>
      <c r="AH116" s="117"/>
      <c r="AI116" s="117"/>
    </row>
    <row r="117" spans="7:35" hidden="1" x14ac:dyDescent="0.3">
      <c r="G117" s="117"/>
      <c r="H117" s="117"/>
      <c r="I117" s="117"/>
      <c r="J117" s="117"/>
      <c r="K117" s="117"/>
      <c r="L117" s="117"/>
      <c r="M117" s="117"/>
      <c r="N117" s="117"/>
      <c r="O117" s="117"/>
      <c r="P117" s="117"/>
      <c r="Q117" s="117"/>
      <c r="R117" s="117"/>
      <c r="S117" s="117"/>
      <c r="T117" s="117"/>
      <c r="U117" s="117"/>
      <c r="V117" s="117"/>
      <c r="W117" s="117"/>
      <c r="X117" s="117"/>
      <c r="Y117" s="117"/>
      <c r="Z117" s="117"/>
      <c r="AA117" s="117"/>
      <c r="AB117" s="117"/>
      <c r="AC117" s="117"/>
      <c r="AD117" s="117"/>
      <c r="AE117" s="117"/>
      <c r="AF117" s="117"/>
      <c r="AG117" s="117"/>
      <c r="AH117" s="117"/>
      <c r="AI117" s="117"/>
    </row>
    <row r="118" spans="7:35" hidden="1" x14ac:dyDescent="0.3">
      <c r="G118" s="117"/>
      <c r="H118" s="117"/>
      <c r="I118" s="117"/>
      <c r="J118" s="117"/>
      <c r="K118" s="117"/>
      <c r="L118" s="117"/>
      <c r="M118" s="117"/>
      <c r="N118" s="117"/>
      <c r="O118" s="117"/>
      <c r="P118" s="117"/>
      <c r="Q118" s="117"/>
      <c r="R118" s="117"/>
      <c r="S118" s="117"/>
      <c r="T118" s="117"/>
      <c r="U118" s="117"/>
      <c r="V118" s="117"/>
      <c r="W118" s="117"/>
      <c r="X118" s="117"/>
      <c r="Y118" s="117"/>
      <c r="Z118" s="117"/>
      <c r="AA118" s="117"/>
      <c r="AB118" s="117"/>
      <c r="AC118" s="117"/>
      <c r="AD118" s="117"/>
      <c r="AE118" s="117"/>
      <c r="AF118" s="117"/>
      <c r="AG118" s="117"/>
      <c r="AH118" s="117"/>
      <c r="AI118" s="117"/>
    </row>
    <row r="119" spans="7:35" hidden="1" x14ac:dyDescent="0.3">
      <c r="G119" s="117"/>
      <c r="H119" s="117"/>
      <c r="I119" s="117"/>
      <c r="J119" s="117"/>
      <c r="K119" s="117"/>
      <c r="L119" s="117"/>
      <c r="M119" s="117"/>
      <c r="N119" s="117"/>
      <c r="O119" s="117"/>
      <c r="P119" s="117"/>
      <c r="Q119" s="117"/>
      <c r="R119" s="117"/>
      <c r="S119" s="117"/>
      <c r="T119" s="117"/>
      <c r="U119" s="117"/>
      <c r="V119" s="117"/>
      <c r="W119" s="117"/>
      <c r="X119" s="117"/>
      <c r="Y119" s="117"/>
      <c r="Z119" s="117"/>
      <c r="AA119" s="117"/>
      <c r="AB119" s="117"/>
      <c r="AC119" s="117"/>
      <c r="AD119" s="117"/>
      <c r="AE119" s="117"/>
      <c r="AF119" s="117"/>
      <c r="AG119" s="117"/>
      <c r="AH119" s="117"/>
      <c r="AI119" s="117"/>
    </row>
    <row r="120" spans="7:35" hidden="1" x14ac:dyDescent="0.3">
      <c r="G120" s="117"/>
      <c r="H120" s="117"/>
      <c r="I120" s="117"/>
      <c r="J120" s="117"/>
      <c r="K120" s="117"/>
      <c r="L120" s="117"/>
      <c r="M120" s="117"/>
      <c r="N120" s="117"/>
      <c r="O120" s="117"/>
      <c r="P120" s="117"/>
      <c r="Q120" s="117"/>
      <c r="R120" s="117"/>
      <c r="S120" s="117"/>
      <c r="T120" s="117"/>
      <c r="U120" s="117"/>
      <c r="V120" s="117"/>
      <c r="W120" s="117"/>
      <c r="X120" s="117"/>
      <c r="Y120" s="117"/>
      <c r="Z120" s="117"/>
      <c r="AA120" s="117"/>
      <c r="AB120" s="117"/>
      <c r="AC120" s="117"/>
      <c r="AD120" s="117"/>
      <c r="AE120" s="117"/>
      <c r="AF120" s="117"/>
      <c r="AG120" s="117"/>
      <c r="AH120" s="117"/>
      <c r="AI120" s="117"/>
    </row>
    <row r="121" spans="7:35" hidden="1" x14ac:dyDescent="0.3">
      <c r="G121" s="117"/>
      <c r="H121" s="117"/>
      <c r="I121" s="117"/>
      <c r="J121" s="117"/>
      <c r="K121" s="117"/>
      <c r="L121" s="117"/>
      <c r="M121" s="117"/>
      <c r="N121" s="117"/>
      <c r="O121" s="117"/>
      <c r="P121" s="117"/>
      <c r="Q121" s="117"/>
      <c r="R121" s="117"/>
      <c r="S121" s="117"/>
      <c r="T121" s="117"/>
      <c r="U121" s="117"/>
      <c r="V121" s="117"/>
      <c r="W121" s="117"/>
      <c r="X121" s="117"/>
      <c r="Y121" s="117"/>
      <c r="Z121" s="117"/>
      <c r="AA121" s="117"/>
      <c r="AB121" s="117"/>
      <c r="AC121" s="117"/>
      <c r="AD121" s="117"/>
      <c r="AE121" s="117"/>
      <c r="AF121" s="117"/>
      <c r="AG121" s="117"/>
      <c r="AH121" s="117"/>
      <c r="AI121" s="117"/>
    </row>
  </sheetData>
  <mergeCells count="53">
    <mergeCell ref="A5:A8"/>
    <mergeCell ref="B5:B8"/>
    <mergeCell ref="C5:C8"/>
    <mergeCell ref="D5:AX5"/>
    <mergeCell ref="D6:D8"/>
    <mergeCell ref="E6:E8"/>
    <mergeCell ref="F6:F8"/>
    <mergeCell ref="G6:AX6"/>
    <mergeCell ref="G7:G8"/>
    <mergeCell ref="H7:H8"/>
    <mergeCell ref="B25:B27"/>
    <mergeCell ref="B28:B31"/>
    <mergeCell ref="AG7:AG8"/>
    <mergeCell ref="AH7:AH8"/>
    <mergeCell ref="AI7:AI8"/>
    <mergeCell ref="AA7:AA8"/>
    <mergeCell ref="AB7:AB8"/>
    <mergeCell ref="AC7:AC8"/>
    <mergeCell ref="AD7:AD8"/>
    <mergeCell ref="AE7:AE8"/>
    <mergeCell ref="AF7:AF8"/>
    <mergeCell ref="U7:U8"/>
    <mergeCell ref="V7:V8"/>
    <mergeCell ref="W7:W8"/>
    <mergeCell ref="X7:X8"/>
    <mergeCell ref="Y7:Y8"/>
    <mergeCell ref="C51:C53"/>
    <mergeCell ref="BG7:BH7"/>
    <mergeCell ref="BI7:BJ7"/>
    <mergeCell ref="BQ7:BR7"/>
    <mergeCell ref="BS7:BT7"/>
    <mergeCell ref="AJ7:AJ8"/>
    <mergeCell ref="AK7:AK8"/>
    <mergeCell ref="AL7:AX7"/>
    <mergeCell ref="Z7:Z8"/>
    <mergeCell ref="I7:I8"/>
    <mergeCell ref="J7:P7"/>
    <mergeCell ref="Q7:Q8"/>
    <mergeCell ref="R7:R8"/>
    <mergeCell ref="S7:S8"/>
    <mergeCell ref="T7:T8"/>
    <mergeCell ref="A30:A31"/>
    <mergeCell ref="B35:B39"/>
    <mergeCell ref="B41:B43"/>
    <mergeCell ref="B44:B45"/>
    <mergeCell ref="A51:A54"/>
    <mergeCell ref="C55:C57"/>
    <mergeCell ref="A59:A60"/>
    <mergeCell ref="A61:A62"/>
    <mergeCell ref="B61:B62"/>
    <mergeCell ref="A64:A65"/>
    <mergeCell ref="B64:B65"/>
    <mergeCell ref="A55:A58"/>
  </mergeCells>
  <pageMargins left="0" right="0" top="0.31496062992125984" bottom="0.15748031496062992" header="0.19685039370078741" footer="0.15748031496062992"/>
  <pageSetup paperSize="8" scale="68" fitToWidth="0" orientation="portrait" r:id="rId1"/>
  <rowBreaks count="1" manualBreakCount="1">
    <brk id="34" max="38" man="1"/>
  </rowBreaks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50"/>
    <pageSetUpPr fitToPage="1"/>
  </sheetPr>
  <dimension ref="A1:AB111"/>
  <sheetViews>
    <sheetView showZeros="0" zoomScale="90" zoomScaleNormal="90" zoomScaleSheetLayoutView="100" workbookViewId="0">
      <pane xSplit="4" ySplit="9" topLeftCell="H86" activePane="bottomRight" state="frozen"/>
      <selection pane="topRight" activeCell="E1" sqref="E1"/>
      <selection pane="bottomLeft" activeCell="A9" sqref="A9"/>
      <selection pane="bottomRight" sqref="A1:V94"/>
    </sheetView>
  </sheetViews>
  <sheetFormatPr defaultColWidth="9.140625" defaultRowHeight="15" x14ac:dyDescent="0.25"/>
  <cols>
    <col min="1" max="1" width="45" style="117" customWidth="1"/>
    <col min="2" max="2" width="9" style="117" customWidth="1"/>
    <col min="3" max="3" width="17.85546875" style="124" customWidth="1"/>
    <col min="4" max="4" width="18.42578125" style="117" hidden="1" customWidth="1"/>
    <col min="5" max="6" width="18.85546875" style="155" hidden="1" customWidth="1"/>
    <col min="7" max="7" width="18.28515625" style="155" hidden="1" customWidth="1"/>
    <col min="8" max="8" width="18.28515625" style="155" customWidth="1"/>
    <col min="9" max="13" width="20.28515625" style="152" hidden="1" customWidth="1"/>
    <col min="14" max="15" width="20.28515625" style="152" customWidth="1"/>
    <col min="16" max="16" width="20.28515625" style="152" hidden="1" customWidth="1"/>
    <col min="17" max="17" width="16.7109375" style="117" hidden="1" customWidth="1"/>
    <col min="18" max="19" width="16.7109375" style="125" hidden="1" customWidth="1"/>
    <col min="20" max="20" width="17.5703125" style="117" hidden="1" customWidth="1"/>
    <col min="21" max="21" width="17.5703125" style="117" customWidth="1"/>
    <col min="22" max="22" width="18.28515625" style="117" hidden="1" customWidth="1"/>
    <col min="23" max="23" width="9.5703125" style="117" customWidth="1"/>
    <col min="24" max="24" width="15.42578125" style="117" hidden="1" customWidth="1"/>
    <col min="25" max="25" width="17.140625" style="117" hidden="1" customWidth="1"/>
    <col min="26" max="26" width="15.140625" style="117" hidden="1" customWidth="1"/>
    <col min="27" max="27" width="21.28515625" style="117" hidden="1" customWidth="1"/>
    <col min="28" max="28" width="13.85546875" style="117" hidden="1" customWidth="1"/>
    <col min="29" max="31" width="9.140625" style="117" customWidth="1"/>
    <col min="32" max="16384" width="9.140625" style="117"/>
  </cols>
  <sheetData>
    <row r="1" spans="1:28" ht="15.75" x14ac:dyDescent="0.25">
      <c r="A1" s="123" t="s">
        <v>131</v>
      </c>
      <c r="E1" s="117"/>
      <c r="F1" s="117"/>
      <c r="G1" s="117"/>
      <c r="H1" s="117"/>
      <c r="I1" s="111"/>
      <c r="J1" s="111"/>
      <c r="K1" s="111"/>
      <c r="L1" s="117"/>
      <c r="M1" s="117"/>
      <c r="N1" s="117"/>
      <c r="O1" s="117"/>
      <c r="P1" s="117"/>
    </row>
    <row r="2" spans="1:28" ht="15.75" x14ac:dyDescent="0.25">
      <c r="A2" s="126" t="s">
        <v>132</v>
      </c>
      <c r="E2" s="117"/>
      <c r="F2" s="117"/>
      <c r="G2" s="117"/>
      <c r="H2" s="117"/>
      <c r="I2" s="111"/>
      <c r="J2" s="111"/>
      <c r="K2" s="111"/>
      <c r="L2" s="117"/>
      <c r="M2" s="117"/>
      <c r="N2" s="117"/>
      <c r="O2" s="117"/>
      <c r="P2" s="117"/>
      <c r="X2" s="127" t="s">
        <v>240</v>
      </c>
      <c r="Y2" s="127" t="s">
        <v>241</v>
      </c>
    </row>
    <row r="3" spans="1:28" ht="15.75" x14ac:dyDescent="0.25">
      <c r="A3" s="126"/>
      <c r="D3" s="111"/>
      <c r="E3" s="117"/>
      <c r="F3" s="117"/>
      <c r="G3" s="117"/>
      <c r="H3" s="117"/>
      <c r="I3" s="111"/>
      <c r="J3" s="111"/>
      <c r="K3" s="111"/>
      <c r="L3" s="128"/>
      <c r="M3" s="117"/>
      <c r="N3" s="117"/>
      <c r="O3" s="117"/>
      <c r="P3" s="117"/>
      <c r="T3" s="111"/>
    </row>
    <row r="4" spans="1:28" ht="15.75" x14ac:dyDescent="0.25">
      <c r="A4" s="129"/>
      <c r="E4" s="117"/>
      <c r="F4" s="117"/>
      <c r="G4" s="117"/>
      <c r="H4" s="117"/>
      <c r="I4" s="117"/>
      <c r="J4" s="117"/>
      <c r="K4" s="117"/>
      <c r="L4" s="117"/>
      <c r="M4" s="117"/>
      <c r="N4" s="117"/>
      <c r="O4" s="117"/>
      <c r="P4" s="117"/>
      <c r="T4" s="111"/>
    </row>
    <row r="5" spans="1:28" ht="15.75" x14ac:dyDescent="0.25">
      <c r="A5" s="1383" t="s">
        <v>88</v>
      </c>
      <c r="B5" s="1383" t="s">
        <v>133</v>
      </c>
      <c r="C5" s="1383" t="s">
        <v>134</v>
      </c>
      <c r="D5" s="1383" t="s">
        <v>135</v>
      </c>
      <c r="E5" s="1383"/>
      <c r="F5" s="1383"/>
      <c r="G5" s="1383"/>
      <c r="H5" s="1383"/>
      <c r="I5" s="1383"/>
      <c r="J5" s="1383"/>
      <c r="K5" s="1383"/>
      <c r="L5" s="1383"/>
      <c r="M5" s="1383"/>
      <c r="N5" s="1383"/>
      <c r="O5" s="1383"/>
      <c r="P5" s="1383"/>
      <c r="Q5" s="1383"/>
      <c r="R5" s="1383"/>
      <c r="S5" s="1383"/>
      <c r="T5" s="1383"/>
      <c r="U5" s="1383"/>
      <c r="V5" s="1383"/>
      <c r="W5" s="461"/>
    </row>
    <row r="6" spans="1:28" ht="15.75" customHeight="1" x14ac:dyDescent="0.25">
      <c r="A6" s="1383"/>
      <c r="B6" s="1383"/>
      <c r="C6" s="1383"/>
      <c r="D6" s="1383" t="s">
        <v>136</v>
      </c>
      <c r="E6" s="1383" t="s">
        <v>137</v>
      </c>
      <c r="F6" s="1383"/>
      <c r="G6" s="1383"/>
      <c r="H6" s="1383"/>
      <c r="I6" s="1383"/>
      <c r="J6" s="1383"/>
      <c r="K6" s="1383"/>
      <c r="L6" s="1383"/>
      <c r="M6" s="1383"/>
      <c r="N6" s="1383"/>
      <c r="O6" s="1383"/>
      <c r="P6" s="1383"/>
      <c r="Q6" s="1383"/>
      <c r="R6" s="1383"/>
      <c r="S6" s="1383"/>
      <c r="T6" s="1383"/>
      <c r="U6" s="1383"/>
      <c r="V6" s="1383"/>
      <c r="W6" s="461"/>
    </row>
    <row r="7" spans="1:28" ht="61.5" customHeight="1" x14ac:dyDescent="0.25">
      <c r="A7" s="1383"/>
      <c r="B7" s="1383"/>
      <c r="C7" s="1383"/>
      <c r="D7" s="1383"/>
      <c r="E7" s="599"/>
      <c r="F7" s="597" t="s">
        <v>363</v>
      </c>
      <c r="G7" s="597"/>
      <c r="H7" s="1383" t="s">
        <v>138</v>
      </c>
      <c r="I7" s="600"/>
      <c r="J7" s="1383" t="s">
        <v>360</v>
      </c>
      <c r="K7" s="1383" t="s">
        <v>359</v>
      </c>
      <c r="L7" s="1383" t="s">
        <v>141</v>
      </c>
      <c r="M7" s="1383" t="s">
        <v>253</v>
      </c>
      <c r="N7" s="1383" t="s">
        <v>503</v>
      </c>
      <c r="O7" s="1383" t="s">
        <v>504</v>
      </c>
      <c r="P7" s="1383" t="s">
        <v>492</v>
      </c>
      <c r="Q7" s="1383" t="s">
        <v>143</v>
      </c>
      <c r="R7" s="1383" t="s">
        <v>144</v>
      </c>
      <c r="S7" s="601"/>
      <c r="T7" s="597"/>
      <c r="U7" s="1383" t="s">
        <v>145</v>
      </c>
      <c r="V7" s="597"/>
      <c r="W7" s="461"/>
    </row>
    <row r="8" spans="1:28" ht="96.75" customHeight="1" x14ac:dyDescent="0.25">
      <c r="A8" s="1383"/>
      <c r="B8" s="1383"/>
      <c r="C8" s="1383"/>
      <c r="D8" s="1383"/>
      <c r="E8" s="599"/>
      <c r="F8" s="596" t="s">
        <v>235</v>
      </c>
      <c r="G8" s="596" t="s">
        <v>365</v>
      </c>
      <c r="H8" s="1383"/>
      <c r="I8" s="600"/>
      <c r="J8" s="1383"/>
      <c r="K8" s="1383"/>
      <c r="L8" s="1383"/>
      <c r="M8" s="1383"/>
      <c r="N8" s="1383"/>
      <c r="O8" s="1383"/>
      <c r="P8" s="1383"/>
      <c r="Q8" s="1383"/>
      <c r="R8" s="1383"/>
      <c r="S8" s="596" t="s">
        <v>364</v>
      </c>
      <c r="T8" s="596" t="s">
        <v>139</v>
      </c>
      <c r="U8" s="1383"/>
      <c r="V8" s="596" t="s">
        <v>147</v>
      </c>
      <c r="W8" s="461"/>
    </row>
    <row r="9" spans="1:28" ht="15.75" hidden="1" x14ac:dyDescent="0.25">
      <c r="A9" s="595">
        <v>1</v>
      </c>
      <c r="B9" s="595">
        <v>2</v>
      </c>
      <c r="C9" s="596">
        <v>3</v>
      </c>
      <c r="D9" s="595">
        <v>4</v>
      </c>
      <c r="E9" s="595">
        <v>5</v>
      </c>
      <c r="F9" s="595"/>
      <c r="G9" s="595"/>
      <c r="H9" s="595"/>
      <c r="I9" s="595">
        <v>6</v>
      </c>
      <c r="J9" s="595"/>
      <c r="K9" s="595"/>
      <c r="L9" s="595"/>
      <c r="M9" s="595"/>
      <c r="N9" s="595"/>
      <c r="O9" s="595"/>
      <c r="P9" s="595"/>
      <c r="Q9" s="595">
        <v>7</v>
      </c>
      <c r="R9" s="561">
        <v>8</v>
      </c>
      <c r="S9" s="595">
        <v>9</v>
      </c>
      <c r="T9" s="562"/>
      <c r="U9" s="595"/>
      <c r="V9" s="595">
        <v>10</v>
      </c>
      <c r="W9" s="461"/>
    </row>
    <row r="10" spans="1:28" s="115" customFormat="1" ht="15.75" x14ac:dyDescent="0.25">
      <c r="A10" s="130" t="s">
        <v>148</v>
      </c>
      <c r="B10" s="598">
        <v>100</v>
      </c>
      <c r="C10" s="114" t="s">
        <v>149</v>
      </c>
      <c r="D10" s="59">
        <f>I10+Q10+R10+S10+V10+E10</f>
        <v>2872791507.1500001</v>
      </c>
      <c r="E10" s="59">
        <f>SUM(E13)</f>
        <v>218669600</v>
      </c>
      <c r="F10" s="59">
        <f>SUM(F13)</f>
        <v>105026100</v>
      </c>
      <c r="G10" s="59">
        <f>SUM(G13)</f>
        <v>68563030.900000006</v>
      </c>
      <c r="H10" s="59">
        <f>SUM(H13)</f>
        <v>45080469.100000001</v>
      </c>
      <c r="I10" s="59">
        <f t="shared" ref="I10:P10" si="0">I19</f>
        <v>2275135000</v>
      </c>
      <c r="J10" s="59">
        <f t="shared" si="0"/>
        <v>0</v>
      </c>
      <c r="K10" s="59">
        <f t="shared" si="0"/>
        <v>2221891000.0100002</v>
      </c>
      <c r="L10" s="59">
        <f t="shared" si="0"/>
        <v>0</v>
      </c>
      <c r="M10" s="59">
        <f t="shared" si="0"/>
        <v>22131000</v>
      </c>
      <c r="N10" s="59">
        <f t="shared" si="0"/>
        <v>6878578.4699999997</v>
      </c>
      <c r="O10" s="59">
        <f t="shared" si="0"/>
        <v>15071900</v>
      </c>
      <c r="P10" s="59">
        <f t="shared" si="0"/>
        <v>9162521.5199999996</v>
      </c>
      <c r="Q10" s="59">
        <v>0</v>
      </c>
      <c r="R10" s="131">
        <f>R12+R13</f>
        <v>1800000</v>
      </c>
      <c r="S10" s="59">
        <f>T10+U10</f>
        <v>377186907.14999998</v>
      </c>
      <c r="T10" s="59">
        <f>T20+T13</f>
        <v>321604870.63999999</v>
      </c>
      <c r="U10" s="59">
        <f>U20+U13</f>
        <v>55582036.509999998</v>
      </c>
      <c r="V10" s="59">
        <v>0</v>
      </c>
      <c r="W10" s="566"/>
      <c r="X10" s="131">
        <v>343352551.449</v>
      </c>
      <c r="Y10" s="131">
        <v>275145687.99900001</v>
      </c>
      <c r="Z10" s="131">
        <v>68206863.450000003</v>
      </c>
      <c r="AA10" s="462">
        <f>'ПФХД 2019 с разбивкой '!E11</f>
        <v>2885172104.5799999</v>
      </c>
      <c r="AB10" s="135">
        <f>AA10-D10</f>
        <v>12380597.429999828</v>
      </c>
    </row>
    <row r="11" spans="1:28" ht="15.75" x14ac:dyDescent="0.25">
      <c r="A11" s="132" t="s">
        <v>137</v>
      </c>
      <c r="B11" s="133"/>
      <c r="C11" s="134"/>
      <c r="D11" s="64"/>
      <c r="E11" s="266"/>
      <c r="F11" s="266"/>
      <c r="G11" s="266"/>
      <c r="H11" s="266"/>
      <c r="I11" s="266"/>
      <c r="J11" s="266"/>
      <c r="K11" s="266"/>
      <c r="L11" s="266"/>
      <c r="M11" s="266"/>
      <c r="N11" s="266"/>
      <c r="O11" s="266"/>
      <c r="P11" s="266"/>
      <c r="Q11" s="266"/>
      <c r="R11" s="62"/>
      <c r="S11" s="266">
        <f t="shared" ref="S11:S74" si="1">T11+U11</f>
        <v>0</v>
      </c>
      <c r="T11" s="266"/>
      <c r="U11" s="266"/>
      <c r="V11" s="64"/>
      <c r="W11" s="461"/>
      <c r="AB11" s="135">
        <f t="shared" ref="AB11:AB74" si="2">AA11-D11</f>
        <v>0</v>
      </c>
    </row>
    <row r="12" spans="1:28" ht="15.75" x14ac:dyDescent="0.25">
      <c r="A12" s="132" t="s">
        <v>150</v>
      </c>
      <c r="B12" s="595">
        <v>110</v>
      </c>
      <c r="C12" s="134"/>
      <c r="D12" s="64"/>
      <c r="E12" s="64"/>
      <c r="F12" s="64"/>
      <c r="G12" s="64"/>
      <c r="H12" s="64"/>
      <c r="I12" s="118"/>
      <c r="J12" s="118"/>
      <c r="K12" s="118"/>
      <c r="L12" s="118"/>
      <c r="M12" s="118"/>
      <c r="N12" s="118"/>
      <c r="O12" s="118"/>
      <c r="P12" s="118"/>
      <c r="Q12" s="268"/>
      <c r="R12" s="62"/>
      <c r="S12" s="268">
        <f t="shared" si="1"/>
        <v>0</v>
      </c>
      <c r="T12" s="268"/>
      <c r="U12" s="268"/>
      <c r="V12" s="267"/>
      <c r="W12" s="461"/>
      <c r="X12" s="111"/>
      <c r="Y12" s="111">
        <f>Y10-T10</f>
        <v>-46459182.640999973</v>
      </c>
      <c r="Z12" s="111">
        <f>Z10-U10</f>
        <v>12624826.940000005</v>
      </c>
      <c r="AB12" s="135">
        <f t="shared" si="2"/>
        <v>0</v>
      </c>
    </row>
    <row r="13" spans="1:28" ht="15.75" x14ac:dyDescent="0.25">
      <c r="A13" s="132" t="s">
        <v>151</v>
      </c>
      <c r="B13" s="595">
        <v>120</v>
      </c>
      <c r="C13" s="134"/>
      <c r="D13" s="64">
        <f>E13+I13+R13+S13</f>
        <v>571875259.87</v>
      </c>
      <c r="E13" s="266">
        <f>SUM(F13:H13)</f>
        <v>218669600</v>
      </c>
      <c r="F13" s="64">
        <f>F14</f>
        <v>105026100</v>
      </c>
      <c r="G13" s="64">
        <f>G14+G15</f>
        <v>68563030.900000006</v>
      </c>
      <c r="H13" s="64">
        <f>H14</f>
        <v>45080469.100000001</v>
      </c>
      <c r="I13" s="266"/>
      <c r="J13" s="266"/>
      <c r="K13" s="266"/>
      <c r="L13" s="266"/>
      <c r="M13" s="266"/>
      <c r="N13" s="266"/>
      <c r="O13" s="266"/>
      <c r="P13" s="266"/>
      <c r="Q13" s="266"/>
      <c r="R13" s="62">
        <f>SUM(R14:R16)</f>
        <v>1800000</v>
      </c>
      <c r="S13" s="266">
        <f>T13+U13</f>
        <v>351405659.87</v>
      </c>
      <c r="T13" s="266">
        <f>'ПФХД 2019 с разбивкой '!AP14</f>
        <v>306981817.18000001</v>
      </c>
      <c r="U13" s="266">
        <f>U14</f>
        <v>44423842.689999998</v>
      </c>
      <c r="V13" s="267"/>
      <c r="W13" s="461"/>
      <c r="AA13" s="137">
        <f>'ПФХД 2019 с разбивкой '!E14</f>
        <v>575137879.06999993</v>
      </c>
      <c r="AB13" s="135">
        <f t="shared" si="2"/>
        <v>3262619.1999999285</v>
      </c>
    </row>
    <row r="14" spans="1:28" ht="15.75" x14ac:dyDescent="0.25">
      <c r="A14" s="132" t="s">
        <v>152</v>
      </c>
      <c r="B14" s="133"/>
      <c r="C14" s="134"/>
      <c r="D14" s="64">
        <f>E14+I14+R14+S14</f>
        <v>555671689.56999993</v>
      </c>
      <c r="E14" s="266">
        <f>SUM(F14:H14)</f>
        <v>218669600</v>
      </c>
      <c r="F14" s="266">
        <f>'ПФХД 2019 с разбивкой '!J15</f>
        <v>105026100</v>
      </c>
      <c r="G14" s="266">
        <f>'ПФХД 2019 с разбивкой '!L15</f>
        <v>68563030.900000006</v>
      </c>
      <c r="H14" s="266">
        <f>'ПФХД 2019 с разбивкой '!O15</f>
        <v>45080469.100000001</v>
      </c>
      <c r="I14" s="266"/>
      <c r="J14" s="266"/>
      <c r="K14" s="266"/>
      <c r="L14" s="266"/>
      <c r="M14" s="266"/>
      <c r="N14" s="266"/>
      <c r="O14" s="266"/>
      <c r="P14" s="266"/>
      <c r="Q14" s="266"/>
      <c r="R14" s="266">
        <v>1800000</v>
      </c>
      <c r="S14" s="266">
        <f t="shared" si="1"/>
        <v>335202089.56999999</v>
      </c>
      <c r="T14" s="266">
        <f>'ПФХД 2019 с разбивкой '!AP15</f>
        <v>290778246.88</v>
      </c>
      <c r="U14" s="266">
        <f>'ПФХД 2019 с разбивкой '!AS15</f>
        <v>44423842.689999998</v>
      </c>
      <c r="V14" s="267"/>
      <c r="W14" s="461"/>
      <c r="AA14" s="137">
        <f>'ПФХД 2019 с разбивкой '!E15</f>
        <v>558934308.76999998</v>
      </c>
      <c r="AB14" s="135">
        <f t="shared" si="2"/>
        <v>3262619.2000000477</v>
      </c>
    </row>
    <row r="15" spans="1:28" ht="15.75" x14ac:dyDescent="0.25">
      <c r="A15" s="132" t="s">
        <v>153</v>
      </c>
      <c r="B15" s="133"/>
      <c r="C15" s="134"/>
      <c r="D15" s="64"/>
      <c r="E15" s="266"/>
      <c r="F15" s="266"/>
      <c r="G15" s="266"/>
      <c r="H15" s="266"/>
      <c r="I15" s="266"/>
      <c r="J15" s="266"/>
      <c r="K15" s="266"/>
      <c r="L15" s="266"/>
      <c r="M15" s="266"/>
      <c r="N15" s="266"/>
      <c r="O15" s="266"/>
      <c r="P15" s="266"/>
      <c r="Q15" s="266"/>
      <c r="R15" s="266"/>
      <c r="S15" s="266">
        <f t="shared" si="1"/>
        <v>0</v>
      </c>
      <c r="T15" s="266"/>
      <c r="U15" s="266"/>
      <c r="V15" s="267"/>
      <c r="W15" s="461"/>
      <c r="AA15" s="137">
        <f>'ПФХД 2019 с разбивкой '!E16</f>
        <v>0</v>
      </c>
      <c r="AB15" s="135">
        <f t="shared" si="2"/>
        <v>0</v>
      </c>
    </row>
    <row r="16" spans="1:28" ht="15.75" x14ac:dyDescent="0.25">
      <c r="A16" s="132" t="s">
        <v>154</v>
      </c>
      <c r="B16" s="133"/>
      <c r="C16" s="134"/>
      <c r="D16" s="64">
        <f>E16+I16+R16+S16</f>
        <v>16203570.300000001</v>
      </c>
      <c r="E16" s="266"/>
      <c r="F16" s="266"/>
      <c r="G16" s="266"/>
      <c r="H16" s="266"/>
      <c r="I16" s="266"/>
      <c r="J16" s="266"/>
      <c r="K16" s="266"/>
      <c r="L16" s="266"/>
      <c r="M16" s="266"/>
      <c r="N16" s="266"/>
      <c r="O16" s="266"/>
      <c r="P16" s="266"/>
      <c r="Q16" s="266"/>
      <c r="R16" s="62"/>
      <c r="S16" s="266">
        <f t="shared" si="1"/>
        <v>16203570.300000001</v>
      </c>
      <c r="T16" s="266">
        <f>'ПФХД 2019 с разбивкой '!AP17</f>
        <v>16203570.300000001</v>
      </c>
      <c r="U16" s="266"/>
      <c r="V16" s="267"/>
      <c r="W16" s="461"/>
      <c r="AA16" s="137">
        <f>'ПФХД 2019 с разбивкой '!E17</f>
        <v>16203570.300000001</v>
      </c>
      <c r="AB16" s="135">
        <f t="shared" si="2"/>
        <v>0</v>
      </c>
    </row>
    <row r="17" spans="1:28" ht="31.5" x14ac:dyDescent="0.25">
      <c r="A17" s="132" t="s">
        <v>155</v>
      </c>
      <c r="B17" s="595">
        <v>130</v>
      </c>
      <c r="C17" s="134"/>
      <c r="D17" s="64"/>
      <c r="E17" s="64"/>
      <c r="F17" s="64"/>
      <c r="G17" s="64"/>
      <c r="H17" s="64"/>
      <c r="I17" s="64"/>
      <c r="J17" s="64"/>
      <c r="K17" s="64"/>
      <c r="L17" s="64"/>
      <c r="M17" s="64"/>
      <c r="N17" s="64"/>
      <c r="O17" s="64"/>
      <c r="P17" s="64"/>
      <c r="Q17" s="64"/>
      <c r="R17" s="64"/>
      <c r="S17" s="64">
        <f t="shared" si="1"/>
        <v>0</v>
      </c>
      <c r="T17" s="64"/>
      <c r="U17" s="64"/>
      <c r="V17" s="64" t="s">
        <v>149</v>
      </c>
      <c r="W17" s="461"/>
      <c r="AA17" s="137">
        <f>'ПФХД 2019 с разбивкой '!E18</f>
        <v>0</v>
      </c>
      <c r="AB17" s="135">
        <f t="shared" si="2"/>
        <v>0</v>
      </c>
    </row>
    <row r="18" spans="1:28" ht="63.75" customHeight="1" x14ac:dyDescent="0.25">
      <c r="A18" s="132" t="s">
        <v>156</v>
      </c>
      <c r="B18" s="595">
        <v>140</v>
      </c>
      <c r="C18" s="134"/>
      <c r="D18" s="64"/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>
        <f t="shared" si="1"/>
        <v>0</v>
      </c>
      <c r="T18" s="64"/>
      <c r="U18" s="64"/>
      <c r="V18" s="64" t="s">
        <v>149</v>
      </c>
      <c r="W18" s="461"/>
      <c r="AA18" s="137">
        <f>'ПФХД 2019 с разбивкой '!E19</f>
        <v>0</v>
      </c>
      <c r="AB18" s="135">
        <f t="shared" si="2"/>
        <v>0</v>
      </c>
    </row>
    <row r="19" spans="1:28" ht="18.75" customHeight="1" x14ac:dyDescent="0.25">
      <c r="A19" s="132" t="s">
        <v>157</v>
      </c>
      <c r="B19" s="595">
        <v>150</v>
      </c>
      <c r="C19" s="134"/>
      <c r="D19" s="64">
        <f>E19+I19+R19+S19</f>
        <v>2275135000</v>
      </c>
      <c r="E19" s="64"/>
      <c r="F19" s="64"/>
      <c r="G19" s="64"/>
      <c r="H19" s="64"/>
      <c r="I19" s="64">
        <f>K19+M19+N19+J19+O19+P19</f>
        <v>2275135000</v>
      </c>
      <c r="J19" s="64"/>
      <c r="K19" s="64">
        <f>'ПФХД 2019 с разбивкой '!V20</f>
        <v>2221891000.0100002</v>
      </c>
      <c r="L19" s="64"/>
      <c r="M19" s="64">
        <f>'ПФХД 2019 с разбивкой '!X20</f>
        <v>22131000</v>
      </c>
      <c r="N19" s="64">
        <f>'ПФХД 2019 с разбивкой '!AB20</f>
        <v>6878578.4699999997</v>
      </c>
      <c r="O19" s="64">
        <f>'ПФХД 2019 с разбивкой '!AE20</f>
        <v>15071900</v>
      </c>
      <c r="P19" s="64">
        <f>'ПФХД 2019 с разбивкой '!AH20</f>
        <v>9162521.5199999996</v>
      </c>
      <c r="Q19" s="267"/>
      <c r="R19" s="64"/>
      <c r="S19" s="267">
        <f t="shared" si="1"/>
        <v>0</v>
      </c>
      <c r="T19" s="267"/>
      <c r="U19" s="267"/>
      <c r="V19" s="64" t="s">
        <v>149</v>
      </c>
      <c r="W19" s="461"/>
      <c r="AA19" s="137">
        <f>'ПФХД 2019 с разбивкой '!E20</f>
        <v>2275135000</v>
      </c>
      <c r="AB19" s="135">
        <f t="shared" si="2"/>
        <v>0</v>
      </c>
    </row>
    <row r="20" spans="1:28" ht="19.5" customHeight="1" x14ac:dyDescent="0.25">
      <c r="A20" s="132" t="s">
        <v>158</v>
      </c>
      <c r="B20" s="595">
        <v>160</v>
      </c>
      <c r="C20" s="134"/>
      <c r="D20" s="64">
        <f>E20+I20+R20+S20</f>
        <v>25781247.280000001</v>
      </c>
      <c r="E20" s="64"/>
      <c r="F20" s="64"/>
      <c r="G20" s="64"/>
      <c r="H20" s="64"/>
      <c r="I20" s="64">
        <f t="shared" ref="I20:I21" si="3">K20+M20+N20+J20</f>
        <v>0</v>
      </c>
      <c r="J20" s="64"/>
      <c r="K20" s="64"/>
      <c r="L20" s="64"/>
      <c r="M20" s="64"/>
      <c r="N20" s="64"/>
      <c r="O20" s="64"/>
      <c r="P20" s="64"/>
      <c r="Q20" s="64"/>
      <c r="R20" s="64"/>
      <c r="S20" s="64">
        <f t="shared" si="1"/>
        <v>25781247.280000001</v>
      </c>
      <c r="T20" s="64">
        <f>'ПФХД 2019 с разбивкой '!AP21</f>
        <v>14623053.460000001</v>
      </c>
      <c r="U20" s="64">
        <f>'ПФХД 2019 с разбивкой '!AS21</f>
        <v>11158193.82</v>
      </c>
      <c r="V20" s="268"/>
      <c r="W20" s="461"/>
      <c r="AA20" s="137">
        <f>'ПФХД 2019 с разбивкой '!E21</f>
        <v>34899225.510000005</v>
      </c>
      <c r="AB20" s="135">
        <f t="shared" si="2"/>
        <v>9117978.2300000042</v>
      </c>
    </row>
    <row r="21" spans="1:28" ht="15.75" x14ac:dyDescent="0.25">
      <c r="A21" s="132" t="s">
        <v>159</v>
      </c>
      <c r="B21" s="595">
        <v>180</v>
      </c>
      <c r="C21" s="596" t="s">
        <v>149</v>
      </c>
      <c r="D21" s="64">
        <f>E21+I21+R21+S21</f>
        <v>0</v>
      </c>
      <c r="E21" s="266"/>
      <c r="F21" s="266"/>
      <c r="G21" s="266"/>
      <c r="H21" s="266"/>
      <c r="I21" s="64">
        <f t="shared" si="3"/>
        <v>0</v>
      </c>
      <c r="J21" s="266"/>
      <c r="K21" s="266"/>
      <c r="L21" s="266"/>
      <c r="M21" s="266"/>
      <c r="N21" s="266"/>
      <c r="O21" s="266"/>
      <c r="P21" s="266"/>
      <c r="Q21" s="266"/>
      <c r="R21" s="62"/>
      <c r="S21" s="64">
        <f t="shared" si="1"/>
        <v>0</v>
      </c>
      <c r="T21" s="267">
        <f>'ПФХД 2019 с разбивкой '!AP22</f>
        <v>0</v>
      </c>
      <c r="U21" s="266">
        <f>'ПФХД 2019 с разбивкой '!AS22</f>
        <v>0</v>
      </c>
      <c r="V21" s="266" t="s">
        <v>149</v>
      </c>
      <c r="W21" s="461"/>
      <c r="AA21" s="137">
        <f>'ПФХД 2019 с разбивкой '!E22</f>
        <v>0</v>
      </c>
      <c r="AB21" s="135">
        <f t="shared" si="2"/>
        <v>0</v>
      </c>
    </row>
    <row r="22" spans="1:28" s="115" customFormat="1" ht="15.75" x14ac:dyDescent="0.25">
      <c r="A22" s="130" t="s">
        <v>160</v>
      </c>
      <c r="B22" s="598">
        <v>200</v>
      </c>
      <c r="C22" s="114" t="s">
        <v>149</v>
      </c>
      <c r="D22" s="59">
        <f>E22+I22+R22+S22</f>
        <v>3289120315.1900382</v>
      </c>
      <c r="E22" s="59">
        <f>G22+H22+F22</f>
        <v>239742190.97657451</v>
      </c>
      <c r="F22" s="59">
        <f>F23+F32+F44</f>
        <v>121550240.5065745</v>
      </c>
      <c r="G22" s="59">
        <f>G23+G28+G32+G41+G44+G66+G70</f>
        <v>73111481.360000014</v>
      </c>
      <c r="H22" s="59">
        <f>H23+H28+H32+H41+H44+H66+H70</f>
        <v>45080469.109999999</v>
      </c>
      <c r="I22" s="59">
        <f>I23+I28+I40+I41+I66+I44+I32</f>
        <v>2660068572.9699998</v>
      </c>
      <c r="J22" s="59">
        <f>J23+J32+J44</f>
        <v>387333572.96999997</v>
      </c>
      <c r="K22" s="59">
        <f>K23+K32+K44</f>
        <v>2222708150.4000001</v>
      </c>
      <c r="L22" s="59">
        <f>L23+L28+L40+L41+L66+L44+L32</f>
        <v>0</v>
      </c>
      <c r="M22" s="59">
        <f>M23+M28+M40+M41+M66+M44+M32</f>
        <v>22131000</v>
      </c>
      <c r="N22" s="59">
        <f>N23+N28+N40+N41+N66+N44+N32</f>
        <v>6878578.4699999997</v>
      </c>
      <c r="O22" s="59">
        <f>O23+O28+O40+O41+O66+O44+O32</f>
        <v>15071900</v>
      </c>
      <c r="P22" s="59">
        <f>P23+P28+P40+P41+P66+P44+P32</f>
        <v>5945371.1299999999</v>
      </c>
      <c r="Q22" s="59">
        <f>Q23+Q28+Q35+Q40+Q41+Q66+Q44</f>
        <v>0</v>
      </c>
      <c r="R22" s="59">
        <f>R23+R28+R40+R41+R44+R66+R32</f>
        <v>1942804.6584639018</v>
      </c>
      <c r="S22" s="59">
        <f t="shared" si="1"/>
        <v>387366746.58500004</v>
      </c>
      <c r="T22" s="59">
        <f>T23+T32+T44</f>
        <v>331413056.08500004</v>
      </c>
      <c r="U22" s="59">
        <f>U23+U28+U40+U41+U44+U66+U32</f>
        <v>55953690.5</v>
      </c>
      <c r="V22" s="59">
        <f>V23+V28+V35+V40+V41+V66+V44</f>
        <v>0</v>
      </c>
      <c r="W22" s="566"/>
      <c r="X22" s="135"/>
      <c r="AA22" s="137">
        <f>'ПФХД 2019 с разбивкой '!E23</f>
        <v>3304618211.1449995</v>
      </c>
      <c r="AB22" s="135">
        <f t="shared" si="2"/>
        <v>15497895.9549613</v>
      </c>
    </row>
    <row r="23" spans="1:28" s="115" customFormat="1" ht="18.75" customHeight="1" x14ac:dyDescent="0.25">
      <c r="A23" s="130" t="s">
        <v>161</v>
      </c>
      <c r="B23" s="598">
        <v>210</v>
      </c>
      <c r="C23" s="114">
        <v>110</v>
      </c>
      <c r="D23" s="59">
        <f>E23+I23+R23+S23</f>
        <v>417062458.65503836</v>
      </c>
      <c r="E23" s="59">
        <f>G23+H23+F23</f>
        <v>187885462.60657451</v>
      </c>
      <c r="F23" s="59">
        <f>F25+F26+F27</f>
        <v>121550240.5065745</v>
      </c>
      <c r="G23" s="59">
        <f>G25+G26+G27</f>
        <v>40250801.520000003</v>
      </c>
      <c r="H23" s="59">
        <f>H25+H26+H27</f>
        <v>26084420.580000002</v>
      </c>
      <c r="I23" s="59">
        <f>I25+I26+I27</f>
        <v>24940779.41</v>
      </c>
      <c r="J23" s="59">
        <f>J25+J26</f>
        <v>0</v>
      </c>
      <c r="K23" s="59">
        <f>K25+K26</f>
        <v>0</v>
      </c>
      <c r="L23" s="59">
        <f t="shared" ref="L23:V23" si="4">L25+L26+L27</f>
        <v>0</v>
      </c>
      <c r="M23" s="59">
        <f t="shared" si="4"/>
        <v>9868879.4100000001</v>
      </c>
      <c r="N23" s="59">
        <f>N25+N26+N27</f>
        <v>0</v>
      </c>
      <c r="O23" s="59">
        <f>O25+O26+O27</f>
        <v>15071900</v>
      </c>
      <c r="P23" s="59">
        <f>P25+P26+P27</f>
        <v>0</v>
      </c>
      <c r="Q23" s="59">
        <f t="shared" si="4"/>
        <v>0</v>
      </c>
      <c r="R23" s="59">
        <f>R25+R26+R27</f>
        <v>1872804.6584639018</v>
      </c>
      <c r="S23" s="59">
        <f t="shared" si="1"/>
        <v>202363411.97999999</v>
      </c>
      <c r="T23" s="59">
        <f>T25+T26+T27</f>
        <v>170310396.47</v>
      </c>
      <c r="U23" s="59">
        <f>U25+U26+U27</f>
        <v>32053015.510000002</v>
      </c>
      <c r="V23" s="59">
        <f t="shared" si="4"/>
        <v>0</v>
      </c>
      <c r="W23" s="566"/>
      <c r="AA23" s="137">
        <f>'ПФХД 2019 с разбивкой '!E24</f>
        <v>424149150.21000004</v>
      </c>
      <c r="AB23" s="135">
        <f t="shared" si="2"/>
        <v>7086691.5549616814</v>
      </c>
    </row>
    <row r="24" spans="1:28" ht="15.75" x14ac:dyDescent="0.25">
      <c r="A24" s="132" t="s">
        <v>92</v>
      </c>
      <c r="B24" s="133"/>
      <c r="C24" s="134"/>
      <c r="D24" s="64"/>
      <c r="E24" s="64"/>
      <c r="F24" s="64"/>
      <c r="G24" s="64"/>
      <c r="H24" s="64"/>
      <c r="I24" s="64"/>
      <c r="J24" s="64"/>
      <c r="K24" s="64"/>
      <c r="L24" s="64"/>
      <c r="M24" s="64"/>
      <c r="N24" s="64"/>
      <c r="O24" s="64"/>
      <c r="P24" s="64"/>
      <c r="Q24" s="64"/>
      <c r="R24" s="64"/>
      <c r="S24" s="59">
        <f t="shared" si="1"/>
        <v>0</v>
      </c>
      <c r="T24" s="64"/>
      <c r="U24" s="64"/>
      <c r="V24" s="64"/>
      <c r="W24" s="461"/>
      <c r="AA24" s="137">
        <f>'ПФХД 2019 с разбивкой '!E25</f>
        <v>0</v>
      </c>
      <c r="AB24" s="135">
        <f t="shared" si="2"/>
        <v>0</v>
      </c>
    </row>
    <row r="25" spans="1:28" ht="16.5" customHeight="1" x14ac:dyDescent="0.25">
      <c r="A25" s="132" t="s">
        <v>162</v>
      </c>
      <c r="B25" s="1385">
        <v>211</v>
      </c>
      <c r="C25" s="596">
        <v>111</v>
      </c>
      <c r="D25" s="64">
        <f>E25+I25+R25+S25</f>
        <v>318914296.42648232</v>
      </c>
      <c r="E25" s="64">
        <f>F25+G25+H25</f>
        <v>143436558.52657449</v>
      </c>
      <c r="F25" s="64">
        <f>'ПФХД 2019 с разбивкой '!J26</f>
        <v>93378135.336574495</v>
      </c>
      <c r="G25" s="64">
        <f>'ПФХД 2019 с разбивкой '!L26</f>
        <v>30201086.870000001</v>
      </c>
      <c r="H25" s="64">
        <f>'ПФХД 2019 с разбивкой '!O26</f>
        <v>19857336.32</v>
      </c>
      <c r="I25" s="64">
        <f>J25+K25+L25+M25+N25+O25+P25</f>
        <v>19155752.181443933</v>
      </c>
      <c r="J25" s="64">
        <f>'ПФХД 2019 с разбивкой '!T26</f>
        <v>0</v>
      </c>
      <c r="K25" s="64"/>
      <c r="L25" s="64"/>
      <c r="M25" s="64">
        <f>'ПФХД 2019 с разбивкой '!X26</f>
        <v>7579792.1200000001</v>
      </c>
      <c r="N25" s="64">
        <f>'ПФХД 2019 с разбивкой '!AB26</f>
        <v>0</v>
      </c>
      <c r="O25" s="64">
        <f>'ПФХД 2019 с разбивкой '!AE26</f>
        <v>11575960.061443932</v>
      </c>
      <c r="P25" s="64"/>
      <c r="Q25" s="64"/>
      <c r="R25" s="64">
        <f>1328725.04+R78</f>
        <v>1438406.0384639017</v>
      </c>
      <c r="S25" s="59">
        <f t="shared" si="1"/>
        <v>154883579.68000001</v>
      </c>
      <c r="T25" s="64">
        <f>'ПФХД 2019 с разбивкой '!AP26</f>
        <v>130433900.66</v>
      </c>
      <c r="U25" s="64">
        <f>'ПФХД 2019 с разбивкой '!AS26</f>
        <v>24449679.02</v>
      </c>
      <c r="V25" s="64"/>
      <c r="W25" s="461"/>
      <c r="AA25" s="137">
        <f>'ПФХД 2019 с разбивкой '!E26</f>
        <v>324309100.47144389</v>
      </c>
      <c r="AB25" s="135">
        <f t="shared" si="2"/>
        <v>5394804.0449615717</v>
      </c>
    </row>
    <row r="26" spans="1:28" ht="18.75" customHeight="1" x14ac:dyDescent="0.25">
      <c r="A26" s="132" t="s">
        <v>163</v>
      </c>
      <c r="B26" s="1385"/>
      <c r="C26" s="596">
        <v>119</v>
      </c>
      <c r="D26" s="64">
        <f>E26+I26+R26+S26</f>
        <v>96903961.588556066</v>
      </c>
      <c r="E26" s="64">
        <f>F26+G26+H26</f>
        <v>43924235.740000002</v>
      </c>
      <c r="F26" s="64">
        <f>'ПФХД 2019 с разбивкой '!J27</f>
        <v>28172105.169999998</v>
      </c>
      <c r="G26" s="64">
        <f>'ПФХД 2019 с разбивкой '!L27</f>
        <v>9701799.1500000004</v>
      </c>
      <c r="H26" s="64">
        <f>'ПФХД 2019 с разбивкой '!O27</f>
        <v>6050331.4199999999</v>
      </c>
      <c r="I26" s="64">
        <f>J26+K26+L26+M26+N26+O26+P26</f>
        <v>5785027.2285560677</v>
      </c>
      <c r="J26" s="64">
        <f>'ПФХД 2019 с разбивкой '!T27</f>
        <v>0</v>
      </c>
      <c r="K26" s="64"/>
      <c r="L26" s="64"/>
      <c r="M26" s="64">
        <f>'ПФХД 2019 с разбивкой '!X27</f>
        <v>2289087.29</v>
      </c>
      <c r="N26" s="64">
        <f>'ПФХД 2019 с разбивкой '!AB27</f>
        <v>0</v>
      </c>
      <c r="O26" s="64">
        <f>'ПФХД 2019 с разбивкой '!AE27</f>
        <v>3495939.9385560676</v>
      </c>
      <c r="P26" s="64"/>
      <c r="Q26" s="64"/>
      <c r="R26" s="64">
        <f>401274.96+R79</f>
        <v>434398.62</v>
      </c>
      <c r="S26" s="59">
        <f t="shared" si="1"/>
        <v>46760300</v>
      </c>
      <c r="T26" s="64">
        <f>'ПФХД 2019 с разбивкой '!AP27</f>
        <v>39376495.810000002</v>
      </c>
      <c r="U26" s="64">
        <f>'ПФХД 2019 с разбивкой '!AS27</f>
        <v>7383804.1900000004</v>
      </c>
      <c r="V26" s="64"/>
      <c r="W26" s="461"/>
      <c r="AA26" s="137">
        <f>'ПФХД 2019 с разбивкой '!E27</f>
        <v>98547733.468556076</v>
      </c>
      <c r="AB26" s="135">
        <f t="shared" si="2"/>
        <v>1643771.8800000101</v>
      </c>
    </row>
    <row r="27" spans="1:28" ht="31.5" x14ac:dyDescent="0.25">
      <c r="A27" s="132" t="s">
        <v>164</v>
      </c>
      <c r="B27" s="1385"/>
      <c r="C27" s="596">
        <v>112</v>
      </c>
      <c r="D27" s="64">
        <f>E27+I27+R27+S27</f>
        <v>1244200.6400000001</v>
      </c>
      <c r="E27" s="64">
        <f>F27+G27+H27</f>
        <v>524668.34</v>
      </c>
      <c r="F27" s="64"/>
      <c r="G27" s="64">
        <f>'ПФХД 2019 с разбивкой '!L28</f>
        <v>347915.5</v>
      </c>
      <c r="H27" s="64">
        <f>'ПФХД 2019 с разбивкой '!O28</f>
        <v>176752.84</v>
      </c>
      <c r="I27" s="64">
        <f t="shared" ref="I27:I34" si="5">SUM(K27:N27)</f>
        <v>0</v>
      </c>
      <c r="J27" s="64"/>
      <c r="K27" s="64" t="s">
        <v>252</v>
      </c>
      <c r="L27" s="64"/>
      <c r="M27" s="64"/>
      <c r="N27" s="64"/>
      <c r="O27" s="64"/>
      <c r="P27" s="64"/>
      <c r="Q27" s="64"/>
      <c r="R27" s="64"/>
      <c r="S27" s="59">
        <f t="shared" si="1"/>
        <v>719532.3</v>
      </c>
      <c r="T27" s="64">
        <f>'ПФХД 2019 с разбивкой '!AP28</f>
        <v>500000</v>
      </c>
      <c r="U27" s="64">
        <f>'ПФХД 2019 с разбивкой '!AS28</f>
        <v>219532.3</v>
      </c>
      <c r="V27" s="64"/>
      <c r="W27" s="461"/>
      <c r="AA27" s="137">
        <f>'ПФХД 2019 с разбивкой '!E28</f>
        <v>1292316.27</v>
      </c>
      <c r="AB27" s="135">
        <f t="shared" si="2"/>
        <v>48115.629999999888</v>
      </c>
    </row>
    <row r="28" spans="1:28" s="115" customFormat="1" ht="31.5" x14ac:dyDescent="0.25">
      <c r="A28" s="130" t="s">
        <v>165</v>
      </c>
      <c r="B28" s="1385">
        <v>220</v>
      </c>
      <c r="C28" s="114">
        <v>300</v>
      </c>
      <c r="D28" s="59">
        <f>E28+I28+R28+T28</f>
        <v>0</v>
      </c>
      <c r="E28" s="59">
        <f>E30+E31</f>
        <v>0</v>
      </c>
      <c r="F28" s="59"/>
      <c r="G28" s="59">
        <f>G30+G31</f>
        <v>0</v>
      </c>
      <c r="H28" s="59">
        <f>H30+H31</f>
        <v>0</v>
      </c>
      <c r="I28" s="59">
        <f t="shared" si="5"/>
        <v>0</v>
      </c>
      <c r="J28" s="59"/>
      <c r="K28" s="59">
        <v>0</v>
      </c>
      <c r="L28" s="59">
        <v>0</v>
      </c>
      <c r="M28" s="59">
        <v>0</v>
      </c>
      <c r="N28" s="59">
        <f>N30+N31</f>
        <v>0</v>
      </c>
      <c r="O28" s="59"/>
      <c r="P28" s="59"/>
      <c r="Q28" s="59">
        <f>Q30+Q31</f>
        <v>0</v>
      </c>
      <c r="R28" s="59">
        <v>0</v>
      </c>
      <c r="S28" s="59">
        <f t="shared" si="1"/>
        <v>0</v>
      </c>
      <c r="T28" s="59">
        <f>T30+T31</f>
        <v>0</v>
      </c>
      <c r="U28" s="59">
        <f>U30+U31</f>
        <v>0</v>
      </c>
      <c r="V28" s="59">
        <f>V30+V31</f>
        <v>0</v>
      </c>
      <c r="W28" s="566"/>
      <c r="AA28" s="137">
        <f>'ПФХД 2019 с разбивкой '!E29</f>
        <v>0</v>
      </c>
      <c r="AB28" s="135">
        <f t="shared" si="2"/>
        <v>0</v>
      </c>
    </row>
    <row r="29" spans="1:28" ht="15.75" x14ac:dyDescent="0.25">
      <c r="A29" s="132" t="s">
        <v>92</v>
      </c>
      <c r="B29" s="1385"/>
      <c r="C29" s="134"/>
      <c r="D29" s="64"/>
      <c r="E29" s="64"/>
      <c r="F29" s="64"/>
      <c r="G29" s="64"/>
      <c r="H29" s="64"/>
      <c r="I29" s="64">
        <f t="shared" si="5"/>
        <v>0</v>
      </c>
      <c r="J29" s="64"/>
      <c r="K29" s="64"/>
      <c r="L29" s="64"/>
      <c r="M29" s="64"/>
      <c r="N29" s="64"/>
      <c r="O29" s="64"/>
      <c r="P29" s="64"/>
      <c r="Q29" s="64"/>
      <c r="R29" s="64"/>
      <c r="S29" s="59">
        <f t="shared" si="1"/>
        <v>0</v>
      </c>
      <c r="T29" s="64"/>
      <c r="U29" s="64"/>
      <c r="V29" s="64"/>
      <c r="W29" s="461"/>
      <c r="AA29" s="137">
        <f>'ПФХД 2019 с разбивкой '!E30</f>
        <v>0</v>
      </c>
      <c r="AB29" s="135">
        <f t="shared" si="2"/>
        <v>0</v>
      </c>
    </row>
    <row r="30" spans="1:28" ht="15.75" x14ac:dyDescent="0.25">
      <c r="A30" s="1386" t="s">
        <v>166</v>
      </c>
      <c r="B30" s="1385"/>
      <c r="C30" s="596">
        <v>321</v>
      </c>
      <c r="D30" s="64"/>
      <c r="E30" s="64"/>
      <c r="F30" s="64"/>
      <c r="G30" s="64"/>
      <c r="H30" s="64"/>
      <c r="I30" s="64">
        <f t="shared" si="5"/>
        <v>0</v>
      </c>
      <c r="J30" s="64"/>
      <c r="K30" s="64"/>
      <c r="L30" s="64"/>
      <c r="M30" s="64"/>
      <c r="N30" s="64"/>
      <c r="O30" s="64"/>
      <c r="P30" s="64"/>
      <c r="Q30" s="64"/>
      <c r="R30" s="64"/>
      <c r="S30" s="59">
        <f t="shared" si="1"/>
        <v>0</v>
      </c>
      <c r="T30" s="64"/>
      <c r="U30" s="64"/>
      <c r="V30" s="64"/>
      <c r="W30" s="461"/>
      <c r="AA30" s="137">
        <f>'ПФХД 2019 с разбивкой '!E31</f>
        <v>0</v>
      </c>
      <c r="AB30" s="135">
        <f t="shared" si="2"/>
        <v>0</v>
      </c>
    </row>
    <row r="31" spans="1:28" ht="15.75" x14ac:dyDescent="0.25">
      <c r="A31" s="1386"/>
      <c r="B31" s="1385"/>
      <c r="C31" s="596">
        <v>360</v>
      </c>
      <c r="D31" s="64"/>
      <c r="E31" s="64"/>
      <c r="F31" s="64"/>
      <c r="G31" s="64"/>
      <c r="H31" s="64"/>
      <c r="I31" s="64">
        <f t="shared" si="5"/>
        <v>0</v>
      </c>
      <c r="J31" s="64"/>
      <c r="K31" s="64"/>
      <c r="L31" s="64"/>
      <c r="M31" s="64"/>
      <c r="N31" s="64"/>
      <c r="O31" s="64"/>
      <c r="P31" s="64"/>
      <c r="Q31" s="64"/>
      <c r="R31" s="64"/>
      <c r="S31" s="59">
        <f t="shared" si="1"/>
        <v>0</v>
      </c>
      <c r="T31" s="64"/>
      <c r="U31" s="64"/>
      <c r="V31" s="64"/>
      <c r="W31" s="461"/>
      <c r="AA31" s="137">
        <f>'ПФХД 2019 с разбивкой '!E32</f>
        <v>0</v>
      </c>
      <c r="AB31" s="135">
        <f t="shared" si="2"/>
        <v>0</v>
      </c>
    </row>
    <row r="32" spans="1:28" s="115" customFormat="1" ht="15.75" x14ac:dyDescent="0.25">
      <c r="A32" s="112" t="s">
        <v>167</v>
      </c>
      <c r="B32" s="598"/>
      <c r="C32" s="114">
        <v>800</v>
      </c>
      <c r="D32" s="59">
        <f>E32+I32+R32+S32</f>
        <v>14663312.23</v>
      </c>
      <c r="E32" s="59">
        <f>E33+E35</f>
        <v>5856153.1500000004</v>
      </c>
      <c r="F32" s="59">
        <f>F33+F35</f>
        <v>0</v>
      </c>
      <c r="G32" s="59">
        <f>G33+G35</f>
        <v>3687692.4899999998</v>
      </c>
      <c r="H32" s="59">
        <f>H33+H35</f>
        <v>1513315.11</v>
      </c>
      <c r="I32" s="59">
        <f>SUM(J32:P32)</f>
        <v>1914231.98</v>
      </c>
      <c r="J32" s="59">
        <f>J33+J35</f>
        <v>0</v>
      </c>
      <c r="K32" s="59">
        <f t="shared" ref="K32:V32" si="6">K33+K35</f>
        <v>0</v>
      </c>
      <c r="L32" s="59">
        <f t="shared" si="6"/>
        <v>0</v>
      </c>
      <c r="M32" s="59">
        <f t="shared" si="6"/>
        <v>1258487.81</v>
      </c>
      <c r="N32" s="59">
        <f t="shared" si="6"/>
        <v>655744.17000000004</v>
      </c>
      <c r="O32" s="59"/>
      <c r="P32" s="59"/>
      <c r="Q32" s="59">
        <f t="shared" si="6"/>
        <v>0</v>
      </c>
      <c r="R32" s="59">
        <f t="shared" si="6"/>
        <v>0</v>
      </c>
      <c r="S32" s="59">
        <f t="shared" si="1"/>
        <v>6892927.0999999996</v>
      </c>
      <c r="T32" s="59">
        <f t="shared" si="6"/>
        <v>5729310.8399999999</v>
      </c>
      <c r="U32" s="59">
        <f t="shared" si="6"/>
        <v>1163616.26</v>
      </c>
      <c r="V32" s="59">
        <f t="shared" si="6"/>
        <v>0</v>
      </c>
      <c r="W32" s="566"/>
      <c r="AA32" s="137">
        <f>'ПФХД 2019 с разбивкой '!E33</f>
        <v>14420120.899999999</v>
      </c>
      <c r="AB32" s="135">
        <f t="shared" si="2"/>
        <v>-243191.33000000194</v>
      </c>
    </row>
    <row r="33" spans="1:28" s="115" customFormat="1" ht="15.75" x14ac:dyDescent="0.25">
      <c r="A33" s="112" t="s">
        <v>168</v>
      </c>
      <c r="B33" s="598"/>
      <c r="C33" s="114">
        <v>830</v>
      </c>
      <c r="D33" s="59">
        <f>E33+I33+R33+S33</f>
        <v>500000</v>
      </c>
      <c r="E33" s="59">
        <f>SUM(E34)</f>
        <v>0</v>
      </c>
      <c r="F33" s="59"/>
      <c r="G33" s="59">
        <f>SUM(G34)</f>
        <v>0</v>
      </c>
      <c r="H33" s="59">
        <f>SUM(H34)</f>
        <v>0</v>
      </c>
      <c r="I33" s="59">
        <f t="shared" si="5"/>
        <v>0</v>
      </c>
      <c r="J33" s="59"/>
      <c r="K33" s="59">
        <f t="shared" ref="K33:V33" si="7">SUM(K34)</f>
        <v>0</v>
      </c>
      <c r="L33" s="59">
        <f t="shared" si="7"/>
        <v>0</v>
      </c>
      <c r="M33" s="59">
        <f t="shared" si="7"/>
        <v>0</v>
      </c>
      <c r="N33" s="59">
        <f t="shared" si="7"/>
        <v>0</v>
      </c>
      <c r="O33" s="59"/>
      <c r="P33" s="59"/>
      <c r="Q33" s="59">
        <f t="shared" si="7"/>
        <v>0</v>
      </c>
      <c r="R33" s="59">
        <f t="shared" si="7"/>
        <v>0</v>
      </c>
      <c r="S33" s="59">
        <f t="shared" si="1"/>
        <v>500000</v>
      </c>
      <c r="T33" s="59">
        <f t="shared" si="7"/>
        <v>500000</v>
      </c>
      <c r="U33" s="59">
        <f t="shared" si="7"/>
        <v>0</v>
      </c>
      <c r="V33" s="59">
        <f t="shared" si="7"/>
        <v>0</v>
      </c>
      <c r="W33" s="566"/>
      <c r="X33" s="121" t="s">
        <v>237</v>
      </c>
      <c r="AA33" s="137">
        <f>'ПФХД 2019 с разбивкой '!E34</f>
        <v>500000</v>
      </c>
      <c r="AB33" s="135">
        <f t="shared" si="2"/>
        <v>0</v>
      </c>
    </row>
    <row r="34" spans="1:28" ht="63" x14ac:dyDescent="0.25">
      <c r="A34" s="597" t="s">
        <v>169</v>
      </c>
      <c r="B34" s="595"/>
      <c r="C34" s="596">
        <v>831</v>
      </c>
      <c r="D34" s="64">
        <f>E34+I34+R34+S34</f>
        <v>500000</v>
      </c>
      <c r="E34" s="64"/>
      <c r="F34" s="64"/>
      <c r="G34" s="64"/>
      <c r="H34" s="64"/>
      <c r="I34" s="64">
        <f t="shared" si="5"/>
        <v>0</v>
      </c>
      <c r="J34" s="64"/>
      <c r="K34" s="64"/>
      <c r="L34" s="64"/>
      <c r="M34" s="64"/>
      <c r="N34" s="64"/>
      <c r="O34" s="64"/>
      <c r="P34" s="64"/>
      <c r="Q34" s="64"/>
      <c r="R34" s="64"/>
      <c r="S34" s="59">
        <f t="shared" si="1"/>
        <v>500000</v>
      </c>
      <c r="T34" s="64">
        <f>'ПФХД 2019 с разбивкой '!AP35</f>
        <v>500000</v>
      </c>
      <c r="U34" s="64"/>
      <c r="V34" s="64"/>
      <c r="W34" s="461"/>
      <c r="X34" s="122">
        <v>15000</v>
      </c>
      <c r="Y34" s="121">
        <v>831</v>
      </c>
      <c r="AA34" s="137">
        <f>'ПФХД 2019 с разбивкой '!E35</f>
        <v>500000</v>
      </c>
      <c r="AB34" s="135">
        <f t="shared" si="2"/>
        <v>0</v>
      </c>
    </row>
    <row r="35" spans="1:28" s="115" customFormat="1" ht="33" customHeight="1" x14ac:dyDescent="0.25">
      <c r="A35" s="130" t="s">
        <v>170</v>
      </c>
      <c r="B35" s="1385">
        <v>230</v>
      </c>
      <c r="C35" s="114">
        <v>850</v>
      </c>
      <c r="D35" s="59">
        <f>E35+I35+R35+S35</f>
        <v>14163312.23</v>
      </c>
      <c r="E35" s="59">
        <f>SUM(E37:E39)</f>
        <v>5856153.1500000004</v>
      </c>
      <c r="F35" s="59">
        <f>SUM(F37:F39)</f>
        <v>0</v>
      </c>
      <c r="G35" s="59">
        <f>SUM(G37:G39)</f>
        <v>3687692.4899999998</v>
      </c>
      <c r="H35" s="59">
        <f>SUM(H37:H39)</f>
        <v>1513315.11</v>
      </c>
      <c r="I35" s="59">
        <f t="shared" ref="I35:Q35" si="8">I37+I38+I39</f>
        <v>1914231.98</v>
      </c>
      <c r="J35" s="59">
        <f t="shared" si="8"/>
        <v>0</v>
      </c>
      <c r="K35" s="59">
        <f t="shared" si="8"/>
        <v>0</v>
      </c>
      <c r="L35" s="59">
        <f t="shared" si="8"/>
        <v>0</v>
      </c>
      <c r="M35" s="59">
        <f t="shared" si="8"/>
        <v>1258487.81</v>
      </c>
      <c r="N35" s="59">
        <f t="shared" si="8"/>
        <v>655744.17000000004</v>
      </c>
      <c r="O35" s="59"/>
      <c r="P35" s="59"/>
      <c r="Q35" s="59">
        <f t="shared" si="8"/>
        <v>0</v>
      </c>
      <c r="R35" s="59">
        <f>SUM(R36:R39)</f>
        <v>0</v>
      </c>
      <c r="S35" s="59">
        <f t="shared" si="1"/>
        <v>6392927.0999999996</v>
      </c>
      <c r="T35" s="59">
        <f>T37+T38+T39</f>
        <v>5229310.84</v>
      </c>
      <c r="U35" s="59">
        <f>U37+U38+U39</f>
        <v>1163616.26</v>
      </c>
      <c r="V35" s="59">
        <f>V37+V38+V39</f>
        <v>0</v>
      </c>
      <c r="W35" s="566"/>
      <c r="AA35" s="137">
        <f>'ПФХД 2019 с разбивкой '!E36</f>
        <v>13920120.899999999</v>
      </c>
      <c r="AB35" s="135">
        <f t="shared" si="2"/>
        <v>-243191.33000000194</v>
      </c>
    </row>
    <row r="36" spans="1:28" ht="15.75" x14ac:dyDescent="0.25">
      <c r="A36" s="132" t="s">
        <v>92</v>
      </c>
      <c r="B36" s="1385"/>
      <c r="C36" s="134"/>
      <c r="D36" s="64"/>
      <c r="E36" s="64"/>
      <c r="F36" s="64"/>
      <c r="G36" s="64"/>
      <c r="H36" s="64"/>
      <c r="I36" s="64"/>
      <c r="J36" s="64"/>
      <c r="K36" s="64"/>
      <c r="L36" s="64"/>
      <c r="M36" s="64"/>
      <c r="N36" s="64"/>
      <c r="O36" s="64"/>
      <c r="P36" s="64"/>
      <c r="Q36" s="64"/>
      <c r="R36" s="64"/>
      <c r="S36" s="59">
        <f t="shared" si="1"/>
        <v>0</v>
      </c>
      <c r="T36" s="64"/>
      <c r="U36" s="64"/>
      <c r="V36" s="64"/>
      <c r="W36" s="461"/>
      <c r="X36" s="121" t="s">
        <v>237</v>
      </c>
      <c r="Y36" s="121" t="s">
        <v>197</v>
      </c>
      <c r="Z36" s="121" t="s">
        <v>237</v>
      </c>
      <c r="AA36" s="137">
        <f>'ПФХД 2019 с разбивкой '!E37</f>
        <v>0</v>
      </c>
      <c r="AB36" s="135">
        <f t="shared" si="2"/>
        <v>0</v>
      </c>
    </row>
    <row r="37" spans="1:28" ht="31.5" x14ac:dyDescent="0.25">
      <c r="A37" s="132" t="s">
        <v>171</v>
      </c>
      <c r="B37" s="1385"/>
      <c r="C37" s="596">
        <v>851</v>
      </c>
      <c r="D37" s="64">
        <f>E37+I37+R37+S37</f>
        <v>12610402.199999999</v>
      </c>
      <c r="E37" s="64">
        <v>5545243.1200000001</v>
      </c>
      <c r="F37" s="64"/>
      <c r="G37" s="64">
        <f>'ПФХД 2019 с разбивкой '!L38</f>
        <v>3376782.46</v>
      </c>
      <c r="H37" s="64">
        <f>'ПФХД 2019 с разбивкой '!O38</f>
        <v>1513315.11</v>
      </c>
      <c r="I37" s="64">
        <f>J37+K37+L37+M37+N37+O37+P37</f>
        <v>1914231.98</v>
      </c>
      <c r="J37" s="64">
        <f>'ПФХД 2019 с разбивкой '!T38</f>
        <v>0</v>
      </c>
      <c r="K37" s="64"/>
      <c r="L37" s="64"/>
      <c r="M37" s="64">
        <f>'ПФХД 2019 с разбивкой '!X38</f>
        <v>1258487.81</v>
      </c>
      <c r="N37" s="64">
        <f>'ПФХД 2019 с разбивкой '!AB38</f>
        <v>655744.17000000004</v>
      </c>
      <c r="O37" s="64"/>
      <c r="P37" s="64"/>
      <c r="Q37" s="64"/>
      <c r="R37" s="64"/>
      <c r="S37" s="59">
        <f t="shared" si="1"/>
        <v>5150927.0999999996</v>
      </c>
      <c r="T37" s="64">
        <f>'ПФХД 2019 с разбивкой '!AP38</f>
        <v>4167310.84</v>
      </c>
      <c r="U37" s="64">
        <f>'ПФХД 2019 с разбивкой '!AS38</f>
        <v>983616.26</v>
      </c>
      <c r="V37" s="64"/>
      <c r="W37" s="461"/>
      <c r="X37" s="122">
        <v>2116229.66</v>
      </c>
      <c r="Y37" s="122">
        <v>-2116229.66</v>
      </c>
      <c r="Z37" s="122"/>
      <c r="AA37" s="137">
        <f>'ПФХД 2019 с разбивкой '!E38</f>
        <v>12367210.870000001</v>
      </c>
      <c r="AB37" s="135">
        <f t="shared" si="2"/>
        <v>-243191.32999999821</v>
      </c>
    </row>
    <row r="38" spans="1:28" ht="15.75" x14ac:dyDescent="0.25">
      <c r="A38" s="132" t="s">
        <v>172</v>
      </c>
      <c r="B38" s="1385"/>
      <c r="C38" s="596">
        <v>852</v>
      </c>
      <c r="D38" s="64">
        <f>E38+I38+R38+S38</f>
        <v>844267.46</v>
      </c>
      <c r="E38" s="64">
        <f>SUM(G38:H38)</f>
        <v>209267.46</v>
      </c>
      <c r="F38" s="64"/>
      <c r="G38" s="64">
        <f>'ПФХД 2019 с разбивкой '!L39</f>
        <v>209267.46</v>
      </c>
      <c r="H38" s="64"/>
      <c r="I38" s="64">
        <f>J38+K38+L38+M38+N38+O38+P38</f>
        <v>0</v>
      </c>
      <c r="J38" s="64"/>
      <c r="K38" s="64"/>
      <c r="L38" s="64"/>
      <c r="M38" s="64"/>
      <c r="N38" s="64">
        <f>'ПФХД 2019 с разбивкой '!AB39</f>
        <v>0</v>
      </c>
      <c r="O38" s="64"/>
      <c r="P38" s="64"/>
      <c r="Q38" s="64"/>
      <c r="R38" s="64"/>
      <c r="S38" s="59">
        <f t="shared" si="1"/>
        <v>635000</v>
      </c>
      <c r="T38" s="64">
        <f>'ПФХД 2019 с разбивкой '!AP39</f>
        <v>485000</v>
      </c>
      <c r="U38" s="64">
        <f>'ПФХД 2019 с разбивкой '!AS39</f>
        <v>150000</v>
      </c>
      <c r="V38" s="64"/>
      <c r="W38" s="461"/>
      <c r="X38" s="122">
        <v>-75470.62</v>
      </c>
      <c r="Y38" s="122"/>
      <c r="Z38" s="122">
        <v>-49993.01</v>
      </c>
      <c r="AA38" s="137">
        <f>'ПФХД 2019 с разбивкой '!E39</f>
        <v>844267.46</v>
      </c>
      <c r="AB38" s="135">
        <f t="shared" si="2"/>
        <v>0</v>
      </c>
    </row>
    <row r="39" spans="1:28" ht="18.75" customHeight="1" x14ac:dyDescent="0.25">
      <c r="A39" s="132" t="s">
        <v>173</v>
      </c>
      <c r="B39" s="1385"/>
      <c r="C39" s="596">
        <v>853</v>
      </c>
      <c r="D39" s="64">
        <f>E39+I39+R39+S39</f>
        <v>708642.57000000007</v>
      </c>
      <c r="E39" s="64">
        <f>SUM(G39:H39)</f>
        <v>101642.57</v>
      </c>
      <c r="F39" s="64"/>
      <c r="G39" s="64">
        <f>'ПФХД 2019 с разбивкой '!L40</f>
        <v>101642.57</v>
      </c>
      <c r="H39" s="64"/>
      <c r="I39" s="64">
        <f>SUM(K39:N39)</f>
        <v>0</v>
      </c>
      <c r="J39" s="64"/>
      <c r="K39" s="64"/>
      <c r="L39" s="64"/>
      <c r="M39" s="64"/>
      <c r="N39" s="64"/>
      <c r="O39" s="64"/>
      <c r="P39" s="64"/>
      <c r="Q39" s="64"/>
      <c r="R39" s="64"/>
      <c r="S39" s="59">
        <f t="shared" si="1"/>
        <v>607000</v>
      </c>
      <c r="T39" s="64">
        <f>'ПФХД 2019 с разбивкой '!AP40</f>
        <v>577000</v>
      </c>
      <c r="U39" s="64">
        <f>'ПФХД 2019 с разбивкой '!AS40</f>
        <v>30000</v>
      </c>
      <c r="V39" s="64"/>
      <c r="W39" s="461"/>
      <c r="X39" s="122">
        <v>75470.62</v>
      </c>
      <c r="Y39" s="122"/>
      <c r="Z39" s="122">
        <v>49993.01</v>
      </c>
      <c r="AA39" s="137">
        <f>'ПФХД 2019 с разбивкой '!E40</f>
        <v>708642.57000000007</v>
      </c>
      <c r="AB39" s="135">
        <f t="shared" si="2"/>
        <v>0</v>
      </c>
    </row>
    <row r="40" spans="1:28" ht="15.75" x14ac:dyDescent="0.25">
      <c r="A40" s="132" t="s">
        <v>174</v>
      </c>
      <c r="B40" s="595">
        <v>240</v>
      </c>
      <c r="C40" s="596">
        <v>860</v>
      </c>
      <c r="D40" s="64"/>
      <c r="E40" s="64"/>
      <c r="F40" s="64"/>
      <c r="G40" s="64"/>
      <c r="H40" s="64"/>
      <c r="I40" s="64">
        <f>SUM(K40:N40)</f>
        <v>0</v>
      </c>
      <c r="J40" s="64"/>
      <c r="K40" s="64"/>
      <c r="L40" s="64"/>
      <c r="M40" s="64"/>
      <c r="N40" s="64"/>
      <c r="O40" s="64"/>
      <c r="P40" s="64"/>
      <c r="Q40" s="64"/>
      <c r="R40" s="64"/>
      <c r="S40" s="59">
        <f t="shared" si="1"/>
        <v>0</v>
      </c>
      <c r="T40" s="64"/>
      <c r="U40" s="64"/>
      <c r="V40" s="64"/>
      <c r="W40" s="461"/>
      <c r="AA40" s="137">
        <f>'ПФХД 2019 с разбивкой '!E41</f>
        <v>0</v>
      </c>
      <c r="AB40" s="135">
        <f t="shared" si="2"/>
        <v>0</v>
      </c>
    </row>
    <row r="41" spans="1:28" s="115" customFormat="1" ht="31.5" x14ac:dyDescent="0.25">
      <c r="A41" s="130" t="s">
        <v>175</v>
      </c>
      <c r="B41" s="1387">
        <v>250</v>
      </c>
      <c r="C41" s="138"/>
      <c r="D41" s="59">
        <f>E41+I41+R41+S41</f>
        <v>0</v>
      </c>
      <c r="E41" s="59">
        <f>E43</f>
        <v>0</v>
      </c>
      <c r="F41" s="59"/>
      <c r="G41" s="59">
        <f>G43</f>
        <v>0</v>
      </c>
      <c r="H41" s="59">
        <f>H43</f>
        <v>0</v>
      </c>
      <c r="I41" s="59">
        <f>SUM(K41:N41)</f>
        <v>0</v>
      </c>
      <c r="J41" s="59"/>
      <c r="K41" s="59">
        <v>0</v>
      </c>
      <c r="L41" s="59">
        <v>0</v>
      </c>
      <c r="M41" s="59">
        <v>0</v>
      </c>
      <c r="N41" s="59">
        <v>0</v>
      </c>
      <c r="O41" s="59"/>
      <c r="P41" s="59"/>
      <c r="Q41" s="59">
        <v>0</v>
      </c>
      <c r="R41" s="59">
        <v>0</v>
      </c>
      <c r="S41" s="59">
        <f t="shared" si="1"/>
        <v>0</v>
      </c>
      <c r="T41" s="59">
        <f>T43</f>
        <v>0</v>
      </c>
      <c r="U41" s="59">
        <v>0</v>
      </c>
      <c r="V41" s="59">
        <f>V43</f>
        <v>0</v>
      </c>
      <c r="W41" s="566"/>
      <c r="AA41" s="137">
        <f>'ПФХД 2019 с разбивкой '!E42</f>
        <v>0</v>
      </c>
      <c r="AB41" s="135">
        <f t="shared" si="2"/>
        <v>0</v>
      </c>
    </row>
    <row r="42" spans="1:28" s="115" customFormat="1" ht="15.75" x14ac:dyDescent="0.25">
      <c r="A42" s="130" t="s">
        <v>92</v>
      </c>
      <c r="B42" s="1387"/>
      <c r="C42" s="138"/>
      <c r="D42" s="59"/>
      <c r="E42" s="59"/>
      <c r="F42" s="59"/>
      <c r="G42" s="59"/>
      <c r="H42" s="59"/>
      <c r="I42" s="59"/>
      <c r="J42" s="59"/>
      <c r="K42" s="59"/>
      <c r="L42" s="59"/>
      <c r="M42" s="59"/>
      <c r="N42" s="59"/>
      <c r="O42" s="59"/>
      <c r="P42" s="59"/>
      <c r="Q42" s="59"/>
      <c r="R42" s="59"/>
      <c r="S42" s="59">
        <f t="shared" si="1"/>
        <v>0</v>
      </c>
      <c r="T42" s="59"/>
      <c r="U42" s="59"/>
      <c r="V42" s="59"/>
      <c r="W42" s="566"/>
      <c r="AA42" s="137">
        <f>'ПФХД 2019 с разбивкой '!E43</f>
        <v>0</v>
      </c>
      <c r="AB42" s="135">
        <f t="shared" si="2"/>
        <v>0</v>
      </c>
    </row>
    <row r="43" spans="1:28" s="115" customFormat="1" ht="15.75" x14ac:dyDescent="0.25">
      <c r="A43" s="139"/>
      <c r="B43" s="1387"/>
      <c r="C43" s="138"/>
      <c r="D43" s="59"/>
      <c r="E43" s="59"/>
      <c r="F43" s="59"/>
      <c r="G43" s="59"/>
      <c r="H43" s="59"/>
      <c r="I43" s="59"/>
      <c r="J43" s="59"/>
      <c r="K43" s="59"/>
      <c r="L43" s="59"/>
      <c r="M43" s="59"/>
      <c r="N43" s="59"/>
      <c r="O43" s="59"/>
      <c r="P43" s="59"/>
      <c r="Q43" s="59"/>
      <c r="R43" s="59"/>
      <c r="S43" s="59">
        <f t="shared" si="1"/>
        <v>0</v>
      </c>
      <c r="T43" s="59"/>
      <c r="U43" s="59"/>
      <c r="V43" s="59"/>
      <c r="W43" s="566"/>
      <c r="AA43" s="137">
        <f>'ПФХД 2019 с разбивкой '!E44</f>
        <v>0</v>
      </c>
      <c r="AB43" s="135">
        <f t="shared" si="2"/>
        <v>0</v>
      </c>
    </row>
    <row r="44" spans="1:28" s="115" customFormat="1" ht="31.5" x14ac:dyDescent="0.25">
      <c r="A44" s="130" t="s">
        <v>176</v>
      </c>
      <c r="B44" s="1383">
        <v>260</v>
      </c>
      <c r="C44" s="114">
        <v>240</v>
      </c>
      <c r="D44" s="59">
        <f>E44+I44+R44+S44</f>
        <v>2858049689.855</v>
      </c>
      <c r="E44" s="59">
        <f>E46+E47+E48+E49+E50+E54+E58+E60+E62+E65</f>
        <v>46655720.769999996</v>
      </c>
      <c r="F44" s="59">
        <f>F46+F47+F48+F49+F50+F54+F58+F60</f>
        <v>0</v>
      </c>
      <c r="G44" s="59">
        <f>G46+G47+G48+G49+G50+G54+G58+G62+G65+G60</f>
        <v>29172987.350000001</v>
      </c>
      <c r="H44" s="59">
        <f>H46+H47+H48+H49+H50+H54+H58+H62+H65</f>
        <v>17482733.420000002</v>
      </c>
      <c r="I44" s="59">
        <f>I46+I47+I48+I49+I50+I54+I58+I62+I65+I51+I55</f>
        <v>2633213561.5799999</v>
      </c>
      <c r="J44" s="59">
        <f>J46+J47+J48+J49+J50+J54+J58+J62+J65+J51+J55</f>
        <v>387333572.96999997</v>
      </c>
      <c r="K44" s="59">
        <f>K46+K47+K48+K49+K50+K54+K58+K62+K65+K51+K55</f>
        <v>2222708150.4000001</v>
      </c>
      <c r="L44" s="59">
        <f>L46+L47+L48+L49+L50+L54+L58+L60</f>
        <v>0</v>
      </c>
      <c r="M44" s="59">
        <f>M46+M47+M48+M49+M50+M54+M58+M62+M65+M51+M55</f>
        <v>11003632.780000001</v>
      </c>
      <c r="N44" s="59">
        <f>N46+N47+N48+N49+N50+N54+N58+N62+N65+N51+N55</f>
        <v>6222834.2999999998</v>
      </c>
      <c r="O44" s="59">
        <f t="shared" ref="O44:P44" si="9">O46+O47+O48+O49+O50+O54+O58+O62+O65+O51+O55</f>
        <v>0</v>
      </c>
      <c r="P44" s="59">
        <f t="shared" si="9"/>
        <v>5945371.1299999999</v>
      </c>
      <c r="Q44" s="59">
        <f>Q46+Q47+Q48+Q49+Q50+Q51+Q55+Q60</f>
        <v>0</v>
      </c>
      <c r="R44" s="59">
        <f>R46+R47+R48+R49+R50+R54+R58+R62+R65+R51+R55</f>
        <v>70000</v>
      </c>
      <c r="S44" s="59">
        <f>T44+U44</f>
        <v>178110407.505</v>
      </c>
      <c r="T44" s="59">
        <f>T46+T47+T48+T49+T50+T54+T58+T62+T65+T51+T55</f>
        <v>155373348.77500001</v>
      </c>
      <c r="U44" s="59">
        <f>U46+U47+U48+U49+U50+U54+U58+U62+U65+U51+U55</f>
        <v>22737058.73</v>
      </c>
      <c r="V44" s="59">
        <f>V46+V47+V48+V49+V50+V51+V55+V60</f>
        <v>0</v>
      </c>
      <c r="W44" s="566"/>
      <c r="AA44" s="137">
        <f>'ПФХД 2019 с разбивкой '!E45</f>
        <v>2866048940.0349998</v>
      </c>
      <c r="AB44" s="135">
        <f t="shared" si="2"/>
        <v>7999250.1799998283</v>
      </c>
    </row>
    <row r="45" spans="1:28" ht="15.75" x14ac:dyDescent="0.25">
      <c r="A45" s="132" t="s">
        <v>92</v>
      </c>
      <c r="B45" s="1383"/>
      <c r="C45" s="134"/>
      <c r="D45" s="64"/>
      <c r="E45" s="64"/>
      <c r="F45" s="64"/>
      <c r="G45" s="64"/>
      <c r="H45" s="64"/>
      <c r="I45" s="64"/>
      <c r="J45" s="64"/>
      <c r="K45" s="64"/>
      <c r="L45" s="64"/>
      <c r="M45" s="64"/>
      <c r="N45" s="64"/>
      <c r="O45" s="64"/>
      <c r="P45" s="64"/>
      <c r="Q45" s="64"/>
      <c r="R45" s="64"/>
      <c r="S45" s="59">
        <f t="shared" si="1"/>
        <v>0</v>
      </c>
      <c r="T45" s="64"/>
      <c r="U45" s="64"/>
      <c r="V45" s="64"/>
      <c r="W45" s="461"/>
      <c r="X45" s="121" t="s">
        <v>237</v>
      </c>
      <c r="Y45" s="121" t="s">
        <v>197</v>
      </c>
      <c r="AA45" s="137">
        <f>'ПФХД 2019 с разбивкой '!E46</f>
        <v>0</v>
      </c>
      <c r="AB45" s="135">
        <f t="shared" si="2"/>
        <v>0</v>
      </c>
    </row>
    <row r="46" spans="1:28" ht="31.5" x14ac:dyDescent="0.25">
      <c r="A46" s="132" t="s">
        <v>177</v>
      </c>
      <c r="B46" s="132"/>
      <c r="C46" s="596">
        <v>241</v>
      </c>
      <c r="D46" s="64"/>
      <c r="E46" s="64"/>
      <c r="F46" s="64"/>
      <c r="G46" s="64"/>
      <c r="H46" s="64"/>
      <c r="I46" s="64"/>
      <c r="J46" s="64"/>
      <c r="K46" s="64"/>
      <c r="L46" s="64"/>
      <c r="M46" s="64"/>
      <c r="N46" s="64"/>
      <c r="O46" s="64"/>
      <c r="P46" s="64"/>
      <c r="Q46" s="64"/>
      <c r="R46" s="64"/>
      <c r="S46" s="59">
        <f t="shared" si="1"/>
        <v>0</v>
      </c>
      <c r="T46" s="64"/>
      <c r="U46" s="64"/>
      <c r="V46" s="64"/>
      <c r="W46" s="461"/>
      <c r="X46" s="141"/>
      <c r="Y46" s="122">
        <v>25000</v>
      </c>
      <c r="Z46" s="117" t="s">
        <v>234</v>
      </c>
      <c r="AA46" s="137">
        <f>'ПФХД 2019 с разбивкой '!E47</f>
        <v>0</v>
      </c>
      <c r="AB46" s="135">
        <f t="shared" si="2"/>
        <v>0</v>
      </c>
    </row>
    <row r="47" spans="1:28" ht="15.75" customHeight="1" x14ac:dyDescent="0.25">
      <c r="A47" s="132" t="s">
        <v>178</v>
      </c>
      <c r="B47" s="132"/>
      <c r="C47" s="596">
        <v>244</v>
      </c>
      <c r="D47" s="460">
        <f>E47+I47+R47+S47</f>
        <v>2346958.62</v>
      </c>
      <c r="E47" s="64">
        <f>F47+G47+H47</f>
        <v>935479.38</v>
      </c>
      <c r="F47" s="64"/>
      <c r="G47" s="64">
        <f>'ПФХД 2019 с разбивкой '!L48</f>
        <v>717269.39</v>
      </c>
      <c r="H47" s="64">
        <f>'ПФХД 2019 с разбивкой '!O48</f>
        <v>218209.99</v>
      </c>
      <c r="I47" s="64">
        <f>J47+K47+L47+M47+N47+O47+P47</f>
        <v>255973.67</v>
      </c>
      <c r="J47" s="64">
        <f>'ПФХД 2019 с разбивкой '!T48</f>
        <v>0</v>
      </c>
      <c r="K47" s="64"/>
      <c r="L47" s="64"/>
      <c r="M47" s="64">
        <f>'ПФХД 2019 с разбивкой '!X48</f>
        <v>210973.67</v>
      </c>
      <c r="N47" s="64">
        <f>'ПФХД 2019 с разбивкой '!AB48</f>
        <v>45000</v>
      </c>
      <c r="O47" s="64"/>
      <c r="P47" s="64"/>
      <c r="Q47" s="64"/>
      <c r="R47" s="64"/>
      <c r="S47" s="59">
        <f t="shared" si="1"/>
        <v>1155505.57</v>
      </c>
      <c r="T47" s="64">
        <f>'ПФХД 2019 с разбивкой '!AP48</f>
        <v>889902.56</v>
      </c>
      <c r="U47" s="64">
        <f>'ПФХД 2019 с разбивкой '!AS48</f>
        <v>265603.01</v>
      </c>
      <c r="V47" s="64"/>
      <c r="W47" s="461"/>
      <c r="X47" s="122">
        <v>269900</v>
      </c>
      <c r="Y47" s="122">
        <f>-269900</f>
        <v>-269900</v>
      </c>
      <c r="Z47" s="117" t="s">
        <v>179</v>
      </c>
      <c r="AA47" s="137">
        <f>'ПФХД 2019 с разбивкой '!E48</f>
        <v>2406359.8600000003</v>
      </c>
      <c r="AB47" s="135">
        <f t="shared" si="2"/>
        <v>59401.240000000224</v>
      </c>
    </row>
    <row r="48" spans="1:28" ht="19.5" customHeight="1" x14ac:dyDescent="0.25">
      <c r="A48" s="132" t="s">
        <v>179</v>
      </c>
      <c r="B48" s="132"/>
      <c r="C48" s="596">
        <v>244</v>
      </c>
      <c r="D48" s="64">
        <f>E48+I48+Q48+R48+S48</f>
        <v>161040</v>
      </c>
      <c r="E48" s="64"/>
      <c r="F48" s="64"/>
      <c r="G48" s="64"/>
      <c r="H48" s="64"/>
      <c r="I48" s="64">
        <f t="shared" ref="I48:I50" si="10">SUM(J48:N48)</f>
        <v>0</v>
      </c>
      <c r="J48" s="64"/>
      <c r="K48" s="64"/>
      <c r="L48" s="64"/>
      <c r="M48" s="64"/>
      <c r="N48" s="64"/>
      <c r="O48" s="64"/>
      <c r="P48" s="64"/>
      <c r="Q48" s="64"/>
      <c r="R48" s="64"/>
      <c r="S48" s="59">
        <f>T48+U48</f>
        <v>161040</v>
      </c>
      <c r="T48" s="64">
        <f>'ПФХД 2019 с разбивкой '!AP49</f>
        <v>111040</v>
      </c>
      <c r="U48" s="64">
        <f>'ПФХД 2019 с разбивкой '!AS49</f>
        <v>50000</v>
      </c>
      <c r="V48" s="64"/>
      <c r="W48" s="461"/>
      <c r="X48" s="111">
        <v>50000</v>
      </c>
      <c r="Y48" s="111">
        <v>845833.33</v>
      </c>
      <c r="Z48" s="117" t="s">
        <v>242</v>
      </c>
      <c r="AA48" s="137">
        <f>'ПФХД 2019 с разбивкой '!E49</f>
        <v>161040</v>
      </c>
      <c r="AB48" s="135">
        <f t="shared" si="2"/>
        <v>0</v>
      </c>
    </row>
    <row r="49" spans="1:28" ht="16.5" customHeight="1" x14ac:dyDescent="0.25">
      <c r="A49" s="132" t="s">
        <v>180</v>
      </c>
      <c r="B49" s="132"/>
      <c r="C49" s="596">
        <v>244</v>
      </c>
      <c r="D49" s="64">
        <f>E49+I49+R49+S49</f>
        <v>42550501.969999999</v>
      </c>
      <c r="E49" s="64">
        <f>F49+G49+H49</f>
        <v>11180271.91</v>
      </c>
      <c r="F49" s="64"/>
      <c r="G49" s="64">
        <f>'ПФХД 2019 с разбивкой '!L50</f>
        <v>7064216.5199999996</v>
      </c>
      <c r="H49" s="64">
        <f>'ПФХД 2019 с разбивкой '!O50</f>
        <v>4116055.39</v>
      </c>
      <c r="I49" s="64">
        <f>J49+K49+L49+M49+N49+O49+P49</f>
        <v>10121507.76</v>
      </c>
      <c r="J49" s="64">
        <f>'ПФХД 2019 с разбивкой '!T50</f>
        <v>0</v>
      </c>
      <c r="K49" s="64"/>
      <c r="L49" s="64"/>
      <c r="M49" s="64">
        <f>'ПФХД 2019 с разбивкой '!X50</f>
        <v>2604490.63</v>
      </c>
      <c r="N49" s="64">
        <f>'ПФХД 2019 с разбивкой '!AB50</f>
        <v>1571646</v>
      </c>
      <c r="O49" s="64"/>
      <c r="P49" s="64">
        <f>'ПФХД 2019 с разбивкой '!AH50</f>
        <v>5945371.1299999999</v>
      </c>
      <c r="Q49" s="64"/>
      <c r="R49" s="64"/>
      <c r="S49" s="59">
        <f t="shared" si="1"/>
        <v>21248722.300000001</v>
      </c>
      <c r="T49" s="64">
        <f>'ПФХД 2019 с разбивкой '!AP50</f>
        <v>19267792.300000001</v>
      </c>
      <c r="U49" s="64">
        <f>'ПФХД 2019 с разбивкой '!AS50</f>
        <v>1980930</v>
      </c>
      <c r="V49" s="64"/>
      <c r="W49" s="461"/>
      <c r="X49" s="122">
        <f>-(X37+X47+X34)</f>
        <v>-2401129.66</v>
      </c>
      <c r="Z49" s="117" t="s">
        <v>180</v>
      </c>
      <c r="AA49" s="137">
        <f>'ПФХД 2019 с разбивкой '!E50</f>
        <v>43670973.980000004</v>
      </c>
      <c r="AB49" s="135">
        <f t="shared" si="2"/>
        <v>1120472.0100000054</v>
      </c>
    </row>
    <row r="50" spans="1:28" ht="15.75" x14ac:dyDescent="0.25">
      <c r="A50" s="132" t="s">
        <v>181</v>
      </c>
      <c r="B50" s="132"/>
      <c r="C50" s="596">
        <v>244</v>
      </c>
      <c r="D50" s="64"/>
      <c r="E50" s="64"/>
      <c r="F50" s="64"/>
      <c r="G50" s="64"/>
      <c r="H50" s="64"/>
      <c r="I50" s="64">
        <f t="shared" si="10"/>
        <v>0</v>
      </c>
      <c r="J50" s="64"/>
      <c r="K50" s="64"/>
      <c r="L50" s="64"/>
      <c r="M50" s="64"/>
      <c r="N50" s="64"/>
      <c r="O50" s="64"/>
      <c r="P50" s="64"/>
      <c r="Q50" s="64"/>
      <c r="R50" s="64"/>
      <c r="S50" s="59">
        <f>T50+U50</f>
        <v>0</v>
      </c>
      <c r="T50" s="64"/>
      <c r="U50" s="64"/>
      <c r="V50" s="64"/>
      <c r="W50" s="461"/>
      <c r="X50" s="111">
        <v>23168167.190000001</v>
      </c>
      <c r="Y50" s="111">
        <v>2186471.81</v>
      </c>
      <c r="Z50" s="117" t="s">
        <v>243</v>
      </c>
      <c r="AA50" s="137">
        <f>'ПФХД 2019 с разбивкой '!E51</f>
        <v>0</v>
      </c>
      <c r="AB50" s="135">
        <f t="shared" si="2"/>
        <v>0</v>
      </c>
    </row>
    <row r="51" spans="1:28" ht="15.75" x14ac:dyDescent="0.25">
      <c r="A51" s="1384" t="s">
        <v>182</v>
      </c>
      <c r="B51" s="563"/>
      <c r="C51" s="1383">
        <v>243</v>
      </c>
      <c r="D51" s="64">
        <f>E51+I51+R51+S51</f>
        <v>1253015908.2</v>
      </c>
      <c r="E51" s="64">
        <f t="shared" ref="E51:E57" si="11">F51+G51+H51</f>
        <v>0</v>
      </c>
      <c r="F51" s="122"/>
      <c r="G51" s="122"/>
      <c r="H51" s="122"/>
      <c r="I51" s="64">
        <f t="shared" ref="I51:I58" si="12">J51+K51+L51+M51+N51+O51+P51</f>
        <v>1253015908.2</v>
      </c>
      <c r="J51" s="64">
        <f>'ПФХД 2019 с разбивкой '!T52</f>
        <v>146375908.19999999</v>
      </c>
      <c r="K51" s="64">
        <f>'ПФХД 2019 с разбивкой '!V52</f>
        <v>1106640000</v>
      </c>
      <c r="L51" s="64"/>
      <c r="M51" s="64"/>
      <c r="N51" s="64"/>
      <c r="O51" s="64"/>
      <c r="P51" s="64"/>
      <c r="Q51" s="64"/>
      <c r="R51" s="122"/>
      <c r="S51" s="59">
        <f>T51+U51</f>
        <v>0</v>
      </c>
      <c r="T51" s="122"/>
      <c r="U51" s="122"/>
      <c r="V51" s="64"/>
      <c r="W51" s="461"/>
      <c r="X51" s="111">
        <f>S49-X50</f>
        <v>-1919444.8900000006</v>
      </c>
      <c r="AA51" s="137">
        <f>'ПФХД 2019 с разбивкой '!E52</f>
        <v>1253015908.2</v>
      </c>
      <c r="AB51" s="135">
        <f t="shared" si="2"/>
        <v>0</v>
      </c>
    </row>
    <row r="52" spans="1:28" s="145" customFormat="1" ht="19.5" hidden="1" customHeight="1" x14ac:dyDescent="0.25">
      <c r="A52" s="1384"/>
      <c r="B52" s="564"/>
      <c r="C52" s="1383"/>
      <c r="D52" s="144">
        <f t="shared" ref="D52:D59" si="13">E52+I52+R52+S52</f>
        <v>0</v>
      </c>
      <c r="E52" s="64">
        <f t="shared" si="11"/>
        <v>0</v>
      </c>
      <c r="F52" s="270"/>
      <c r="G52" s="270"/>
      <c r="H52" s="270"/>
      <c r="I52" s="64">
        <f t="shared" si="12"/>
        <v>0</v>
      </c>
      <c r="J52" s="144"/>
      <c r="K52" s="144"/>
      <c r="L52" s="144"/>
      <c r="M52" s="144"/>
      <c r="N52" s="144"/>
      <c r="O52" s="144"/>
      <c r="P52" s="144"/>
      <c r="Q52" s="144"/>
      <c r="R52" s="270"/>
      <c r="S52" s="59">
        <f t="shared" si="1"/>
        <v>0</v>
      </c>
      <c r="T52" s="270"/>
      <c r="U52" s="270"/>
      <c r="V52" s="144"/>
      <c r="W52" s="567"/>
      <c r="AA52" s="137">
        <f>'ПФХД 2019 с разбивкой '!E53</f>
        <v>0</v>
      </c>
      <c r="AB52" s="135">
        <f t="shared" si="2"/>
        <v>0</v>
      </c>
    </row>
    <row r="53" spans="1:28" s="145" customFormat="1" ht="19.5" hidden="1" customHeight="1" x14ac:dyDescent="0.25">
      <c r="A53" s="1384"/>
      <c r="B53" s="564"/>
      <c r="C53" s="1383"/>
      <c r="D53" s="144">
        <f t="shared" si="13"/>
        <v>0</v>
      </c>
      <c r="E53" s="64">
        <f t="shared" si="11"/>
        <v>0</v>
      </c>
      <c r="F53" s="270"/>
      <c r="G53" s="270"/>
      <c r="H53" s="270"/>
      <c r="I53" s="64">
        <f t="shared" si="12"/>
        <v>0</v>
      </c>
      <c r="J53" s="144"/>
      <c r="K53" s="144"/>
      <c r="L53" s="144"/>
      <c r="M53" s="144"/>
      <c r="N53" s="144"/>
      <c r="O53" s="144"/>
      <c r="P53" s="144"/>
      <c r="Q53" s="144"/>
      <c r="R53" s="270"/>
      <c r="S53" s="59">
        <f t="shared" si="1"/>
        <v>0</v>
      </c>
      <c r="T53" s="270"/>
      <c r="U53" s="270"/>
      <c r="V53" s="144"/>
      <c r="W53" s="567"/>
      <c r="X53" s="111"/>
      <c r="Y53" s="146"/>
      <c r="Z53" s="117" t="s">
        <v>239</v>
      </c>
      <c r="AA53" s="137">
        <f>'ПФХД 2019 с разбивкой '!E54</f>
        <v>0</v>
      </c>
      <c r="AB53" s="135">
        <f t="shared" si="2"/>
        <v>0</v>
      </c>
    </row>
    <row r="54" spans="1:28" ht="19.5" customHeight="1" x14ac:dyDescent="0.25">
      <c r="A54" s="1384"/>
      <c r="B54" s="565"/>
      <c r="C54" s="596">
        <v>244</v>
      </c>
      <c r="D54" s="64">
        <f>E54+I54+R54+S54</f>
        <v>89879394.699999988</v>
      </c>
      <c r="E54" s="64">
        <f t="shared" si="11"/>
        <v>6515818.2999999998</v>
      </c>
      <c r="F54" s="64"/>
      <c r="G54" s="64">
        <f>'ПФХД 2019 с разбивкой '!L55</f>
        <v>3934762.54</v>
      </c>
      <c r="H54" s="64">
        <f>'ПФХД 2019 с разбивкой '!O55</f>
        <v>2581055.7599999998</v>
      </c>
      <c r="I54" s="64">
        <f t="shared" si="12"/>
        <v>40918576.129999995</v>
      </c>
      <c r="J54" s="64">
        <f>'ПФХД 2019 с разбивкой '!T55</f>
        <v>429259.19</v>
      </c>
      <c r="K54" s="64">
        <f>'ПФХД 2019 с разбивкой '!V55</f>
        <v>37823250.399999999</v>
      </c>
      <c r="L54" s="64"/>
      <c r="M54" s="64">
        <f>'ПФХД 2019 с разбивкой '!X55</f>
        <v>978752.37</v>
      </c>
      <c r="N54" s="64">
        <f>'ПФХД 2019 с разбивкой '!AB55</f>
        <v>1687314.17</v>
      </c>
      <c r="O54" s="64"/>
      <c r="P54" s="64"/>
      <c r="Q54" s="64"/>
      <c r="R54" s="64"/>
      <c r="S54" s="59">
        <f t="shared" si="1"/>
        <v>42445000.269999996</v>
      </c>
      <c r="T54" s="64">
        <f>'ПФХД 2019 с разбивкой '!AP55</f>
        <v>38155862.189999998</v>
      </c>
      <c r="U54" s="64">
        <f>'ПФХД 2019 с разбивкой '!AS55</f>
        <v>4289138.08</v>
      </c>
      <c r="V54" s="64"/>
      <c r="W54" s="461"/>
      <c r="X54" s="111">
        <v>11260837.890000001</v>
      </c>
      <c r="Y54" s="111">
        <v>2931349.03</v>
      </c>
      <c r="Z54" s="117" t="s">
        <v>238</v>
      </c>
      <c r="AA54" s="137">
        <f>'ПФХД 2019 с разбивкой '!E55</f>
        <v>92982009.11999999</v>
      </c>
      <c r="AB54" s="135">
        <f t="shared" si="2"/>
        <v>3102614.4200000018</v>
      </c>
    </row>
    <row r="55" spans="1:28" ht="19.5" customHeight="1" x14ac:dyDescent="0.25">
      <c r="A55" s="1384" t="s">
        <v>183</v>
      </c>
      <c r="B55" s="564"/>
      <c r="C55" s="1383">
        <v>243</v>
      </c>
      <c r="D55" s="64">
        <f>E55+I55+R55+S55</f>
        <v>115847257.70999999</v>
      </c>
      <c r="E55" s="64">
        <f t="shared" si="11"/>
        <v>0</v>
      </c>
      <c r="F55" s="122"/>
      <c r="G55" s="122"/>
      <c r="H55" s="122"/>
      <c r="I55" s="64">
        <f t="shared" si="12"/>
        <v>115847257.70999999</v>
      </c>
      <c r="J55" s="64">
        <f>'ПФХД 2019 с разбивкой '!T56</f>
        <v>4389110</v>
      </c>
      <c r="K55" s="64">
        <f>'ПФХД 2019 с разбивкой '!V56</f>
        <v>111458147.70999999</v>
      </c>
      <c r="L55" s="64"/>
      <c r="M55" s="64"/>
      <c r="N55" s="64"/>
      <c r="O55" s="64"/>
      <c r="P55" s="64"/>
      <c r="Q55" s="64"/>
      <c r="R55" s="122"/>
      <c r="S55" s="59">
        <f t="shared" si="1"/>
        <v>0</v>
      </c>
      <c r="T55" s="122"/>
      <c r="U55" s="122"/>
      <c r="V55" s="64"/>
      <c r="W55" s="461"/>
      <c r="AA55" s="137">
        <f>'ПФХД 2019 с разбивкой '!E56</f>
        <v>115847257.70999999</v>
      </c>
      <c r="AB55" s="135">
        <f t="shared" si="2"/>
        <v>0</v>
      </c>
    </row>
    <row r="56" spans="1:28" s="145" customFormat="1" ht="15.75" hidden="1" x14ac:dyDescent="0.25">
      <c r="A56" s="1384"/>
      <c r="B56" s="563"/>
      <c r="C56" s="1383"/>
      <c r="D56" s="144" t="e">
        <f t="shared" si="13"/>
        <v>#REF!</v>
      </c>
      <c r="E56" s="64">
        <f t="shared" si="11"/>
        <v>0</v>
      </c>
      <c r="F56" s="270"/>
      <c r="G56" s="270"/>
      <c r="H56" s="270"/>
      <c r="I56" s="64" t="e">
        <f t="shared" si="12"/>
        <v>#REF!</v>
      </c>
      <c r="J56" s="144"/>
      <c r="K56" s="144" t="e">
        <f>#REF!</f>
        <v>#REF!</v>
      </c>
      <c r="L56" s="144"/>
      <c r="M56" s="144"/>
      <c r="N56" s="144"/>
      <c r="O56" s="144"/>
      <c r="P56" s="144"/>
      <c r="Q56" s="144"/>
      <c r="R56" s="270"/>
      <c r="S56" s="59">
        <f t="shared" si="1"/>
        <v>0</v>
      </c>
      <c r="T56" s="270"/>
      <c r="U56" s="270"/>
      <c r="V56" s="144"/>
      <c r="W56" s="567"/>
      <c r="AA56" s="137">
        <f>'ПФХД 2019 с разбивкой '!E57</f>
        <v>0</v>
      </c>
      <c r="AB56" s="135" t="e">
        <f t="shared" si="2"/>
        <v>#REF!</v>
      </c>
    </row>
    <row r="57" spans="1:28" s="145" customFormat="1" ht="33.75" hidden="1" customHeight="1" x14ac:dyDescent="0.25">
      <c r="A57" s="1384"/>
      <c r="B57" s="563"/>
      <c r="C57" s="1383"/>
      <c r="D57" s="144" t="e">
        <f t="shared" si="13"/>
        <v>#REF!</v>
      </c>
      <c r="E57" s="64">
        <f t="shared" si="11"/>
        <v>0</v>
      </c>
      <c r="F57" s="270"/>
      <c r="G57" s="270"/>
      <c r="H57" s="270"/>
      <c r="I57" s="64" t="e">
        <f t="shared" si="12"/>
        <v>#REF!</v>
      </c>
      <c r="J57" s="144"/>
      <c r="K57" s="144" t="e">
        <f>#REF!</f>
        <v>#REF!</v>
      </c>
      <c r="L57" s="144"/>
      <c r="M57" s="144"/>
      <c r="N57" s="144"/>
      <c r="O57" s="144"/>
      <c r="P57" s="144"/>
      <c r="Q57" s="144"/>
      <c r="R57" s="270"/>
      <c r="S57" s="59">
        <f t="shared" si="1"/>
        <v>0</v>
      </c>
      <c r="T57" s="270"/>
      <c r="U57" s="270"/>
      <c r="V57" s="144"/>
      <c r="W57" s="567"/>
      <c r="AA57" s="137">
        <f>'ПФХД 2019 с разбивкой '!E58</f>
        <v>0</v>
      </c>
      <c r="AB57" s="135" t="e">
        <f t="shared" si="2"/>
        <v>#REF!</v>
      </c>
    </row>
    <row r="58" spans="1:28" ht="19.5" customHeight="1" x14ac:dyDescent="0.25">
      <c r="A58" s="1384"/>
      <c r="B58" s="132"/>
      <c r="C58" s="596">
        <v>244</v>
      </c>
      <c r="D58" s="64">
        <f>E58+I58+R58+S58</f>
        <v>865117359.02999997</v>
      </c>
      <c r="E58" s="64">
        <f>F58+G58+H58</f>
        <v>3819615.4699999997</v>
      </c>
      <c r="F58" s="64"/>
      <c r="G58" s="64">
        <f>'ПФХД 2019 с разбивкой '!L59</f>
        <v>2389277.44</v>
      </c>
      <c r="H58" s="64">
        <f>'ПФХД 2019 с разбивкой '!O59</f>
        <v>1430338.03</v>
      </c>
      <c r="I58" s="64">
        <f t="shared" si="12"/>
        <v>841838424.32999992</v>
      </c>
      <c r="J58" s="64">
        <f>'ПФХД 2019 с разбивкой '!T59</f>
        <v>143149690.38999999</v>
      </c>
      <c r="K58" s="64">
        <f>'ПФХД 2019 с разбивкой '!V59</f>
        <v>697897552.28999996</v>
      </c>
      <c r="L58" s="64"/>
      <c r="M58" s="64">
        <f>'ПФХД 2019 с разбивкой '!X59</f>
        <v>733581.65</v>
      </c>
      <c r="N58" s="64">
        <f>'ПФХД 2019 с разбивкой '!AB59</f>
        <v>57600</v>
      </c>
      <c r="O58" s="64"/>
      <c r="P58" s="64"/>
      <c r="Q58" s="64"/>
      <c r="R58" s="64">
        <v>70000</v>
      </c>
      <c r="S58" s="59">
        <f t="shared" si="1"/>
        <v>19389319.23</v>
      </c>
      <c r="T58" s="64">
        <f>'ПФХД 2019 с разбивкой '!AP59</f>
        <v>18130316.859999999</v>
      </c>
      <c r="U58" s="64">
        <f>'ПФХД 2019 с разбивкой '!AS59</f>
        <v>1259002.3700000001</v>
      </c>
      <c r="V58" s="64"/>
      <c r="W58" s="461"/>
      <c r="AA58" s="137">
        <f>'ПФХД 2019 с разбивкой '!E59</f>
        <v>865486725.5</v>
      </c>
      <c r="AB58" s="135">
        <f t="shared" si="2"/>
        <v>369366.47000002861</v>
      </c>
    </row>
    <row r="59" spans="1:28" ht="19.5" customHeight="1" x14ac:dyDescent="0.25">
      <c r="A59" s="1384" t="s">
        <v>184</v>
      </c>
      <c r="B59" s="132"/>
      <c r="C59" s="596">
        <v>243</v>
      </c>
      <c r="D59" s="64">
        <f t="shared" si="13"/>
        <v>0</v>
      </c>
      <c r="E59" s="64">
        <v>0</v>
      </c>
      <c r="F59" s="64"/>
      <c r="G59" s="64">
        <v>0</v>
      </c>
      <c r="H59" s="64">
        <v>0</v>
      </c>
      <c r="I59" s="64">
        <f t="shared" ref="I59:I66" si="14">SUM(K59:N59)</f>
        <v>0</v>
      </c>
      <c r="J59" s="64"/>
      <c r="K59" s="64">
        <v>0</v>
      </c>
      <c r="L59" s="64">
        <v>0</v>
      </c>
      <c r="M59" s="64">
        <v>0</v>
      </c>
      <c r="N59" s="64">
        <v>0</v>
      </c>
      <c r="O59" s="64"/>
      <c r="P59" s="64"/>
      <c r="Q59" s="64">
        <v>0</v>
      </c>
      <c r="R59" s="64">
        <v>0</v>
      </c>
      <c r="S59" s="64">
        <f t="shared" si="1"/>
        <v>0</v>
      </c>
      <c r="T59" s="64">
        <v>0</v>
      </c>
      <c r="U59" s="64">
        <v>0</v>
      </c>
      <c r="V59" s="64">
        <v>0</v>
      </c>
      <c r="W59" s="461"/>
      <c r="AA59" s="137">
        <f>'ПФХД 2019 с разбивкой '!E60</f>
        <v>0</v>
      </c>
      <c r="AB59" s="111">
        <f t="shared" si="2"/>
        <v>0</v>
      </c>
    </row>
    <row r="60" spans="1:28" ht="16.5" customHeight="1" x14ac:dyDescent="0.25">
      <c r="A60" s="1384"/>
      <c r="B60" s="132"/>
      <c r="C60" s="596">
        <v>244</v>
      </c>
      <c r="D60" s="64">
        <f>E60+I60+R60+S60</f>
        <v>1034</v>
      </c>
      <c r="E60" s="64">
        <f>F60+G60+H60</f>
        <v>1034</v>
      </c>
      <c r="F60" s="64">
        <f>SUM(F61:F65)</f>
        <v>0</v>
      </c>
      <c r="G60" s="64">
        <f>'ПФХД 2019 с разбивкой '!L61</f>
        <v>1034</v>
      </c>
      <c r="H60" s="64"/>
      <c r="I60" s="64"/>
      <c r="J60" s="64"/>
      <c r="K60" s="64"/>
      <c r="L60" s="64">
        <f>SUM(L61:L65)</f>
        <v>0</v>
      </c>
      <c r="M60" s="64"/>
      <c r="N60" s="64"/>
      <c r="O60" s="64"/>
      <c r="P60" s="64"/>
      <c r="Q60" s="64">
        <f t="shared" ref="Q60:V60" si="15">SUM(Q61:Q65)</f>
        <v>0</v>
      </c>
      <c r="R60" s="64">
        <f t="shared" si="15"/>
        <v>0</v>
      </c>
      <c r="S60" s="64"/>
      <c r="T60" s="64"/>
      <c r="U60" s="64"/>
      <c r="V60" s="64">
        <f t="shared" si="15"/>
        <v>0</v>
      </c>
      <c r="W60" s="461"/>
      <c r="X60" s="121" t="s">
        <v>237</v>
      </c>
      <c r="Y60" s="121" t="s">
        <v>197</v>
      </c>
      <c r="Z60" s="121" t="s">
        <v>197</v>
      </c>
      <c r="AA60" s="137">
        <f>'ПФХД 2019 с разбивкой '!E61</f>
        <v>1034</v>
      </c>
      <c r="AB60" s="111">
        <f t="shared" si="2"/>
        <v>0</v>
      </c>
    </row>
    <row r="61" spans="1:28" ht="15.75" x14ac:dyDescent="0.25">
      <c r="A61" s="1384" t="s">
        <v>185</v>
      </c>
      <c r="B61" s="1385"/>
      <c r="C61" s="596">
        <v>243</v>
      </c>
      <c r="D61" s="64"/>
      <c r="E61" s="64"/>
      <c r="F61" s="64"/>
      <c r="G61" s="64"/>
      <c r="H61" s="64"/>
      <c r="I61" s="64">
        <f t="shared" si="14"/>
        <v>0</v>
      </c>
      <c r="J61" s="64"/>
      <c r="K61" s="64"/>
      <c r="L61" s="64"/>
      <c r="M61" s="64"/>
      <c r="N61" s="64"/>
      <c r="O61" s="64"/>
      <c r="P61" s="64"/>
      <c r="Q61" s="64"/>
      <c r="R61" s="64"/>
      <c r="S61" s="59">
        <f t="shared" si="1"/>
        <v>0</v>
      </c>
      <c r="T61" s="64"/>
      <c r="U61" s="64"/>
      <c r="V61" s="64"/>
      <c r="W61" s="461"/>
      <c r="X61" s="118"/>
      <c r="Y61" s="146">
        <v>2621361</v>
      </c>
      <c r="Z61" s="118"/>
      <c r="AA61" s="137">
        <f>'ПФХД 2019 с разбивкой '!E62</f>
        <v>860103.18</v>
      </c>
      <c r="AB61" s="135">
        <f t="shared" si="2"/>
        <v>860103.18</v>
      </c>
    </row>
    <row r="62" spans="1:28" ht="15.75" x14ac:dyDescent="0.25">
      <c r="A62" s="1384"/>
      <c r="B62" s="1385"/>
      <c r="C62" s="596">
        <v>244</v>
      </c>
      <c r="D62" s="64">
        <f>E62+I62+R62+S62</f>
        <v>277118016.745</v>
      </c>
      <c r="E62" s="64">
        <f>F62+G62+H62</f>
        <v>2019992.7000000002</v>
      </c>
      <c r="F62" s="64"/>
      <c r="G62" s="64">
        <f>'ПФХД 2019 с разбивкой '!L63</f>
        <v>1247751.54</v>
      </c>
      <c r="H62" s="64">
        <f>'ПФХД 2019 с разбивкой '!O63</f>
        <v>772241.16</v>
      </c>
      <c r="I62" s="64">
        <f>J62+K62+L62+M62+N62+O62+P62</f>
        <v>272556358.69999999</v>
      </c>
      <c r="J62" s="64">
        <f>'ПФХД 2019 с разбивкой '!T63</f>
        <v>87456589.099999994</v>
      </c>
      <c r="K62" s="64">
        <f>'ПФХД 2019 с разбивкой '!V63</f>
        <v>184993501.38999999</v>
      </c>
      <c r="L62" s="64"/>
      <c r="M62" s="64">
        <f>'ПФХД 2019 с разбивкой '!X63</f>
        <v>106268.21</v>
      </c>
      <c r="N62" s="64"/>
      <c r="O62" s="64"/>
      <c r="P62" s="64"/>
      <c r="Q62" s="64"/>
      <c r="R62" s="64"/>
      <c r="S62" s="59">
        <f t="shared" si="1"/>
        <v>2541665.3450000002</v>
      </c>
      <c r="T62" s="64">
        <f>'ПФХД 2019 с разбивкой '!AP63</f>
        <v>1999999.9950000001</v>
      </c>
      <c r="U62" s="64">
        <f>'ПФХД 2019 с разбивкой '!AS63</f>
        <v>541665.35</v>
      </c>
      <c r="V62" s="64"/>
      <c r="W62" s="461"/>
      <c r="X62" s="111"/>
      <c r="Y62" s="111">
        <v>487564.3</v>
      </c>
      <c r="AA62" s="137">
        <f>'ПФХД 2019 с разбивкой '!E63</f>
        <v>277328236.04499996</v>
      </c>
      <c r="AB62" s="135">
        <f t="shared" si="2"/>
        <v>210219.29999995232</v>
      </c>
    </row>
    <row r="63" spans="1:28" ht="31.5" x14ac:dyDescent="0.25">
      <c r="A63" s="132" t="s">
        <v>186</v>
      </c>
      <c r="B63" s="595"/>
      <c r="C63" s="596">
        <v>244</v>
      </c>
      <c r="D63" s="64">
        <f>E63+I63+R63+S63</f>
        <v>0</v>
      </c>
      <c r="E63" s="64"/>
      <c r="F63" s="64"/>
      <c r="G63" s="64">
        <f>E63-H63</f>
        <v>0</v>
      </c>
      <c r="H63" s="64"/>
      <c r="I63" s="64">
        <f t="shared" si="14"/>
        <v>0</v>
      </c>
      <c r="J63" s="64"/>
      <c r="K63" s="64"/>
      <c r="L63" s="64"/>
      <c r="M63" s="64"/>
      <c r="N63" s="64"/>
      <c r="O63" s="64"/>
      <c r="P63" s="64"/>
      <c r="Q63" s="64"/>
      <c r="R63" s="64"/>
      <c r="S63" s="59">
        <f t="shared" si="1"/>
        <v>0</v>
      </c>
      <c r="T63" s="64"/>
      <c r="U63" s="64"/>
      <c r="V63" s="64"/>
      <c r="W63" s="461"/>
      <c r="X63" s="121" t="s">
        <v>237</v>
      </c>
      <c r="Y63" s="121" t="s">
        <v>197</v>
      </c>
      <c r="AA63" s="137">
        <f>'ПФХД 2019 с разбивкой '!E64</f>
        <v>0</v>
      </c>
      <c r="AB63" s="135">
        <f t="shared" si="2"/>
        <v>0</v>
      </c>
    </row>
    <row r="64" spans="1:28" ht="15.75" x14ac:dyDescent="0.25">
      <c r="A64" s="1384" t="s">
        <v>187</v>
      </c>
      <c r="B64" s="1385"/>
      <c r="C64" s="596">
        <v>243</v>
      </c>
      <c r="D64" s="64"/>
      <c r="E64" s="64"/>
      <c r="F64" s="64"/>
      <c r="G64" s="64">
        <f>E64-H64</f>
        <v>0</v>
      </c>
      <c r="H64" s="64"/>
      <c r="I64" s="64">
        <f t="shared" si="14"/>
        <v>0</v>
      </c>
      <c r="J64" s="64"/>
      <c r="K64" s="64"/>
      <c r="L64" s="64"/>
      <c r="M64" s="64"/>
      <c r="N64" s="64"/>
      <c r="O64" s="64"/>
      <c r="P64" s="64"/>
      <c r="Q64" s="64"/>
      <c r="R64" s="64"/>
      <c r="S64" s="59">
        <f t="shared" si="1"/>
        <v>0</v>
      </c>
      <c r="T64" s="64"/>
      <c r="U64" s="64"/>
      <c r="V64" s="64"/>
      <c r="W64" s="461"/>
      <c r="X64" s="118"/>
      <c r="Y64" s="146">
        <v>-260231.34</v>
      </c>
      <c r="AA64" s="137">
        <f>'ПФХД 2019 с разбивкой '!E65</f>
        <v>0</v>
      </c>
      <c r="AB64" s="135">
        <f t="shared" si="2"/>
        <v>0</v>
      </c>
    </row>
    <row r="65" spans="1:28" ht="15.75" x14ac:dyDescent="0.25">
      <c r="A65" s="1384"/>
      <c r="B65" s="1385"/>
      <c r="C65" s="596">
        <v>244</v>
      </c>
      <c r="D65" s="64">
        <f>E65+I65+R65+S65</f>
        <v>212012218.88</v>
      </c>
      <c r="E65" s="64">
        <f>F65+G65+H65</f>
        <v>22183509.009999998</v>
      </c>
      <c r="F65" s="64"/>
      <c r="G65" s="64">
        <f>'ПФХД 2019 с разбивкой '!L66</f>
        <v>13818675.92</v>
      </c>
      <c r="H65" s="64">
        <f>'ПФХД 2019 с разбивкой '!O66</f>
        <v>8364833.0899999999</v>
      </c>
      <c r="I65" s="64">
        <f>J65+K65+L65+M65+N65+O65+P65</f>
        <v>98659555.079999998</v>
      </c>
      <c r="J65" s="64">
        <f>'ПФХД 2019 с разбивкой '!T66</f>
        <v>5533016.0899999999</v>
      </c>
      <c r="K65" s="64">
        <f>'ПФХД 2019 с разбивкой '!V66</f>
        <v>83895698.609999999</v>
      </c>
      <c r="L65" s="64"/>
      <c r="M65" s="64">
        <f>'ПФХД 2019 с разбивкой '!X66</f>
        <v>6369566.25</v>
      </c>
      <c r="N65" s="64">
        <f>'ПФХД 2019 с разбивкой '!AB66</f>
        <v>2861274.13</v>
      </c>
      <c r="O65" s="64"/>
      <c r="P65" s="64"/>
      <c r="Q65" s="64"/>
      <c r="R65" s="64"/>
      <c r="S65" s="59">
        <f t="shared" si="1"/>
        <v>91169154.790000007</v>
      </c>
      <c r="T65" s="64">
        <f>'ПФХД 2019 с разбивкой '!AP66</f>
        <v>76818434.870000005</v>
      </c>
      <c r="U65" s="64">
        <f>'ПФХД 2019 с разбивкой '!AS66</f>
        <v>14350719.92</v>
      </c>
      <c r="V65" s="64"/>
      <c r="W65" s="461"/>
      <c r="X65" s="111">
        <v>74638998.689999998</v>
      </c>
      <c r="Y65" s="111">
        <v>25190635.949999999</v>
      </c>
      <c r="AA65" s="137">
        <f>'ПФХД 2019 с разбивкой '!E66</f>
        <v>214289292.44</v>
      </c>
      <c r="AB65" s="135">
        <f t="shared" si="2"/>
        <v>2277073.5600000024</v>
      </c>
    </row>
    <row r="66" spans="1:28" s="115" customFormat="1" ht="21.75" customHeight="1" x14ac:dyDescent="0.25">
      <c r="A66" s="130" t="s">
        <v>188</v>
      </c>
      <c r="B66" s="598">
        <v>300</v>
      </c>
      <c r="C66" s="114" t="s">
        <v>149</v>
      </c>
      <c r="D66" s="59">
        <f>E66+I66+R66+S66</f>
        <v>0</v>
      </c>
      <c r="E66" s="59">
        <f>E68+E69</f>
        <v>0</v>
      </c>
      <c r="F66" s="59"/>
      <c r="G66" s="59">
        <f>G68+G69</f>
        <v>0</v>
      </c>
      <c r="H66" s="59">
        <f>H68+H69</f>
        <v>0</v>
      </c>
      <c r="I66" s="59">
        <f t="shared" si="14"/>
        <v>0</v>
      </c>
      <c r="J66" s="59"/>
      <c r="K66" s="59">
        <v>0</v>
      </c>
      <c r="L66" s="59">
        <v>0</v>
      </c>
      <c r="M66" s="59">
        <v>0</v>
      </c>
      <c r="N66" s="59">
        <v>0</v>
      </c>
      <c r="O66" s="59"/>
      <c r="P66" s="59"/>
      <c r="Q66" s="59">
        <f>Q68+Q69</f>
        <v>0</v>
      </c>
      <c r="R66" s="59">
        <f>SUM(R68:R69)</f>
        <v>0</v>
      </c>
      <c r="S66" s="59">
        <f t="shared" si="1"/>
        <v>0</v>
      </c>
      <c r="T66" s="59"/>
      <c r="U66" s="59"/>
      <c r="V66" s="59">
        <f>SUM(V68:V69)</f>
        <v>0</v>
      </c>
      <c r="W66" s="566"/>
      <c r="AA66" s="137">
        <f>'ПФХД 2019 с разбивкой '!E67</f>
        <v>0</v>
      </c>
      <c r="AB66" s="135">
        <f t="shared" si="2"/>
        <v>0</v>
      </c>
    </row>
    <row r="67" spans="1:28" ht="15.75" x14ac:dyDescent="0.25">
      <c r="A67" s="132" t="s">
        <v>92</v>
      </c>
      <c r="B67" s="133"/>
      <c r="C67" s="134"/>
      <c r="D67" s="64"/>
      <c r="E67" s="64"/>
      <c r="F67" s="64"/>
      <c r="G67" s="64"/>
      <c r="H67" s="64"/>
      <c r="I67" s="64"/>
      <c r="J67" s="64"/>
      <c r="K67" s="64"/>
      <c r="L67" s="64"/>
      <c r="M67" s="64"/>
      <c r="N67" s="64"/>
      <c r="O67" s="64"/>
      <c r="P67" s="64"/>
      <c r="Q67" s="64"/>
      <c r="R67" s="64"/>
      <c r="S67" s="59">
        <f t="shared" si="1"/>
        <v>0</v>
      </c>
      <c r="T67" s="64"/>
      <c r="U67" s="64"/>
      <c r="V67" s="64"/>
      <c r="W67" s="461"/>
      <c r="AA67" s="137">
        <f>'ПФХД 2019 с разбивкой '!E68</f>
        <v>0</v>
      </c>
      <c r="AB67" s="135">
        <f t="shared" si="2"/>
        <v>0</v>
      </c>
    </row>
    <row r="68" spans="1:28" ht="15.75" x14ac:dyDescent="0.25">
      <c r="A68" s="132" t="s">
        <v>189</v>
      </c>
      <c r="B68" s="595">
        <v>310</v>
      </c>
      <c r="C68" s="134"/>
      <c r="D68" s="64"/>
      <c r="E68" s="64"/>
      <c r="F68" s="64"/>
      <c r="G68" s="64"/>
      <c r="H68" s="64"/>
      <c r="I68" s="64"/>
      <c r="J68" s="64"/>
      <c r="K68" s="64"/>
      <c r="L68" s="64"/>
      <c r="M68" s="64"/>
      <c r="N68" s="64"/>
      <c r="O68" s="64"/>
      <c r="P68" s="64"/>
      <c r="Q68" s="64"/>
      <c r="R68" s="64"/>
      <c r="S68" s="59">
        <f t="shared" si="1"/>
        <v>0</v>
      </c>
      <c r="T68" s="64"/>
      <c r="U68" s="64"/>
      <c r="V68" s="64"/>
      <c r="W68" s="461"/>
      <c r="AA68" s="137">
        <f>'ПФХД 2019 с разбивкой '!E69</f>
        <v>0</v>
      </c>
      <c r="AB68" s="135">
        <f t="shared" si="2"/>
        <v>0</v>
      </c>
    </row>
    <row r="69" spans="1:28" ht="15.75" x14ac:dyDescent="0.25">
      <c r="A69" s="132" t="s">
        <v>190</v>
      </c>
      <c r="B69" s="595">
        <v>320</v>
      </c>
      <c r="C69" s="134"/>
      <c r="D69" s="64"/>
      <c r="E69" s="64"/>
      <c r="F69" s="64"/>
      <c r="G69" s="64"/>
      <c r="H69" s="64"/>
      <c r="I69" s="64"/>
      <c r="J69" s="64"/>
      <c r="K69" s="64"/>
      <c r="L69" s="64"/>
      <c r="M69" s="64"/>
      <c r="N69" s="64"/>
      <c r="O69" s="64"/>
      <c r="P69" s="64"/>
      <c r="Q69" s="64"/>
      <c r="R69" s="64"/>
      <c r="S69" s="59">
        <f t="shared" si="1"/>
        <v>0</v>
      </c>
      <c r="T69" s="64"/>
      <c r="U69" s="64"/>
      <c r="V69" s="64"/>
      <c r="W69" s="461"/>
      <c r="AA69" s="137">
        <f>'ПФХД 2019 с разбивкой '!E70</f>
        <v>0</v>
      </c>
      <c r="AB69" s="135">
        <f t="shared" si="2"/>
        <v>0</v>
      </c>
    </row>
    <row r="70" spans="1:28" s="115" customFormat="1" ht="15.75" x14ac:dyDescent="0.25">
      <c r="A70" s="130" t="s">
        <v>191</v>
      </c>
      <c r="B70" s="598">
        <v>400</v>
      </c>
      <c r="C70" s="138"/>
      <c r="D70" s="59">
        <f>D72+D73</f>
        <v>-49011428.340000004</v>
      </c>
      <c r="E70" s="59">
        <f>E72+E73</f>
        <v>0</v>
      </c>
      <c r="F70" s="59"/>
      <c r="G70" s="59">
        <f>G72+G73</f>
        <v>0</v>
      </c>
      <c r="H70" s="59">
        <f>H72+H73</f>
        <v>0</v>
      </c>
      <c r="I70" s="59">
        <f>I72+I73</f>
        <v>-49011428.340000004</v>
      </c>
      <c r="J70" s="59"/>
      <c r="K70" s="59">
        <v>0</v>
      </c>
      <c r="L70" s="59"/>
      <c r="M70" s="59">
        <v>0</v>
      </c>
      <c r="N70" s="59">
        <v>0</v>
      </c>
      <c r="O70" s="59"/>
      <c r="P70" s="59"/>
      <c r="Q70" s="59">
        <f>Q72+Q73</f>
        <v>0</v>
      </c>
      <c r="R70" s="59">
        <v>0</v>
      </c>
      <c r="S70" s="59">
        <f t="shared" si="1"/>
        <v>0</v>
      </c>
      <c r="T70" s="59"/>
      <c r="U70" s="59"/>
      <c r="V70" s="59">
        <f>V72+V73</f>
        <v>0</v>
      </c>
      <c r="W70" s="566"/>
      <c r="AA70" s="137">
        <f>'ПФХД 2019 с разбивкой '!E71</f>
        <v>-205614792.37</v>
      </c>
      <c r="AB70" s="135">
        <f t="shared" si="2"/>
        <v>-156603364.03</v>
      </c>
    </row>
    <row r="71" spans="1:28" ht="15.75" x14ac:dyDescent="0.25">
      <c r="A71" s="132" t="s">
        <v>92</v>
      </c>
      <c r="B71" s="133"/>
      <c r="C71" s="134"/>
      <c r="D71" s="64"/>
      <c r="E71" s="64"/>
      <c r="F71" s="64"/>
      <c r="G71" s="64"/>
      <c r="H71" s="64"/>
      <c r="I71" s="64"/>
      <c r="J71" s="64"/>
      <c r="K71" s="64"/>
      <c r="L71" s="64"/>
      <c r="M71" s="64"/>
      <c r="N71" s="64"/>
      <c r="O71" s="64"/>
      <c r="P71" s="64"/>
      <c r="Q71" s="64"/>
      <c r="R71" s="64"/>
      <c r="S71" s="59">
        <f t="shared" si="1"/>
        <v>0</v>
      </c>
      <c r="T71" s="64"/>
      <c r="U71" s="64"/>
      <c r="V71" s="64"/>
      <c r="W71" s="461"/>
      <c r="AA71" s="137">
        <f>'ПФХД 2019 с разбивкой '!E72</f>
        <v>0</v>
      </c>
      <c r="AB71" s="135">
        <f t="shared" si="2"/>
        <v>0</v>
      </c>
    </row>
    <row r="72" spans="1:28" ht="15.75" x14ac:dyDescent="0.25">
      <c r="A72" s="132" t="s">
        <v>192</v>
      </c>
      <c r="B72" s="595">
        <v>410</v>
      </c>
      <c r="C72" s="134"/>
      <c r="D72" s="64">
        <f>E72+I72+Q72+R72+S72+V72</f>
        <v>-49011428.340000004</v>
      </c>
      <c r="E72" s="64"/>
      <c r="F72" s="64"/>
      <c r="G72" s="64"/>
      <c r="H72" s="64"/>
      <c r="I72" s="64">
        <v>-49011428.340000004</v>
      </c>
      <c r="J72" s="64"/>
      <c r="K72" s="64"/>
      <c r="L72" s="64"/>
      <c r="M72" s="64"/>
      <c r="N72" s="64"/>
      <c r="O72" s="64"/>
      <c r="P72" s="64"/>
      <c r="Q72" s="64"/>
      <c r="R72" s="64"/>
      <c r="S72" s="59">
        <f t="shared" si="1"/>
        <v>0</v>
      </c>
      <c r="T72" s="64"/>
      <c r="U72" s="64"/>
      <c r="V72" s="64"/>
      <c r="W72" s="461"/>
      <c r="AA72" s="137">
        <f>'ПФХД 2019 с разбивкой '!E73</f>
        <v>-205614792.37</v>
      </c>
      <c r="AB72" s="135">
        <f t="shared" si="2"/>
        <v>-156603364.03</v>
      </c>
    </row>
    <row r="73" spans="1:28" ht="15.75" x14ac:dyDescent="0.25">
      <c r="A73" s="132" t="s">
        <v>193</v>
      </c>
      <c r="B73" s="595">
        <v>420</v>
      </c>
      <c r="C73" s="134"/>
      <c r="D73" s="64">
        <f>E73+I73+Q73+R73+S73+V73</f>
        <v>0</v>
      </c>
      <c r="E73" s="64"/>
      <c r="F73" s="64"/>
      <c r="G73" s="64"/>
      <c r="H73" s="64"/>
      <c r="I73" s="64"/>
      <c r="J73" s="64"/>
      <c r="K73" s="64"/>
      <c r="L73" s="64"/>
      <c r="M73" s="64"/>
      <c r="N73" s="64"/>
      <c r="O73" s="64"/>
      <c r="P73" s="64"/>
      <c r="Q73" s="64"/>
      <c r="R73" s="64"/>
      <c r="S73" s="59">
        <f t="shared" si="1"/>
        <v>0</v>
      </c>
      <c r="T73" s="64"/>
      <c r="U73" s="64"/>
      <c r="V73" s="64"/>
      <c r="W73" s="461"/>
      <c r="AA73" s="137">
        <f>'ПФХД 2019 с разбивкой '!E74</f>
        <v>0</v>
      </c>
      <c r="AB73" s="135">
        <f t="shared" si="2"/>
        <v>0</v>
      </c>
    </row>
    <row r="74" spans="1:28" s="115" customFormat="1" ht="17.25" customHeight="1" x14ac:dyDescent="0.25">
      <c r="A74" s="130" t="s">
        <v>194</v>
      </c>
      <c r="B74" s="598">
        <v>500</v>
      </c>
      <c r="C74" s="114" t="s">
        <v>149</v>
      </c>
      <c r="D74" s="577">
        <f>E74+I74+R74+S74</f>
        <v>724075107.45999992</v>
      </c>
      <c r="E74" s="577">
        <f>F74+G74+H74</f>
        <v>493797.89</v>
      </c>
      <c r="F74" s="577"/>
      <c r="G74" s="577">
        <v>493797.89</v>
      </c>
      <c r="H74" s="577">
        <v>0</v>
      </c>
      <c r="I74" s="577">
        <f>SUM(J74:N74)+4684.74</f>
        <v>716413891.02999997</v>
      </c>
      <c r="J74" s="577">
        <f>716398979.29+10227</f>
        <v>716409206.28999996</v>
      </c>
      <c r="K74" s="577">
        <v>0</v>
      </c>
      <c r="L74" s="577"/>
      <c r="M74" s="577">
        <v>0</v>
      </c>
      <c r="N74" s="577">
        <v>0</v>
      </c>
      <c r="O74" s="577"/>
      <c r="P74" s="577"/>
      <c r="Q74" s="577">
        <v>0</v>
      </c>
      <c r="R74" s="577">
        <v>142804.66</v>
      </c>
      <c r="S74" s="577">
        <f t="shared" si="1"/>
        <v>7024613.8800000018</v>
      </c>
      <c r="T74" s="59">
        <v>6652959.8899999997</v>
      </c>
      <c r="U74" s="59">
        <f>'ПФХД 2019 с разбивкой '!AS75</f>
        <v>371653.99000000209</v>
      </c>
      <c r="V74" s="59">
        <v>0</v>
      </c>
      <c r="W74" s="566"/>
      <c r="AA74" s="137">
        <f>'ПФХД 2019 с разбивкой '!E75</f>
        <v>625060898.93499994</v>
      </c>
      <c r="AB74" s="135">
        <f t="shared" si="2"/>
        <v>-99014208.524999976</v>
      </c>
    </row>
    <row r="75" spans="1:28" s="115" customFormat="1" ht="15.75" x14ac:dyDescent="0.2">
      <c r="A75" s="130" t="s">
        <v>195</v>
      </c>
      <c r="B75" s="598">
        <v>600</v>
      </c>
      <c r="C75" s="114" t="s">
        <v>149</v>
      </c>
      <c r="D75" s="577">
        <f>D10-D22+D74+D70</f>
        <v>258734871.07996181</v>
      </c>
      <c r="E75" s="577">
        <f>E10+E74-E22</f>
        <v>-20578793.086574525</v>
      </c>
      <c r="F75" s="577"/>
      <c r="G75" s="577">
        <f t="shared" ref="G75:V75" si="16">G10+G74-G22</f>
        <v>-4054652.5700000077</v>
      </c>
      <c r="H75" s="577"/>
      <c r="I75" s="577">
        <f>I10-I22+I74+I70</f>
        <v>282468889.72000015</v>
      </c>
      <c r="J75" s="577">
        <f t="shared" si="16"/>
        <v>329075633.31999999</v>
      </c>
      <c r="K75" s="577">
        <f t="shared" si="16"/>
        <v>-817150.38999986649</v>
      </c>
      <c r="L75" s="577">
        <f t="shared" si="16"/>
        <v>0</v>
      </c>
      <c r="M75" s="577">
        <f t="shared" si="16"/>
        <v>0</v>
      </c>
      <c r="N75" s="577">
        <f t="shared" si="16"/>
        <v>0</v>
      </c>
      <c r="O75" s="577"/>
      <c r="P75" s="577"/>
      <c r="Q75" s="577">
        <f t="shared" si="16"/>
        <v>0</v>
      </c>
      <c r="R75" s="577">
        <f t="shared" si="16"/>
        <v>1.536098076030612E-3</v>
      </c>
      <c r="S75" s="577">
        <f t="shared" si="16"/>
        <v>-3155225.5550000668</v>
      </c>
      <c r="T75" s="59">
        <f t="shared" si="16"/>
        <v>-3155225.5550000668</v>
      </c>
      <c r="U75" s="59">
        <f t="shared" si="16"/>
        <v>0</v>
      </c>
      <c r="V75" s="59">
        <f t="shared" si="16"/>
        <v>0</v>
      </c>
      <c r="W75" s="566"/>
    </row>
    <row r="76" spans="1:28" ht="20.25" customHeight="1" x14ac:dyDescent="0.25">
      <c r="D76" s="578"/>
      <c r="E76" s="578"/>
      <c r="F76" s="578"/>
      <c r="G76" s="578"/>
      <c r="H76" s="578"/>
      <c r="I76" s="578"/>
      <c r="J76" s="578"/>
      <c r="K76" s="578"/>
      <c r="L76" s="578"/>
      <c r="M76" s="578"/>
      <c r="N76" s="578"/>
      <c r="O76" s="578"/>
      <c r="P76" s="578"/>
      <c r="Q76" s="578"/>
      <c r="R76" s="579"/>
      <c r="S76" s="579"/>
    </row>
    <row r="77" spans="1:28" hidden="1" x14ac:dyDescent="0.25">
      <c r="E77" s="111"/>
      <c r="F77" s="117"/>
      <c r="G77" s="111"/>
      <c r="H77" s="117"/>
      <c r="I77" s="117">
        <v>716398979.28999996</v>
      </c>
      <c r="J77" s="117"/>
      <c r="K77" s="117"/>
      <c r="L77" s="117"/>
      <c r="M77" s="117"/>
      <c r="N77" s="117"/>
      <c r="O77" s="117"/>
      <c r="P77" s="117"/>
    </row>
    <row r="78" spans="1:28" hidden="1" x14ac:dyDescent="0.25">
      <c r="E78" s="111"/>
      <c r="F78" s="117">
        <v>211</v>
      </c>
      <c r="G78" s="111">
        <v>170582.06</v>
      </c>
      <c r="H78" s="117"/>
      <c r="I78" s="111">
        <f>I77-I74</f>
        <v>-14911.740000009537</v>
      </c>
      <c r="J78" s="117"/>
      <c r="K78" s="117"/>
      <c r="L78" s="117"/>
      <c r="M78" s="117"/>
      <c r="N78" s="117"/>
      <c r="O78" s="117"/>
      <c r="P78" s="117"/>
      <c r="Q78" s="117">
        <v>211</v>
      </c>
      <c r="R78" s="137">
        <v>109680.99846390169</v>
      </c>
      <c r="T78" s="263"/>
      <c r="U78" s="137">
        <v>2818.05</v>
      </c>
      <c r="V78" s="151">
        <v>221</v>
      </c>
    </row>
    <row r="79" spans="1:28" hidden="1" x14ac:dyDescent="0.25">
      <c r="E79" s="111"/>
      <c r="F79" s="117">
        <v>213</v>
      </c>
      <c r="G79" s="111">
        <f>G78*30.2%+0.01</f>
        <v>51515.792119999998</v>
      </c>
      <c r="H79" s="117"/>
      <c r="I79" s="111">
        <f>I78+4684.74</f>
        <v>-10227.000000009537</v>
      </c>
      <c r="J79" s="117"/>
      <c r="K79" s="117"/>
      <c r="L79" s="117"/>
      <c r="M79" s="117"/>
      <c r="N79" s="117"/>
      <c r="O79" s="117"/>
      <c r="P79" s="117"/>
      <c r="Q79" s="117">
        <v>213</v>
      </c>
      <c r="R79" s="137">
        <v>33123.660000000003</v>
      </c>
      <c r="T79" s="263"/>
      <c r="U79" s="137">
        <v>63920</v>
      </c>
      <c r="V79" s="151">
        <v>310</v>
      </c>
    </row>
    <row r="80" spans="1:28" hidden="1" x14ac:dyDescent="0.25">
      <c r="E80" s="117"/>
      <c r="F80" s="117">
        <v>226</v>
      </c>
      <c r="G80" s="111">
        <v>176906.04</v>
      </c>
      <c r="H80" s="117"/>
      <c r="I80" s="111"/>
      <c r="J80" s="111"/>
      <c r="K80" s="117"/>
      <c r="L80" s="117"/>
      <c r="M80" s="117"/>
      <c r="N80" s="117"/>
      <c r="O80" s="117"/>
      <c r="P80" s="117"/>
      <c r="R80" s="137">
        <f>SUM(R78:R79)</f>
        <v>142804.65846390169</v>
      </c>
      <c r="T80" s="264">
        <f>T74</f>
        <v>6652959.8899999997</v>
      </c>
      <c r="U80" s="137">
        <v>1155747.52</v>
      </c>
      <c r="V80" s="151">
        <v>340</v>
      </c>
    </row>
    <row r="81" spans="1:21" hidden="1" x14ac:dyDescent="0.25">
      <c r="E81" s="117"/>
      <c r="F81" s="117">
        <v>340</v>
      </c>
      <c r="G81" s="111">
        <v>94794</v>
      </c>
      <c r="H81" s="117"/>
      <c r="I81" s="117"/>
      <c r="J81" s="117"/>
      <c r="K81" s="117"/>
      <c r="L81" s="117"/>
      <c r="M81" s="117"/>
      <c r="N81" s="117"/>
      <c r="O81" s="117"/>
      <c r="P81" s="117"/>
    </row>
    <row r="82" spans="1:21" hidden="1" x14ac:dyDescent="0.25">
      <c r="E82" s="117"/>
      <c r="F82" s="117"/>
      <c r="G82" s="111">
        <f>SUM(G78:G81)</f>
        <v>493797.89211999997</v>
      </c>
      <c r="H82" s="117"/>
      <c r="I82" s="117"/>
      <c r="J82" s="117"/>
      <c r="K82" s="117"/>
      <c r="L82" s="117"/>
      <c r="M82" s="117"/>
      <c r="N82" s="117"/>
      <c r="O82" s="117"/>
      <c r="P82" s="117"/>
    </row>
    <row r="83" spans="1:21" x14ac:dyDescent="0.25">
      <c r="A83" s="117" t="s">
        <v>957</v>
      </c>
      <c r="C83" s="1059"/>
      <c r="D83" s="1060"/>
      <c r="E83" s="1060"/>
      <c r="F83" s="1060"/>
      <c r="G83" s="1061"/>
      <c r="H83" s="1060"/>
      <c r="I83" s="1060"/>
      <c r="J83" s="1060"/>
      <c r="K83" s="1060"/>
      <c r="L83" s="1060"/>
      <c r="M83" s="1060"/>
      <c r="N83" s="1060"/>
      <c r="O83" s="1471" t="s">
        <v>958</v>
      </c>
      <c r="P83" s="1471"/>
      <c r="Q83" s="1471"/>
      <c r="R83" s="1471"/>
      <c r="S83" s="1471"/>
      <c r="T83" s="1471"/>
      <c r="U83" s="1471"/>
    </row>
    <row r="84" spans="1:21" x14ac:dyDescent="0.25">
      <c r="C84" s="117" t="s">
        <v>959</v>
      </c>
      <c r="E84" s="117"/>
      <c r="F84" s="117"/>
      <c r="G84" s="111"/>
      <c r="H84" s="117"/>
      <c r="I84" s="117"/>
      <c r="J84" s="117"/>
      <c r="K84" s="117"/>
      <c r="L84" s="117"/>
      <c r="M84" s="117"/>
      <c r="N84" s="117"/>
      <c r="O84" s="1472" t="s">
        <v>960</v>
      </c>
      <c r="P84" s="1472"/>
      <c r="Q84" s="1472"/>
      <c r="R84" s="1472"/>
      <c r="S84" s="1472"/>
      <c r="T84" s="1472"/>
      <c r="U84" s="1472"/>
    </row>
    <row r="85" spans="1:21" x14ac:dyDescent="0.25">
      <c r="C85" s="117"/>
      <c r="E85" s="117"/>
      <c r="F85" s="117"/>
      <c r="G85" s="117"/>
      <c r="H85" s="117"/>
      <c r="I85" s="117"/>
      <c r="J85" s="117"/>
      <c r="K85" s="117"/>
      <c r="L85" s="117"/>
      <c r="M85" s="117"/>
      <c r="N85" s="117"/>
      <c r="O85" s="117"/>
      <c r="P85" s="117"/>
    </row>
    <row r="86" spans="1:21" x14ac:dyDescent="0.25">
      <c r="A86" s="117" t="s">
        <v>480</v>
      </c>
      <c r="C86" s="1059"/>
      <c r="D86" s="1060"/>
      <c r="E86" s="1060"/>
      <c r="F86" s="1060"/>
      <c r="G86" s="1060"/>
      <c r="H86" s="1060"/>
      <c r="I86" s="1060"/>
      <c r="J86" s="1060"/>
      <c r="K86" s="1060"/>
      <c r="L86" s="1060"/>
      <c r="M86" s="1060"/>
      <c r="N86" s="1060"/>
      <c r="O86" s="1471" t="s">
        <v>974</v>
      </c>
      <c r="P86" s="1471"/>
      <c r="Q86" s="1471"/>
      <c r="R86" s="1471"/>
      <c r="S86" s="1471"/>
      <c r="T86" s="1471"/>
      <c r="U86" s="1471"/>
    </row>
    <row r="87" spans="1:21" x14ac:dyDescent="0.25">
      <c r="C87" s="117" t="s">
        <v>959</v>
      </c>
      <c r="E87" s="117"/>
      <c r="F87" s="117"/>
      <c r="G87" s="117"/>
      <c r="H87" s="117"/>
      <c r="I87" s="117"/>
      <c r="J87" s="117"/>
      <c r="K87" s="117"/>
      <c r="L87" s="117"/>
      <c r="M87" s="117"/>
      <c r="N87" s="117"/>
      <c r="O87" s="1472" t="s">
        <v>960</v>
      </c>
      <c r="P87" s="1472"/>
      <c r="Q87" s="1472"/>
      <c r="R87" s="1472"/>
      <c r="S87" s="1472"/>
      <c r="T87" s="1472"/>
      <c r="U87" s="1472"/>
    </row>
    <row r="88" spans="1:21" x14ac:dyDescent="0.25">
      <c r="C88" s="117"/>
      <c r="E88" s="117"/>
      <c r="F88" s="117"/>
      <c r="G88" s="117"/>
      <c r="H88" s="117"/>
      <c r="I88" s="117"/>
      <c r="J88" s="117"/>
      <c r="K88" s="117"/>
      <c r="L88" s="117"/>
      <c r="M88" s="117"/>
      <c r="N88" s="117"/>
      <c r="O88" s="117"/>
      <c r="P88" s="117"/>
    </row>
    <row r="89" spans="1:21" x14ac:dyDescent="0.25">
      <c r="A89" s="117" t="s">
        <v>967</v>
      </c>
      <c r="C89" s="1059"/>
      <c r="D89" s="1060"/>
      <c r="E89" s="1060"/>
      <c r="F89" s="1060"/>
      <c r="G89" s="1060"/>
      <c r="H89" s="1060"/>
      <c r="I89" s="1060"/>
      <c r="J89" s="1060"/>
      <c r="K89" s="1060"/>
      <c r="L89" s="1060"/>
      <c r="M89" s="1060"/>
      <c r="N89" s="1060"/>
      <c r="O89" s="1471" t="s">
        <v>445</v>
      </c>
      <c r="P89" s="1471"/>
      <c r="Q89" s="1471"/>
      <c r="R89" s="1471"/>
      <c r="S89" s="1471"/>
      <c r="T89" s="1471"/>
      <c r="U89" s="1471"/>
    </row>
    <row r="90" spans="1:21" x14ac:dyDescent="0.25">
      <c r="C90" s="117" t="s">
        <v>959</v>
      </c>
      <c r="E90" s="117"/>
      <c r="F90" s="117"/>
      <c r="G90" s="117"/>
      <c r="H90" s="117"/>
      <c r="I90" s="117"/>
      <c r="J90" s="117"/>
      <c r="K90" s="117"/>
      <c r="L90" s="117"/>
      <c r="M90" s="117"/>
      <c r="N90" s="117"/>
      <c r="O90" s="1472" t="s">
        <v>960</v>
      </c>
      <c r="P90" s="1472"/>
      <c r="Q90" s="1472"/>
      <c r="R90" s="1472"/>
      <c r="S90" s="1472"/>
      <c r="T90" s="1472"/>
      <c r="U90" s="1472"/>
    </row>
    <row r="91" spans="1:21" x14ac:dyDescent="0.25">
      <c r="C91" s="117"/>
      <c r="E91" s="117"/>
      <c r="F91" s="117"/>
      <c r="G91" s="117"/>
      <c r="H91" s="117"/>
      <c r="I91" s="117"/>
      <c r="J91" s="117"/>
      <c r="K91" s="117"/>
      <c r="L91" s="117"/>
      <c r="M91" s="117"/>
      <c r="N91" s="117"/>
      <c r="O91" s="117"/>
      <c r="P91" s="117"/>
    </row>
    <row r="92" spans="1:21" x14ac:dyDescent="0.25">
      <c r="A92" s="117" t="s">
        <v>961</v>
      </c>
      <c r="C92" s="1059"/>
      <c r="D92" s="1060"/>
      <c r="E92" s="1060"/>
      <c r="F92" s="1060"/>
      <c r="G92" s="1060"/>
      <c r="H92" s="1060"/>
      <c r="I92" s="1060"/>
      <c r="J92" s="1060"/>
      <c r="K92" s="1060"/>
      <c r="L92" s="1060"/>
      <c r="M92" s="1060"/>
      <c r="N92" s="1060"/>
      <c r="O92" s="1471" t="s">
        <v>445</v>
      </c>
      <c r="P92" s="1471"/>
      <c r="Q92" s="1471"/>
      <c r="R92" s="1471"/>
      <c r="S92" s="1471"/>
      <c r="T92" s="1471"/>
      <c r="U92" s="1471"/>
    </row>
    <row r="93" spans="1:21" x14ac:dyDescent="0.25">
      <c r="A93" s="117" t="s">
        <v>962</v>
      </c>
      <c r="C93" s="117" t="s">
        <v>959</v>
      </c>
      <c r="E93" s="117"/>
      <c r="F93" s="117"/>
      <c r="G93" s="117"/>
      <c r="H93" s="117"/>
      <c r="I93" s="117"/>
      <c r="J93" s="117"/>
      <c r="K93" s="117"/>
      <c r="L93" s="117"/>
      <c r="M93" s="117"/>
      <c r="N93" s="117"/>
      <c r="O93" s="1472" t="s">
        <v>960</v>
      </c>
      <c r="P93" s="1472"/>
      <c r="Q93" s="1472"/>
      <c r="R93" s="1472"/>
      <c r="S93" s="1472"/>
      <c r="T93" s="1472"/>
      <c r="U93" s="1472"/>
    </row>
    <row r="94" spans="1:21" x14ac:dyDescent="0.25">
      <c r="E94" s="117"/>
      <c r="F94" s="117"/>
      <c r="G94" s="117"/>
      <c r="H94" s="117"/>
      <c r="I94" s="117"/>
      <c r="J94" s="117"/>
      <c r="K94" s="117"/>
      <c r="L94" s="117"/>
      <c r="M94" s="117"/>
      <c r="N94" s="117"/>
      <c r="O94" s="117"/>
      <c r="P94" s="117"/>
    </row>
    <row r="95" spans="1:21" x14ac:dyDescent="0.25">
      <c r="E95" s="117"/>
      <c r="F95" s="117"/>
      <c r="G95" s="117"/>
      <c r="H95" s="117"/>
      <c r="I95" s="117"/>
      <c r="J95" s="117"/>
      <c r="K95" s="117"/>
      <c r="L95" s="117"/>
      <c r="M95" s="117"/>
      <c r="N95" s="117"/>
      <c r="O95" s="117"/>
      <c r="P95" s="117"/>
    </row>
    <row r="96" spans="1:21" x14ac:dyDescent="0.25">
      <c r="E96" s="117"/>
      <c r="F96" s="117"/>
      <c r="G96" s="117"/>
      <c r="H96" s="117"/>
      <c r="I96" s="117"/>
      <c r="J96" s="117"/>
      <c r="K96" s="117"/>
      <c r="L96" s="117"/>
      <c r="M96" s="117"/>
      <c r="N96" s="117"/>
      <c r="O96" s="117"/>
      <c r="P96" s="117"/>
    </row>
    <row r="97" spans="5:16" x14ac:dyDescent="0.25">
      <c r="E97" s="117"/>
      <c r="F97" s="117"/>
      <c r="G97" s="117"/>
      <c r="H97" s="117"/>
      <c r="I97" s="117"/>
      <c r="J97" s="117"/>
      <c r="K97" s="117"/>
      <c r="L97" s="117"/>
      <c r="M97" s="117"/>
      <c r="N97" s="117"/>
      <c r="O97" s="117"/>
      <c r="P97" s="117"/>
    </row>
    <row r="98" spans="5:16" x14ac:dyDescent="0.25">
      <c r="E98" s="117"/>
      <c r="F98" s="117"/>
      <c r="G98" s="117"/>
      <c r="H98" s="117"/>
      <c r="I98" s="117"/>
      <c r="J98" s="117"/>
      <c r="K98" s="117"/>
      <c r="L98" s="117"/>
      <c r="M98" s="117"/>
      <c r="N98" s="117"/>
      <c r="O98" s="117"/>
      <c r="P98" s="117"/>
    </row>
    <row r="99" spans="5:16" x14ac:dyDescent="0.25">
      <c r="E99" s="117"/>
      <c r="F99" s="117"/>
      <c r="G99" s="117"/>
      <c r="H99" s="117"/>
      <c r="I99" s="117"/>
      <c r="J99" s="117"/>
      <c r="K99" s="117"/>
      <c r="L99" s="117"/>
      <c r="M99" s="117"/>
      <c r="N99" s="117"/>
      <c r="O99" s="117"/>
      <c r="P99" s="117"/>
    </row>
    <row r="100" spans="5:16" x14ac:dyDescent="0.25">
      <c r="E100" s="117"/>
      <c r="F100" s="117"/>
      <c r="G100" s="117"/>
      <c r="H100" s="117"/>
      <c r="I100" s="117"/>
      <c r="J100" s="117"/>
      <c r="K100" s="117"/>
      <c r="L100" s="117"/>
      <c r="M100" s="117"/>
      <c r="N100" s="117"/>
      <c r="O100" s="117"/>
      <c r="P100" s="117"/>
    </row>
    <row r="101" spans="5:16" x14ac:dyDescent="0.25">
      <c r="E101" s="117"/>
      <c r="F101" s="117"/>
      <c r="G101" s="117"/>
      <c r="H101" s="117"/>
      <c r="I101" s="117"/>
      <c r="J101" s="117"/>
      <c r="K101" s="117"/>
      <c r="L101" s="117"/>
      <c r="M101" s="117"/>
      <c r="N101" s="117"/>
      <c r="O101" s="117"/>
      <c r="P101" s="117"/>
    </row>
    <row r="102" spans="5:16" x14ac:dyDescent="0.25">
      <c r="E102" s="117"/>
      <c r="F102" s="117"/>
      <c r="G102" s="117"/>
      <c r="H102" s="117"/>
      <c r="I102" s="117"/>
      <c r="J102" s="117"/>
      <c r="K102" s="117"/>
      <c r="L102" s="117"/>
      <c r="M102" s="117"/>
      <c r="N102" s="117"/>
      <c r="O102" s="117"/>
      <c r="P102" s="117"/>
    </row>
    <row r="103" spans="5:16" x14ac:dyDescent="0.25">
      <c r="E103" s="117"/>
      <c r="F103" s="117"/>
      <c r="G103" s="117"/>
      <c r="H103" s="117"/>
      <c r="I103" s="117"/>
      <c r="J103" s="117"/>
      <c r="K103" s="117"/>
      <c r="L103" s="117"/>
      <c r="M103" s="117"/>
      <c r="N103" s="117"/>
      <c r="O103" s="117"/>
      <c r="P103" s="117"/>
    </row>
    <row r="104" spans="5:16" x14ac:dyDescent="0.25">
      <c r="E104" s="117"/>
      <c r="F104" s="117"/>
      <c r="G104" s="117"/>
      <c r="H104" s="117"/>
      <c r="I104" s="117"/>
      <c r="J104" s="117"/>
      <c r="K104" s="117"/>
      <c r="L104" s="117"/>
      <c r="M104" s="117"/>
      <c r="N104" s="117"/>
      <c r="O104" s="117"/>
      <c r="P104" s="117"/>
    </row>
    <row r="105" spans="5:16" x14ac:dyDescent="0.25">
      <c r="E105" s="117"/>
      <c r="F105" s="117"/>
      <c r="G105" s="117"/>
      <c r="H105" s="117"/>
      <c r="I105" s="117"/>
      <c r="J105" s="117"/>
      <c r="K105" s="117"/>
      <c r="L105" s="117"/>
      <c r="M105" s="117"/>
      <c r="N105" s="117"/>
      <c r="O105" s="117"/>
      <c r="P105" s="117"/>
    </row>
    <row r="106" spans="5:16" x14ac:dyDescent="0.25">
      <c r="E106" s="117"/>
      <c r="F106" s="117"/>
      <c r="G106" s="117"/>
      <c r="H106" s="117"/>
      <c r="I106" s="117"/>
      <c r="J106" s="117"/>
      <c r="K106" s="117"/>
      <c r="L106" s="117"/>
      <c r="M106" s="117"/>
      <c r="N106" s="117"/>
      <c r="O106" s="117"/>
      <c r="P106" s="117"/>
    </row>
    <row r="107" spans="5:16" x14ac:dyDescent="0.25">
      <c r="E107" s="117"/>
      <c r="F107" s="117"/>
      <c r="G107" s="117"/>
      <c r="H107" s="117"/>
      <c r="I107" s="117"/>
      <c r="J107" s="117"/>
      <c r="K107" s="117"/>
      <c r="L107" s="117"/>
      <c r="M107" s="117"/>
      <c r="N107" s="117"/>
      <c r="O107" s="117"/>
      <c r="P107" s="117"/>
    </row>
    <row r="108" spans="5:16" x14ac:dyDescent="0.25">
      <c r="E108" s="117"/>
      <c r="F108" s="117"/>
      <c r="G108" s="117"/>
      <c r="H108" s="117"/>
      <c r="I108" s="117"/>
      <c r="J108" s="117"/>
      <c r="K108" s="117"/>
      <c r="L108" s="117"/>
      <c r="M108" s="117"/>
      <c r="N108" s="117"/>
      <c r="O108" s="117"/>
      <c r="P108" s="117"/>
    </row>
    <row r="109" spans="5:16" x14ac:dyDescent="0.25">
      <c r="E109" s="117"/>
      <c r="F109" s="117"/>
      <c r="G109" s="117"/>
      <c r="H109" s="117"/>
      <c r="I109" s="117"/>
      <c r="J109" s="117"/>
      <c r="K109" s="117"/>
      <c r="L109" s="117"/>
      <c r="M109" s="117"/>
      <c r="N109" s="117"/>
      <c r="O109" s="117"/>
      <c r="P109" s="117"/>
    </row>
    <row r="110" spans="5:16" x14ac:dyDescent="0.25">
      <c r="E110" s="117"/>
      <c r="F110" s="117"/>
      <c r="G110" s="117"/>
      <c r="H110" s="117"/>
      <c r="I110" s="117"/>
      <c r="J110" s="117"/>
      <c r="K110" s="117"/>
      <c r="L110" s="117"/>
      <c r="M110" s="117"/>
      <c r="N110" s="117"/>
      <c r="O110" s="117"/>
      <c r="P110" s="117"/>
    </row>
    <row r="111" spans="5:16" x14ac:dyDescent="0.25">
      <c r="E111" s="117"/>
      <c r="F111" s="117"/>
      <c r="G111" s="117"/>
      <c r="H111" s="117"/>
      <c r="I111" s="117"/>
      <c r="J111" s="117"/>
      <c r="K111" s="117"/>
      <c r="L111" s="117"/>
      <c r="M111" s="117"/>
      <c r="N111" s="117"/>
      <c r="O111" s="117"/>
      <c r="P111" s="117"/>
    </row>
  </sheetData>
  <mergeCells count="40">
    <mergeCell ref="O92:U92"/>
    <mergeCell ref="O93:U93"/>
    <mergeCell ref="O89:U89"/>
    <mergeCell ref="O90:U90"/>
    <mergeCell ref="O86:U86"/>
    <mergeCell ref="O87:U87"/>
    <mergeCell ref="O83:U83"/>
    <mergeCell ref="O84:U84"/>
    <mergeCell ref="A59:A60"/>
    <mergeCell ref="A61:A62"/>
    <mergeCell ref="B61:B62"/>
    <mergeCell ref="A64:A65"/>
    <mergeCell ref="B64:B65"/>
    <mergeCell ref="U7:U8"/>
    <mergeCell ref="B35:B39"/>
    <mergeCell ref="B41:B43"/>
    <mergeCell ref="B44:B45"/>
    <mergeCell ref="A51:A54"/>
    <mergeCell ref="C51:C53"/>
    <mergeCell ref="D6:D8"/>
    <mergeCell ref="E6:V6"/>
    <mergeCell ref="H7:H8"/>
    <mergeCell ref="N7:N8"/>
    <mergeCell ref="J7:J8"/>
    <mergeCell ref="A55:A58"/>
    <mergeCell ref="C55:C57"/>
    <mergeCell ref="Q7:Q8"/>
    <mergeCell ref="R7:R8"/>
    <mergeCell ref="B25:B27"/>
    <mergeCell ref="B28:B31"/>
    <mergeCell ref="A30:A31"/>
    <mergeCell ref="K7:K8"/>
    <mergeCell ref="L7:L8"/>
    <mergeCell ref="M7:M8"/>
    <mergeCell ref="O7:O8"/>
    <mergeCell ref="P7:P8"/>
    <mergeCell ref="A5:A8"/>
    <mergeCell ref="B5:B8"/>
    <mergeCell ref="C5:C8"/>
    <mergeCell ref="D5:V5"/>
  </mergeCells>
  <printOptions horizontalCentered="1"/>
  <pageMargins left="0.43307086614173229" right="0.43307086614173229" top="0.35433070866141736" bottom="0.15748031496062992" header="0.31496062992125984" footer="0.31496062992125984"/>
  <pageSetup paperSize="9" scale="63" fitToHeight="2" orientation="portrait" r:id="rId1"/>
  <rowBreaks count="1" manualBreakCount="1">
    <brk id="34" max="21" man="1"/>
  </rowBreaks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50"/>
    <pageSetUpPr fitToPage="1"/>
  </sheetPr>
  <dimension ref="A1:BW122"/>
  <sheetViews>
    <sheetView showZeros="0" zoomScale="70" zoomScaleNormal="70" zoomScaleSheetLayoutView="100" workbookViewId="0">
      <pane xSplit="3" ySplit="10" topLeftCell="V62" activePane="bottomRight" state="frozen"/>
      <selection pane="topRight" activeCell="D1" sqref="D1"/>
      <selection pane="bottomLeft" activeCell="A10" sqref="A10"/>
      <selection pane="bottomRight" activeCell="AK1" sqref="D1:AK1048576"/>
    </sheetView>
  </sheetViews>
  <sheetFormatPr defaultColWidth="9.140625" defaultRowHeight="18.75" x14ac:dyDescent="0.3"/>
  <cols>
    <col min="1" max="1" width="45" style="117" customWidth="1"/>
    <col min="2" max="2" width="9" style="117" customWidth="1"/>
    <col min="3" max="3" width="17.85546875" style="124" customWidth="1"/>
    <col min="4" max="6" width="18.42578125" style="117" customWidth="1"/>
    <col min="7" max="10" width="18.85546875" style="155" customWidth="1"/>
    <col min="11" max="16" width="18.28515625" style="155" customWidth="1"/>
    <col min="17" max="17" width="20.28515625" style="152" customWidth="1"/>
    <col min="18" max="19" width="24.140625" style="152" customWidth="1"/>
    <col min="20" max="25" width="20.28515625" style="152" customWidth="1"/>
    <col min="26" max="26" width="20.28515625" style="152" hidden="1" customWidth="1"/>
    <col min="27" max="35" width="20.28515625" style="152" customWidth="1"/>
    <col min="36" max="36" width="16.7109375" style="117" customWidth="1"/>
    <col min="37" max="37" width="16.7109375" style="125" customWidth="1"/>
    <col min="38" max="38" width="18.7109375" style="125" hidden="1" customWidth="1"/>
    <col min="39" max="39" width="23.5703125" style="125" customWidth="1"/>
    <col min="40" max="40" width="17.42578125" style="125" hidden="1" customWidth="1"/>
    <col min="41" max="41" width="17.5703125" style="117" hidden="1" customWidth="1"/>
    <col min="42" max="42" width="17.5703125" style="117" customWidth="1"/>
    <col min="43" max="44" width="17.5703125" style="117" hidden="1" customWidth="1"/>
    <col min="45" max="45" width="17.5703125" style="117" customWidth="1"/>
    <col min="46" max="46" width="17.5703125" style="117" hidden="1" customWidth="1"/>
    <col min="47" max="48" width="18" style="117" hidden="1" customWidth="1"/>
    <col min="49" max="49" width="18" style="117" customWidth="1"/>
    <col min="50" max="50" width="18" style="117" hidden="1" customWidth="1"/>
    <col min="51" max="51" width="9.5703125" style="117" hidden="1" customWidth="1"/>
    <col min="52" max="52" width="22.42578125" style="117" hidden="1" customWidth="1"/>
    <col min="53" max="53" width="17.140625" style="117" hidden="1" customWidth="1"/>
    <col min="54" max="54" width="15.140625" style="117" hidden="1" customWidth="1"/>
    <col min="55" max="55" width="18.140625" style="117" hidden="1" customWidth="1"/>
    <col min="56" max="56" width="18.85546875" style="117" hidden="1" customWidth="1"/>
    <col min="57" max="57" width="19.85546875" style="117" hidden="1" customWidth="1"/>
    <col min="58" max="58" width="15.140625" style="117" hidden="1" customWidth="1"/>
    <col min="59" max="59" width="22.85546875" style="117" hidden="1" customWidth="1"/>
    <col min="60" max="60" width="20.28515625" style="117" hidden="1" customWidth="1"/>
    <col min="61" max="62" width="21" style="117" hidden="1" customWidth="1"/>
    <col min="63" max="64" width="15.140625" style="117" hidden="1" customWidth="1"/>
    <col min="65" max="67" width="22" style="531" hidden="1" customWidth="1"/>
    <col min="68" max="68" width="21.140625" style="531" hidden="1" customWidth="1"/>
    <col min="69" max="69" width="21.140625" style="602" hidden="1" customWidth="1"/>
    <col min="70" max="70" width="20" style="117" hidden="1" customWidth="1"/>
    <col min="71" max="71" width="18" style="117" hidden="1" customWidth="1"/>
    <col min="72" max="72" width="21.7109375" style="117" hidden="1" customWidth="1"/>
    <col min="73" max="73" width="14.42578125" style="117" hidden="1" customWidth="1"/>
    <col min="74" max="74" width="13.5703125" style="117" hidden="1" customWidth="1"/>
    <col min="75" max="75" width="15" style="117" hidden="1" customWidth="1"/>
    <col min="76" max="77" width="0" style="117" hidden="1" customWidth="1"/>
    <col min="78" max="16384" width="9.140625" style="117"/>
  </cols>
  <sheetData>
    <row r="1" spans="1:75" x14ac:dyDescent="0.3">
      <c r="A1" s="123" t="s">
        <v>131</v>
      </c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1"/>
      <c r="R1" s="111"/>
      <c r="S1" s="111"/>
      <c r="T1" s="111"/>
      <c r="U1" s="111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</row>
    <row r="2" spans="1:75" x14ac:dyDescent="0.3">
      <c r="A2" s="126" t="s">
        <v>132</v>
      </c>
      <c r="G2" s="117"/>
      <c r="H2" s="117"/>
      <c r="I2" s="117"/>
      <c r="J2" s="117"/>
      <c r="K2" s="117"/>
      <c r="L2" s="117"/>
      <c r="M2" s="117"/>
      <c r="N2" s="117"/>
      <c r="O2" s="117"/>
      <c r="P2" s="117"/>
      <c r="Q2" s="111"/>
      <c r="R2" s="111"/>
      <c r="S2" s="111"/>
      <c r="T2" s="111"/>
      <c r="U2" s="111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Z2" s="127" t="s">
        <v>240</v>
      </c>
      <c r="BA2" s="127" t="s">
        <v>241</v>
      </c>
    </row>
    <row r="3" spans="1:75" ht="19.5" thickBot="1" x14ac:dyDescent="0.35">
      <c r="A3" s="126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1"/>
      <c r="R3" s="111"/>
      <c r="S3" s="111"/>
      <c r="T3" s="111"/>
      <c r="U3" s="111"/>
      <c r="V3" s="117"/>
      <c r="W3" s="117"/>
      <c r="X3" s="117"/>
      <c r="Y3" s="117"/>
      <c r="Z3" s="117"/>
      <c r="AA3" s="117"/>
      <c r="AB3" s="117"/>
      <c r="AC3" s="117"/>
      <c r="AD3" s="117"/>
      <c r="AE3" s="117"/>
      <c r="AF3" s="117"/>
      <c r="AG3" s="117"/>
      <c r="AH3" s="117"/>
      <c r="AI3" s="117"/>
      <c r="AZ3" s="1055"/>
      <c r="BA3" s="1055"/>
    </row>
    <row r="4" spans="1:75" ht="19.5" hidden="1" thickBot="1" x14ac:dyDescent="0.35">
      <c r="A4" s="126"/>
      <c r="E4" s="111">
        <f>E23-E11+E76</f>
        <v>419446106.56499994</v>
      </c>
      <c r="F4" s="111"/>
      <c r="G4" s="117"/>
      <c r="H4" s="111">
        <f>'расчет норматив'!J32</f>
        <v>218669599.31117821</v>
      </c>
      <c r="I4" s="111">
        <f>H11-H23</f>
        <v>-21072590.980000019</v>
      </c>
      <c r="J4" s="117"/>
      <c r="K4" s="117"/>
      <c r="L4" s="111">
        <f>'расчет норматив'!Z6+'ПФХД 2019 с разбивкой  (4)'!L75</f>
        <v>73111481.352986082</v>
      </c>
      <c r="M4" s="117"/>
      <c r="N4" s="117"/>
      <c r="O4" s="117" t="b">
        <f>O11='расчет норматив'!AA6</f>
        <v>0</v>
      </c>
      <c r="P4" s="117"/>
      <c r="Q4" s="111">
        <f>Q11-Q23</f>
        <v>-388193676.15000033</v>
      </c>
      <c r="R4" s="111">
        <f>Q4+Q75</f>
        <v>205614792.36999965</v>
      </c>
      <c r="S4" s="111"/>
      <c r="T4" s="111"/>
      <c r="U4" s="111"/>
      <c r="V4" s="128"/>
      <c r="W4" s="128"/>
      <c r="X4" s="117"/>
      <c r="Y4" s="128"/>
      <c r="Z4" s="128"/>
      <c r="AA4" s="117"/>
      <c r="AB4" s="117"/>
      <c r="AC4" s="117"/>
      <c r="AD4" s="117"/>
      <c r="AE4" s="117"/>
      <c r="AF4" s="117"/>
      <c r="AG4" s="117"/>
      <c r="AH4" s="117"/>
      <c r="AI4" s="117"/>
      <c r="AO4" s="111"/>
      <c r="AP4" s="111"/>
      <c r="AQ4" s="111"/>
    </row>
    <row r="5" spans="1:75" ht="19.5" hidden="1" thickBot="1" x14ac:dyDescent="0.35">
      <c r="A5" s="129"/>
      <c r="G5" s="117"/>
      <c r="H5" s="117"/>
      <c r="I5" s="117"/>
      <c r="J5" s="117"/>
      <c r="K5" s="117"/>
      <c r="L5" s="117"/>
      <c r="M5" s="111">
        <f>K11+N11</f>
        <v>113643500</v>
      </c>
      <c r="N5" s="117">
        <f>M5/2906.41</f>
        <v>39100.987128450564</v>
      </c>
      <c r="O5" s="111">
        <f>L11+O11</f>
        <v>113643500</v>
      </c>
      <c r="P5" s="117"/>
      <c r="Q5" s="117"/>
      <c r="R5" s="117"/>
      <c r="S5" s="117"/>
      <c r="T5" s="117"/>
      <c r="U5" s="117"/>
      <c r="V5" s="117"/>
      <c r="W5" s="117"/>
      <c r="X5" s="117"/>
      <c r="Y5" s="117"/>
      <c r="Z5" s="117"/>
      <c r="AA5" s="117"/>
      <c r="AB5" s="117"/>
      <c r="AC5" s="117"/>
      <c r="AD5" s="117"/>
      <c r="AE5" s="117"/>
      <c r="AF5" s="117"/>
      <c r="AG5" s="117"/>
      <c r="AH5" s="117"/>
      <c r="AI5" s="117"/>
      <c r="AO5" s="111"/>
      <c r="AP5" s="111"/>
      <c r="AQ5" s="111"/>
    </row>
    <row r="6" spans="1:75" ht="19.5" customHeight="1" thickBot="1" x14ac:dyDescent="0.35">
      <c r="A6" s="1453" t="s">
        <v>88</v>
      </c>
      <c r="B6" s="1439" t="s">
        <v>133</v>
      </c>
      <c r="C6" s="1440" t="s">
        <v>134</v>
      </c>
      <c r="D6" s="1460" t="s">
        <v>135</v>
      </c>
      <c r="E6" s="1461"/>
      <c r="F6" s="1461"/>
      <c r="G6" s="1461"/>
      <c r="H6" s="1461"/>
      <c r="I6" s="1461"/>
      <c r="J6" s="1461"/>
      <c r="K6" s="1461"/>
      <c r="L6" s="1461"/>
      <c r="M6" s="1461"/>
      <c r="N6" s="1461"/>
      <c r="O6" s="1461"/>
      <c r="P6" s="1461"/>
      <c r="Q6" s="1461"/>
      <c r="R6" s="1461"/>
      <c r="S6" s="1461"/>
      <c r="T6" s="1461"/>
      <c r="U6" s="1461"/>
      <c r="V6" s="1461"/>
      <c r="W6" s="1461"/>
      <c r="X6" s="1461"/>
      <c r="Y6" s="1461"/>
      <c r="Z6" s="1461"/>
      <c r="AA6" s="1461"/>
      <c r="AB6" s="1461"/>
      <c r="AC6" s="1461"/>
      <c r="AD6" s="1461"/>
      <c r="AE6" s="1461"/>
      <c r="AF6" s="1461"/>
      <c r="AG6" s="1461"/>
      <c r="AH6" s="1461"/>
      <c r="AI6" s="1461"/>
      <c r="AJ6" s="1461"/>
      <c r="AK6" s="1461"/>
      <c r="AL6" s="1461"/>
      <c r="AM6" s="1461"/>
      <c r="AN6" s="1461"/>
      <c r="AO6" s="1461"/>
      <c r="AP6" s="1461"/>
      <c r="AQ6" s="1461"/>
      <c r="AR6" s="1461"/>
      <c r="AS6" s="1461"/>
      <c r="AT6" s="1461"/>
      <c r="AU6" s="1461"/>
      <c r="AV6" s="1461"/>
      <c r="AW6" s="1461"/>
      <c r="AX6" s="1462"/>
    </row>
    <row r="7" spans="1:75" ht="15.75" customHeight="1" thickBot="1" x14ac:dyDescent="0.35">
      <c r="A7" s="1454"/>
      <c r="B7" s="1383"/>
      <c r="C7" s="1441"/>
      <c r="D7" s="1442" t="s">
        <v>136</v>
      </c>
      <c r="E7" s="1439" t="s">
        <v>402</v>
      </c>
      <c r="F7" s="1440" t="s">
        <v>395</v>
      </c>
      <c r="G7" s="1460" t="s">
        <v>137</v>
      </c>
      <c r="H7" s="1461"/>
      <c r="I7" s="1461"/>
      <c r="J7" s="1461"/>
      <c r="K7" s="1461"/>
      <c r="L7" s="1461"/>
      <c r="M7" s="1461"/>
      <c r="N7" s="1461"/>
      <c r="O7" s="1461"/>
      <c r="P7" s="1461"/>
      <c r="Q7" s="1461"/>
      <c r="R7" s="1461"/>
      <c r="S7" s="1461"/>
      <c r="T7" s="1461"/>
      <c r="U7" s="1461"/>
      <c r="V7" s="1461"/>
      <c r="W7" s="1461"/>
      <c r="X7" s="1461"/>
      <c r="Y7" s="1461"/>
      <c r="Z7" s="1461"/>
      <c r="AA7" s="1461"/>
      <c r="AB7" s="1461"/>
      <c r="AC7" s="1461"/>
      <c r="AD7" s="1461"/>
      <c r="AE7" s="1461"/>
      <c r="AF7" s="1461"/>
      <c r="AG7" s="1461"/>
      <c r="AH7" s="1461"/>
      <c r="AI7" s="1461"/>
      <c r="AJ7" s="1461"/>
      <c r="AK7" s="1461"/>
      <c r="AL7" s="1461"/>
      <c r="AM7" s="1461"/>
      <c r="AN7" s="1461"/>
      <c r="AO7" s="1461"/>
      <c r="AP7" s="1461"/>
      <c r="AQ7" s="1461"/>
      <c r="AR7" s="1461"/>
      <c r="AS7" s="1461"/>
      <c r="AT7" s="1461"/>
      <c r="AU7" s="1461"/>
      <c r="AV7" s="1461"/>
      <c r="AW7" s="1461"/>
      <c r="AX7" s="1462"/>
    </row>
    <row r="8" spans="1:75" ht="96" customHeight="1" thickBot="1" x14ac:dyDescent="0.35">
      <c r="A8" s="1454"/>
      <c r="B8" s="1383"/>
      <c r="C8" s="1441"/>
      <c r="D8" s="1443"/>
      <c r="E8" s="1383"/>
      <c r="F8" s="1441"/>
      <c r="G8" s="1427" t="s">
        <v>138</v>
      </c>
      <c r="H8" s="1434" t="s">
        <v>397</v>
      </c>
      <c r="I8" s="1437" t="s">
        <v>395</v>
      </c>
      <c r="J8" s="1433" t="s">
        <v>363</v>
      </c>
      <c r="K8" s="1433"/>
      <c r="L8" s="1433"/>
      <c r="M8" s="1433"/>
      <c r="N8" s="1433"/>
      <c r="O8" s="1433"/>
      <c r="P8" s="1433"/>
      <c r="Q8" s="1429" t="s">
        <v>140</v>
      </c>
      <c r="R8" s="1436" t="s">
        <v>403</v>
      </c>
      <c r="S8" s="1444" t="s">
        <v>395</v>
      </c>
      <c r="T8" s="1431" t="s">
        <v>360</v>
      </c>
      <c r="U8" s="1425" t="s">
        <v>359</v>
      </c>
      <c r="V8" s="1449" t="s">
        <v>405</v>
      </c>
      <c r="W8" s="1451" t="s">
        <v>395</v>
      </c>
      <c r="X8" s="1455" t="s">
        <v>253</v>
      </c>
      <c r="Y8" s="1449" t="s">
        <v>965</v>
      </c>
      <c r="Z8" s="1451" t="s">
        <v>966</v>
      </c>
      <c r="AA8" s="1425" t="s">
        <v>142</v>
      </c>
      <c r="AB8" s="1449" t="s">
        <v>404</v>
      </c>
      <c r="AC8" s="1451" t="s">
        <v>395</v>
      </c>
      <c r="AD8" s="1448" t="s">
        <v>488</v>
      </c>
      <c r="AE8" s="1449" t="s">
        <v>489</v>
      </c>
      <c r="AF8" s="1451" t="s">
        <v>395</v>
      </c>
      <c r="AG8" s="1448" t="s">
        <v>490</v>
      </c>
      <c r="AH8" s="1449" t="s">
        <v>645</v>
      </c>
      <c r="AI8" s="1451" t="s">
        <v>395</v>
      </c>
      <c r="AJ8" s="1465" t="s">
        <v>143</v>
      </c>
      <c r="AK8" s="1467" t="s">
        <v>144</v>
      </c>
      <c r="AL8" s="1457" t="s">
        <v>145</v>
      </c>
      <c r="AM8" s="1458"/>
      <c r="AN8" s="1458"/>
      <c r="AO8" s="1458"/>
      <c r="AP8" s="1458"/>
      <c r="AQ8" s="1458"/>
      <c r="AR8" s="1458"/>
      <c r="AS8" s="1458"/>
      <c r="AT8" s="1458"/>
      <c r="AU8" s="1458"/>
      <c r="AV8" s="1458"/>
      <c r="AW8" s="1458"/>
      <c r="AX8" s="1459"/>
      <c r="BG8" s="1463" t="s">
        <v>506</v>
      </c>
      <c r="BH8" s="1464"/>
      <c r="BI8" s="1463" t="s">
        <v>197</v>
      </c>
      <c r="BJ8" s="1464"/>
      <c r="BQ8" s="1463" t="s">
        <v>506</v>
      </c>
      <c r="BR8" s="1464"/>
      <c r="BS8" s="1463" t="s">
        <v>197</v>
      </c>
      <c r="BT8" s="1464"/>
    </row>
    <row r="9" spans="1:75" ht="114.75" customHeight="1" x14ac:dyDescent="0.3">
      <c r="A9" s="1454"/>
      <c r="B9" s="1383"/>
      <c r="C9" s="1441"/>
      <c r="D9" s="1443"/>
      <c r="E9" s="1383"/>
      <c r="F9" s="1441"/>
      <c r="G9" s="1428"/>
      <c r="H9" s="1435"/>
      <c r="I9" s="1438"/>
      <c r="J9" s="885" t="s">
        <v>235</v>
      </c>
      <c r="K9" s="311" t="s">
        <v>365</v>
      </c>
      <c r="L9" s="289" t="s">
        <v>398</v>
      </c>
      <c r="M9" s="290" t="s">
        <v>395</v>
      </c>
      <c r="N9" s="288" t="s">
        <v>366</v>
      </c>
      <c r="O9" s="311" t="s">
        <v>399</v>
      </c>
      <c r="P9" s="363" t="s">
        <v>396</v>
      </c>
      <c r="Q9" s="1430"/>
      <c r="R9" s="1426"/>
      <c r="S9" s="1445"/>
      <c r="T9" s="1432"/>
      <c r="U9" s="1426"/>
      <c r="V9" s="1450"/>
      <c r="W9" s="1452"/>
      <c r="X9" s="1456"/>
      <c r="Y9" s="1450"/>
      <c r="Z9" s="1452"/>
      <c r="AA9" s="1426"/>
      <c r="AB9" s="1450"/>
      <c r="AC9" s="1452"/>
      <c r="AD9" s="1430"/>
      <c r="AE9" s="1450"/>
      <c r="AF9" s="1452"/>
      <c r="AG9" s="1430"/>
      <c r="AH9" s="1450"/>
      <c r="AI9" s="1452"/>
      <c r="AJ9" s="1466"/>
      <c r="AK9" s="1468"/>
      <c r="AL9" s="329" t="s">
        <v>364</v>
      </c>
      <c r="AM9" s="330" t="s">
        <v>406</v>
      </c>
      <c r="AN9" s="1011" t="s">
        <v>395</v>
      </c>
      <c r="AO9" s="329" t="s">
        <v>139</v>
      </c>
      <c r="AP9" s="330" t="s">
        <v>401</v>
      </c>
      <c r="AQ9" s="1015" t="s">
        <v>395</v>
      </c>
      <c r="AR9" s="389" t="s">
        <v>146</v>
      </c>
      <c r="AS9" s="330" t="s">
        <v>400</v>
      </c>
      <c r="AT9" s="331" t="s">
        <v>395</v>
      </c>
      <c r="AU9" s="537" t="s">
        <v>147</v>
      </c>
      <c r="AV9" s="389" t="s">
        <v>915</v>
      </c>
      <c r="AW9" s="330" t="s">
        <v>916</v>
      </c>
      <c r="AX9" s="331" t="s">
        <v>395</v>
      </c>
      <c r="BC9" s="608" t="s">
        <v>507</v>
      </c>
      <c r="BD9" s="627" t="s">
        <v>508</v>
      </c>
      <c r="BE9" s="627" t="s">
        <v>395</v>
      </c>
      <c r="BF9" s="627" t="s">
        <v>509</v>
      </c>
      <c r="BG9" s="612" t="s">
        <v>505</v>
      </c>
      <c r="BH9" s="613" t="s">
        <v>395</v>
      </c>
      <c r="BI9" s="612" t="s">
        <v>505</v>
      </c>
      <c r="BJ9" s="613" t="s">
        <v>395</v>
      </c>
      <c r="BM9" s="608" t="s">
        <v>507</v>
      </c>
      <c r="BN9" s="627" t="s">
        <v>508</v>
      </c>
      <c r="BO9" s="627" t="s">
        <v>395</v>
      </c>
      <c r="BP9" s="627" t="s">
        <v>509</v>
      </c>
      <c r="BQ9" s="612" t="s">
        <v>505</v>
      </c>
      <c r="BR9" s="613" t="s">
        <v>395</v>
      </c>
      <c r="BS9" s="612" t="s">
        <v>505</v>
      </c>
      <c r="BT9" s="613" t="s">
        <v>395</v>
      </c>
    </row>
    <row r="10" spans="1:75" x14ac:dyDescent="0.3">
      <c r="A10" s="408">
        <v>1</v>
      </c>
      <c r="B10" s="1062">
        <v>2</v>
      </c>
      <c r="C10" s="1064">
        <v>3</v>
      </c>
      <c r="D10" s="429">
        <v>4</v>
      </c>
      <c r="E10" s="1062"/>
      <c r="F10" s="409"/>
      <c r="G10" s="282">
        <v>5</v>
      </c>
      <c r="H10" s="156"/>
      <c r="I10" s="666"/>
      <c r="J10" s="886"/>
      <c r="K10" s="282"/>
      <c r="L10" s="156"/>
      <c r="M10" s="292"/>
      <c r="N10" s="291"/>
      <c r="O10" s="282"/>
      <c r="P10" s="364"/>
      <c r="Q10" s="275">
        <v>6</v>
      </c>
      <c r="R10" s="306"/>
      <c r="S10" s="371"/>
      <c r="T10" s="524"/>
      <c r="U10" s="522"/>
      <c r="V10" s="385"/>
      <c r="W10" s="387"/>
      <c r="X10" s="378"/>
      <c r="Y10" s="385"/>
      <c r="Z10" s="387"/>
      <c r="AA10" s="522"/>
      <c r="AB10" s="385"/>
      <c r="AC10" s="387"/>
      <c r="AD10" s="386"/>
      <c r="AE10" s="385"/>
      <c r="AF10" s="387"/>
      <c r="AG10" s="386"/>
      <c r="AH10" s="385"/>
      <c r="AI10" s="387"/>
      <c r="AJ10" s="421">
        <v>7</v>
      </c>
      <c r="AK10" s="391">
        <v>8</v>
      </c>
      <c r="AL10" s="403">
        <v>9</v>
      </c>
      <c r="AM10" s="1058"/>
      <c r="AN10" s="1012"/>
      <c r="AO10" s="1016"/>
      <c r="AP10" s="350"/>
      <c r="AQ10" s="1017"/>
      <c r="AR10" s="322"/>
      <c r="AS10" s="160"/>
      <c r="AT10" s="333"/>
      <c r="AU10" s="538">
        <v>10</v>
      </c>
      <c r="AV10" s="322"/>
      <c r="AW10" s="160"/>
      <c r="AX10" s="333"/>
      <c r="BG10" s="612"/>
      <c r="BH10" s="614"/>
      <c r="BI10" s="625"/>
      <c r="BJ10" s="614"/>
      <c r="BQ10" s="612"/>
      <c r="BR10" s="614"/>
      <c r="BS10" s="625"/>
      <c r="BT10" s="614"/>
    </row>
    <row r="11" spans="1:75" s="115" customFormat="1" x14ac:dyDescent="0.3">
      <c r="A11" s="435" t="s">
        <v>148</v>
      </c>
      <c r="B11" s="1063">
        <v>100</v>
      </c>
      <c r="C11" s="436" t="s">
        <v>149</v>
      </c>
      <c r="D11" s="430">
        <f>D14+D20+D21</f>
        <v>1880172104.5800002</v>
      </c>
      <c r="E11" s="59">
        <f>H11+R11+AM11+AK11</f>
        <v>2885172104.5799999</v>
      </c>
      <c r="F11" s="410">
        <f>E11-D11</f>
        <v>1004999999.9999998</v>
      </c>
      <c r="G11" s="293">
        <f>SUM(G14)</f>
        <v>218669600</v>
      </c>
      <c r="H11" s="157">
        <f>H14</f>
        <v>218669600</v>
      </c>
      <c r="I11" s="667">
        <f>H11-G11</f>
        <v>0</v>
      </c>
      <c r="J11" s="882">
        <f>SUM(J14)</f>
        <v>105026100</v>
      </c>
      <c r="K11" s="283">
        <f>K14</f>
        <v>68563030.900000006</v>
      </c>
      <c r="L11" s="157">
        <f>H11-J11-O11</f>
        <v>68563030.900000006</v>
      </c>
      <c r="M11" s="294">
        <f>L11-K11</f>
        <v>0</v>
      </c>
      <c r="N11" s="283">
        <f>SUM(N14)</f>
        <v>45080469.100000001</v>
      </c>
      <c r="O11" s="283">
        <f>SUM(O14)</f>
        <v>45080469.100000001</v>
      </c>
      <c r="P11" s="365">
        <f>O11-N11</f>
        <v>0</v>
      </c>
      <c r="Q11" s="276">
        <v>1270135000</v>
      </c>
      <c r="R11" s="307">
        <f>R20</f>
        <v>2275135000</v>
      </c>
      <c r="S11" s="372">
        <f>R11-Q11</f>
        <v>1005000000</v>
      </c>
      <c r="T11" s="525">
        <f t="shared" ref="T11:AH11" si="0">T20</f>
        <v>0</v>
      </c>
      <c r="U11" s="307">
        <v>1216891000</v>
      </c>
      <c r="V11" s="153">
        <f>V20</f>
        <v>2221891000.0100002</v>
      </c>
      <c r="W11" s="357">
        <f>V11-U11</f>
        <v>1005000000.0100002</v>
      </c>
      <c r="X11" s="379">
        <f>X20</f>
        <v>22131000</v>
      </c>
      <c r="Y11" s="153">
        <f>Y20</f>
        <v>22131000</v>
      </c>
      <c r="Z11" s="357">
        <f>Z20</f>
        <v>0</v>
      </c>
      <c r="AA11" s="307">
        <v>6878578.4699999997</v>
      </c>
      <c r="AB11" s="153">
        <f t="shared" si="0"/>
        <v>6878578.4699999997</v>
      </c>
      <c r="AC11" s="357">
        <f>AB11-AA11</f>
        <v>0</v>
      </c>
      <c r="AD11" s="153">
        <v>15071900</v>
      </c>
      <c r="AE11" s="153">
        <f>AE20</f>
        <v>15071900</v>
      </c>
      <c r="AF11" s="357">
        <f>AE11-AD11</f>
        <v>0</v>
      </c>
      <c r="AG11" s="153">
        <v>9162521.5199999996</v>
      </c>
      <c r="AH11" s="153">
        <f t="shared" si="0"/>
        <v>9162521.5199999996</v>
      </c>
      <c r="AI11" s="357">
        <f>AH11-AG11</f>
        <v>0</v>
      </c>
      <c r="AJ11" s="422">
        <v>0</v>
      </c>
      <c r="AK11" s="392">
        <f>AK13+AK14</f>
        <v>1908800</v>
      </c>
      <c r="AL11" s="334">
        <v>389458704.59170002</v>
      </c>
      <c r="AM11" s="161">
        <f>AP11+AS11+AW11</f>
        <v>389458704.57999998</v>
      </c>
      <c r="AN11" s="1013">
        <f>AM11-AL11</f>
        <v>-1.1700034141540527E-2</v>
      </c>
      <c r="AO11" s="334">
        <v>305985633.47170001</v>
      </c>
      <c r="AP11" s="161">
        <f>AP14+AP21</f>
        <v>321604870.63999999</v>
      </c>
      <c r="AQ11" s="406">
        <f>AP11-AO11</f>
        <v>15619237.168299973</v>
      </c>
      <c r="AR11" s="161">
        <f>AR14+AR21+AR22</f>
        <v>83473071.120000005</v>
      </c>
      <c r="AS11" s="161">
        <f>AS14+AS21+AS22</f>
        <v>55582036.509999998</v>
      </c>
      <c r="AT11" s="335">
        <f>AS11-AR11</f>
        <v>-27891034.610000007</v>
      </c>
      <c r="AU11" s="539">
        <v>0</v>
      </c>
      <c r="AV11" s="323"/>
      <c r="AW11" s="161">
        <f>AW14+AW21+AW22</f>
        <v>12271797.43</v>
      </c>
      <c r="AX11" s="335">
        <f>AW11-AV11</f>
        <v>12271797.43</v>
      </c>
      <c r="AZ11" s="131">
        <v>343352551.449</v>
      </c>
      <c r="BA11" s="131">
        <v>275145687.99900001</v>
      </c>
      <c r="BB11" s="609">
        <v>68206863.450000003</v>
      </c>
      <c r="BC11" s="634"/>
      <c r="BD11" s="634"/>
      <c r="BE11" s="634"/>
      <c r="BF11" s="634"/>
      <c r="BG11" s="615"/>
      <c r="BH11" s="616">
        <f>AF11-BG11</f>
        <v>0</v>
      </c>
      <c r="BI11" s="615">
        <f>BI15+BI21+BI22</f>
        <v>68215561.770000011</v>
      </c>
      <c r="BJ11" s="626">
        <f>AI11-BI11</f>
        <v>-68215561.770000011</v>
      </c>
      <c r="BK11" s="634"/>
      <c r="BL11" s="634"/>
      <c r="BM11" s="628">
        <f>AL11</f>
        <v>389458704.59170002</v>
      </c>
      <c r="BN11" s="628">
        <v>344453050.41000003</v>
      </c>
      <c r="BO11" s="628">
        <f>BM11-BN11</f>
        <v>45005654.181699991</v>
      </c>
      <c r="BP11" s="629">
        <f>BN11</f>
        <v>344453050.41000003</v>
      </c>
      <c r="BQ11" s="615">
        <v>251139175</v>
      </c>
      <c r="BR11" s="616">
        <f>AP11-BQ11</f>
        <v>70465695.639999986</v>
      </c>
      <c r="BS11" s="615">
        <f>BS15+BS21+BS22</f>
        <v>68215561.770000011</v>
      </c>
      <c r="BT11" s="626">
        <f>AS11-BS11</f>
        <v>-12633525.260000013</v>
      </c>
      <c r="BU11" s="135">
        <v>1076466.1000000001</v>
      </c>
      <c r="BV11" s="135">
        <v>146019.47000000626</v>
      </c>
      <c r="BW11" s="135">
        <f>BU11+BV11</f>
        <v>1222485.5700000064</v>
      </c>
    </row>
    <row r="12" spans="1:75" x14ac:dyDescent="0.3">
      <c r="A12" s="437" t="s">
        <v>137</v>
      </c>
      <c r="B12" s="133"/>
      <c r="C12" s="438"/>
      <c r="D12" s="431"/>
      <c r="E12" s="59">
        <f>H12+R12+AL12+AK12</f>
        <v>0</v>
      </c>
      <c r="F12" s="410">
        <f t="shared" ref="F12:F75" si="1">E12-D12</f>
        <v>0</v>
      </c>
      <c r="G12" s="284"/>
      <c r="H12" s="159"/>
      <c r="I12" s="668"/>
      <c r="J12" s="979"/>
      <c r="K12" s="284"/>
      <c r="L12" s="159"/>
      <c r="M12" s="296"/>
      <c r="N12" s="295"/>
      <c r="O12" s="284"/>
      <c r="P12" s="366"/>
      <c r="Q12" s="277"/>
      <c r="R12" s="308"/>
      <c r="S12" s="373"/>
      <c r="T12" s="526"/>
      <c r="U12" s="308"/>
      <c r="V12" s="154"/>
      <c r="W12" s="357">
        <f t="shared" ref="W12:W74" si="2">V12-U12</f>
        <v>0</v>
      </c>
      <c r="X12" s="380"/>
      <c r="Y12" s="153">
        <f t="shared" ref="Y12:Y19" si="3">X12-W12</f>
        <v>0</v>
      </c>
      <c r="Z12" s="357">
        <f t="shared" ref="Z12:Z19" si="4">X12-W12</f>
        <v>0</v>
      </c>
      <c r="AA12" s="308"/>
      <c r="AB12" s="154"/>
      <c r="AC12" s="358"/>
      <c r="AD12" s="277"/>
      <c r="AE12" s="154"/>
      <c r="AF12" s="358"/>
      <c r="AG12" s="277"/>
      <c r="AH12" s="154"/>
      <c r="AI12" s="358"/>
      <c r="AJ12" s="423"/>
      <c r="AK12" s="393"/>
      <c r="AL12" s="334"/>
      <c r="AM12" s="161"/>
      <c r="AN12" s="1013">
        <f t="shared" ref="AN12:AN74" si="5">AM12-AL12</f>
        <v>0</v>
      </c>
      <c r="AO12" s="336"/>
      <c r="AP12" s="260"/>
      <c r="AQ12" s="1018"/>
      <c r="AR12" s="325"/>
      <c r="AS12" s="260"/>
      <c r="AT12" s="337"/>
      <c r="AU12" s="540"/>
      <c r="AV12" s="325"/>
      <c r="AW12" s="260"/>
      <c r="AX12" s="337"/>
      <c r="BG12" s="617"/>
      <c r="BH12" s="614"/>
      <c r="BI12" s="625"/>
      <c r="BJ12" s="614"/>
      <c r="BM12" s="628"/>
      <c r="BN12" s="628"/>
      <c r="BQ12" s="617">
        <f>AP11-BQ11</f>
        <v>70465695.639999986</v>
      </c>
      <c r="BR12" s="614"/>
      <c r="BS12" s="625"/>
      <c r="BT12" s="614"/>
      <c r="BU12" s="111">
        <f>BS11+BW11</f>
        <v>69438047.340000018</v>
      </c>
    </row>
    <row r="13" spans="1:75" x14ac:dyDescent="0.3">
      <c r="A13" s="437" t="s">
        <v>150</v>
      </c>
      <c r="B13" s="1062">
        <v>110</v>
      </c>
      <c r="C13" s="438"/>
      <c r="D13" s="431"/>
      <c r="E13" s="59">
        <f>H13+R13+AL13+AK13</f>
        <v>0</v>
      </c>
      <c r="F13" s="410">
        <f t="shared" si="1"/>
        <v>0</v>
      </c>
      <c r="G13" s="285"/>
      <c r="H13" s="158"/>
      <c r="I13" s="669"/>
      <c r="J13" s="881"/>
      <c r="K13" s="285"/>
      <c r="L13" s="158"/>
      <c r="M13" s="298"/>
      <c r="N13" s="297"/>
      <c r="O13" s="285"/>
      <c r="P13" s="367"/>
      <c r="Q13" s="278"/>
      <c r="R13" s="309"/>
      <c r="S13" s="374"/>
      <c r="T13" s="527"/>
      <c r="U13" s="309"/>
      <c r="V13" s="261"/>
      <c r="W13" s="357">
        <f t="shared" si="2"/>
        <v>0</v>
      </c>
      <c r="X13" s="381"/>
      <c r="Y13" s="153">
        <f t="shared" si="3"/>
        <v>0</v>
      </c>
      <c r="Z13" s="357">
        <f t="shared" si="4"/>
        <v>0</v>
      </c>
      <c r="AA13" s="309"/>
      <c r="AB13" s="261"/>
      <c r="AC13" s="359"/>
      <c r="AD13" s="278"/>
      <c r="AE13" s="261"/>
      <c r="AF13" s="359"/>
      <c r="AG13" s="278"/>
      <c r="AH13" s="261"/>
      <c r="AI13" s="359"/>
      <c r="AJ13" s="424"/>
      <c r="AK13" s="393"/>
      <c r="AL13" s="334"/>
      <c r="AM13" s="161"/>
      <c r="AN13" s="1013">
        <f t="shared" si="5"/>
        <v>0</v>
      </c>
      <c r="AO13" s="336"/>
      <c r="AP13" s="260"/>
      <c r="AQ13" s="1018"/>
      <c r="AR13" s="325"/>
      <c r="AS13" s="260"/>
      <c r="AT13" s="337"/>
      <c r="AU13" s="541"/>
      <c r="AV13" s="325"/>
      <c r="AW13" s="260"/>
      <c r="AX13" s="337"/>
      <c r="AZ13" s="111"/>
      <c r="BA13" s="111">
        <f>BA11-AO11</f>
        <v>-30839945.4727</v>
      </c>
      <c r="BB13" s="111">
        <f>BB11-AR11</f>
        <v>-15266207.670000002</v>
      </c>
      <c r="BC13" s="111"/>
      <c r="BD13" s="111"/>
      <c r="BE13" s="111"/>
      <c r="BF13" s="111"/>
      <c r="BG13" s="615"/>
      <c r="BH13" s="614"/>
      <c r="BI13" s="625"/>
      <c r="BJ13" s="614"/>
      <c r="BK13" s="111"/>
      <c r="BL13" s="111"/>
      <c r="BM13" s="628"/>
      <c r="BN13" s="628"/>
      <c r="BO13" s="533"/>
      <c r="BP13" s="533"/>
      <c r="BQ13" s="615"/>
      <c r="BR13" s="614"/>
      <c r="BS13" s="625"/>
      <c r="BT13" s="614"/>
    </row>
    <row r="14" spans="1:75" x14ac:dyDescent="0.3">
      <c r="A14" s="437" t="s">
        <v>151</v>
      </c>
      <c r="B14" s="1062">
        <v>120</v>
      </c>
      <c r="C14" s="438"/>
      <c r="D14" s="431">
        <v>575137879.07000005</v>
      </c>
      <c r="E14" s="64">
        <f>H14+R14+AM14+AK14</f>
        <v>575137879.06999993</v>
      </c>
      <c r="F14" s="411">
        <f t="shared" si="1"/>
        <v>0</v>
      </c>
      <c r="G14" s="159">
        <v>218669600</v>
      </c>
      <c r="H14" s="159">
        <f>J14+L14+O14</f>
        <v>218669600</v>
      </c>
      <c r="I14" s="668">
        <f>H14-G14</f>
        <v>0</v>
      </c>
      <c r="J14" s="881">
        <f>J15</f>
        <v>105026100</v>
      </c>
      <c r="K14" s="284">
        <v>68563030.900000006</v>
      </c>
      <c r="L14" s="159">
        <v>68563030.900000006</v>
      </c>
      <c r="M14" s="298">
        <f>L14-K14</f>
        <v>0</v>
      </c>
      <c r="N14" s="285">
        <v>45080469.100000001</v>
      </c>
      <c r="O14" s="285">
        <f>O15</f>
        <v>45080469.100000001</v>
      </c>
      <c r="P14" s="367">
        <f>O14-N14</f>
        <v>0</v>
      </c>
      <c r="Q14" s="277"/>
      <c r="R14" s="308"/>
      <c r="S14" s="373"/>
      <c r="T14" s="526"/>
      <c r="U14" s="308"/>
      <c r="V14" s="154"/>
      <c r="W14" s="357">
        <f t="shared" si="2"/>
        <v>0</v>
      </c>
      <c r="X14" s="380"/>
      <c r="Y14" s="153">
        <f t="shared" si="3"/>
        <v>0</v>
      </c>
      <c r="Z14" s="357">
        <f t="shared" si="4"/>
        <v>0</v>
      </c>
      <c r="AA14" s="308"/>
      <c r="AB14" s="154"/>
      <c r="AC14" s="358"/>
      <c r="AD14" s="277"/>
      <c r="AE14" s="154"/>
      <c r="AF14" s="358"/>
      <c r="AG14" s="277"/>
      <c r="AH14" s="154"/>
      <c r="AI14" s="358"/>
      <c r="AJ14" s="423"/>
      <c r="AK14" s="393">
        <f>SUM(AK15:AK17)</f>
        <v>1908800</v>
      </c>
      <c r="AL14" s="334">
        <v>354559479.08170003</v>
      </c>
      <c r="AM14" s="161">
        <f>AP14+AS14+AW14</f>
        <v>354559479.06999999</v>
      </c>
      <c r="AN14" s="1013">
        <f t="shared" si="5"/>
        <v>-1.1700034141540527E-2</v>
      </c>
      <c r="AO14" s="338">
        <v>291362580.01170003</v>
      </c>
      <c r="AP14" s="162">
        <f>AP15+AP17</f>
        <v>306981817.18000001</v>
      </c>
      <c r="AQ14" s="1019">
        <f>AP14-AO14</f>
        <v>15619237.168299973</v>
      </c>
      <c r="AR14" s="324">
        <v>63196899.07</v>
      </c>
      <c r="AS14" s="162">
        <f>AS15</f>
        <v>44423842.689999998</v>
      </c>
      <c r="AT14" s="339">
        <f>AS14-AR14</f>
        <v>-18773056.380000003</v>
      </c>
      <c r="AU14" s="541"/>
      <c r="AV14" s="324"/>
      <c r="AW14" s="162">
        <f>AW15</f>
        <v>3153819.2</v>
      </c>
      <c r="AX14" s="339">
        <f>AW14-AV14</f>
        <v>3153819.2</v>
      </c>
      <c r="BG14" s="618"/>
      <c r="BH14" s="614"/>
      <c r="BI14" s="625"/>
      <c r="BJ14" s="614"/>
      <c r="BM14" s="628"/>
      <c r="BN14" s="628"/>
      <c r="BQ14" s="618">
        <f>13676010.29-8000000</f>
        <v>5676010.2899999991</v>
      </c>
      <c r="BR14" s="614"/>
      <c r="BS14" s="625"/>
      <c r="BT14" s="614"/>
    </row>
    <row r="15" spans="1:75" x14ac:dyDescent="0.3">
      <c r="A15" s="437" t="s">
        <v>152</v>
      </c>
      <c r="B15" s="133"/>
      <c r="C15" s="438"/>
      <c r="D15" s="431">
        <v>558934308.76999998</v>
      </c>
      <c r="E15" s="64">
        <f>H15+R15+AM15+AK15</f>
        <v>558934308.76999998</v>
      </c>
      <c r="F15" s="411">
        <f t="shared" si="1"/>
        <v>0</v>
      </c>
      <c r="G15" s="159">
        <v>218669600</v>
      </c>
      <c r="H15" s="159">
        <f>J15+L15+O15</f>
        <v>218669600</v>
      </c>
      <c r="I15" s="668">
        <f>H15-G15</f>
        <v>0</v>
      </c>
      <c r="J15" s="979">
        <f>42610100+6071200+19709100+1786600+10488200+12868200+1833500+5952100+539600+3167500</f>
        <v>105026100</v>
      </c>
      <c r="K15" s="284">
        <v>68563030.900000006</v>
      </c>
      <c r="L15" s="159">
        <v>68563030.900000006</v>
      </c>
      <c r="M15" s="296">
        <f>L15-K15</f>
        <v>0</v>
      </c>
      <c r="N15" s="284">
        <v>45080469.100000001</v>
      </c>
      <c r="O15" s="284">
        <v>45080469.100000001</v>
      </c>
      <c r="P15" s="366">
        <f>O15-N15</f>
        <v>0</v>
      </c>
      <c r="Q15" s="277"/>
      <c r="R15" s="308"/>
      <c r="S15" s="373"/>
      <c r="T15" s="526"/>
      <c r="U15" s="308"/>
      <c r="V15" s="154"/>
      <c r="W15" s="357">
        <f t="shared" si="2"/>
        <v>0</v>
      </c>
      <c r="X15" s="380"/>
      <c r="Y15" s="153">
        <f t="shared" si="3"/>
        <v>0</v>
      </c>
      <c r="Z15" s="357">
        <f t="shared" si="4"/>
        <v>0</v>
      </c>
      <c r="AA15" s="308"/>
      <c r="AB15" s="154"/>
      <c r="AC15" s="358"/>
      <c r="AD15" s="277"/>
      <c r="AE15" s="154"/>
      <c r="AF15" s="358"/>
      <c r="AG15" s="277"/>
      <c r="AH15" s="154"/>
      <c r="AI15" s="358"/>
      <c r="AJ15" s="423"/>
      <c r="AK15" s="394">
        <v>1908800</v>
      </c>
      <c r="AL15" s="334">
        <v>338355908.77170002</v>
      </c>
      <c r="AM15" s="161">
        <f>AP15+AS15+AW15</f>
        <v>338355908.76999998</v>
      </c>
      <c r="AN15" s="1013">
        <f t="shared" si="5"/>
        <v>-1.7000436782836914E-3</v>
      </c>
      <c r="AO15" s="338">
        <v>275159009.70170003</v>
      </c>
      <c r="AP15" s="162">
        <f>290778246.87+0.01</f>
        <v>290778246.88</v>
      </c>
      <c r="AQ15" s="1019">
        <f>AP15-AO15</f>
        <v>15619237.178299963</v>
      </c>
      <c r="AR15" s="324">
        <v>63196899.07</v>
      </c>
      <c r="AS15" s="162">
        <v>44423842.689999998</v>
      </c>
      <c r="AT15" s="339">
        <f>AS15-AR15</f>
        <v>-18773056.380000003</v>
      </c>
      <c r="AU15" s="541"/>
      <c r="AV15" s="324"/>
      <c r="AW15" s="162">
        <v>3153819.2</v>
      </c>
      <c r="AX15" s="339">
        <f>AW15-AV15</f>
        <v>3153819.2</v>
      </c>
      <c r="BG15" s="618"/>
      <c r="BH15" s="614"/>
      <c r="BI15" s="618">
        <v>67613872.370000005</v>
      </c>
      <c r="BJ15" s="614"/>
      <c r="BM15" s="628"/>
      <c r="BN15" s="628"/>
      <c r="BQ15" s="618">
        <f>5100000</f>
        <v>5100000</v>
      </c>
      <c r="BR15" s="614"/>
      <c r="BS15" s="618">
        <v>67613872.370000005</v>
      </c>
      <c r="BT15" s="614"/>
    </row>
    <row r="16" spans="1:75" x14ac:dyDescent="0.3">
      <c r="A16" s="437" t="s">
        <v>153</v>
      </c>
      <c r="B16" s="133"/>
      <c r="C16" s="438"/>
      <c r="D16" s="431">
        <v>0</v>
      </c>
      <c r="E16" s="64">
        <f>H16+R16+AL16+AK16</f>
        <v>0</v>
      </c>
      <c r="F16" s="410">
        <f t="shared" si="1"/>
        <v>0</v>
      </c>
      <c r="G16" s="284"/>
      <c r="H16" s="159"/>
      <c r="I16" s="668">
        <f t="shared" ref="I16:I22" si="6">H16-G16</f>
        <v>0</v>
      </c>
      <c r="J16" s="979"/>
      <c r="K16" s="284"/>
      <c r="L16" s="159"/>
      <c r="M16" s="296"/>
      <c r="N16" s="295"/>
      <c r="O16" s="284"/>
      <c r="P16" s="366"/>
      <c r="Q16" s="277"/>
      <c r="R16" s="308"/>
      <c r="S16" s="373"/>
      <c r="T16" s="526"/>
      <c r="U16" s="308"/>
      <c r="V16" s="154"/>
      <c r="W16" s="357">
        <f t="shared" si="2"/>
        <v>0</v>
      </c>
      <c r="X16" s="380"/>
      <c r="Y16" s="153">
        <f t="shared" si="3"/>
        <v>0</v>
      </c>
      <c r="Z16" s="357">
        <f t="shared" si="4"/>
        <v>0</v>
      </c>
      <c r="AA16" s="308"/>
      <c r="AB16" s="154"/>
      <c r="AC16" s="358"/>
      <c r="AD16" s="277"/>
      <c r="AE16" s="154"/>
      <c r="AF16" s="358"/>
      <c r="AG16" s="277"/>
      <c r="AH16" s="154"/>
      <c r="AI16" s="358"/>
      <c r="AJ16" s="423"/>
      <c r="AK16" s="394"/>
      <c r="AL16" s="334">
        <v>0</v>
      </c>
      <c r="AM16" s="161">
        <f t="shared" ref="AM16:AM74" si="7">AP16+AS16</f>
        <v>0</v>
      </c>
      <c r="AN16" s="1013">
        <f t="shared" si="5"/>
        <v>0</v>
      </c>
      <c r="AO16" s="336"/>
      <c r="AP16" s="260"/>
      <c r="AQ16" s="1018"/>
      <c r="AR16" s="325"/>
      <c r="AS16" s="260"/>
      <c r="AT16" s="337"/>
      <c r="AU16" s="541"/>
      <c r="AV16" s="325"/>
      <c r="AW16" s="260"/>
      <c r="AX16" s="337"/>
      <c r="BG16" s="619"/>
      <c r="BH16" s="614"/>
      <c r="BI16" s="625"/>
      <c r="BJ16" s="614"/>
      <c r="BM16" s="628"/>
      <c r="BN16" s="628"/>
      <c r="BQ16" s="619">
        <f>SUM(BQ14:BQ15)</f>
        <v>10776010.289999999</v>
      </c>
      <c r="BR16" s="614"/>
      <c r="BS16" s="625"/>
      <c r="BT16" s="614"/>
    </row>
    <row r="17" spans="1:72" x14ac:dyDescent="0.3">
      <c r="A17" s="437" t="s">
        <v>154</v>
      </c>
      <c r="B17" s="133"/>
      <c r="C17" s="438"/>
      <c r="D17" s="431">
        <v>16203570.300000001</v>
      </c>
      <c r="E17" s="64">
        <f>H17+R17+AM17+AK17</f>
        <v>16203570.300000001</v>
      </c>
      <c r="F17" s="410">
        <f t="shared" si="1"/>
        <v>0</v>
      </c>
      <c r="G17" s="284"/>
      <c r="H17" s="159"/>
      <c r="I17" s="668">
        <f t="shared" si="6"/>
        <v>0</v>
      </c>
      <c r="J17" s="979"/>
      <c r="K17" s="284"/>
      <c r="L17" s="159"/>
      <c r="M17" s="296"/>
      <c r="N17" s="295"/>
      <c r="O17" s="284"/>
      <c r="P17" s="366"/>
      <c r="Q17" s="277"/>
      <c r="R17" s="308"/>
      <c r="S17" s="373"/>
      <c r="T17" s="526"/>
      <c r="U17" s="308"/>
      <c r="V17" s="154"/>
      <c r="W17" s="357">
        <f t="shared" si="2"/>
        <v>0</v>
      </c>
      <c r="X17" s="380"/>
      <c r="Y17" s="153">
        <f t="shared" si="3"/>
        <v>0</v>
      </c>
      <c r="Z17" s="357">
        <f t="shared" si="4"/>
        <v>0</v>
      </c>
      <c r="AA17" s="308"/>
      <c r="AB17" s="154"/>
      <c r="AC17" s="358"/>
      <c r="AD17" s="277"/>
      <c r="AE17" s="154"/>
      <c r="AF17" s="358"/>
      <c r="AG17" s="277"/>
      <c r="AH17" s="154"/>
      <c r="AI17" s="358"/>
      <c r="AJ17" s="423"/>
      <c r="AK17" s="393"/>
      <c r="AL17" s="334">
        <v>16203570.300000001</v>
      </c>
      <c r="AM17" s="161">
        <f>AP17+AS17+AW17</f>
        <v>16203570.300000001</v>
      </c>
      <c r="AN17" s="1013">
        <f t="shared" si="5"/>
        <v>0</v>
      </c>
      <c r="AO17" s="338">
        <v>16203570.300000001</v>
      </c>
      <c r="AP17" s="162">
        <v>16203570.300000001</v>
      </c>
      <c r="AQ17" s="1019">
        <f>AP17-AO17</f>
        <v>0</v>
      </c>
      <c r="AR17" s="324"/>
      <c r="AS17" s="162"/>
      <c r="AT17" s="339"/>
      <c r="AU17" s="541"/>
      <c r="AV17" s="324"/>
      <c r="AW17" s="162"/>
      <c r="AX17" s="339"/>
      <c r="BG17" s="618"/>
      <c r="BH17" s="614"/>
      <c r="BI17" s="625"/>
      <c r="BJ17" s="614"/>
      <c r="BM17" s="628"/>
      <c r="BN17" s="628"/>
      <c r="BQ17" s="618">
        <f>BQ12-BQ16</f>
        <v>59689685.349999987</v>
      </c>
      <c r="BR17" s="614"/>
      <c r="BS17" s="625"/>
      <c r="BT17" s="614"/>
    </row>
    <row r="18" spans="1:72" ht="31.5" x14ac:dyDescent="0.3">
      <c r="A18" s="437" t="s">
        <v>155</v>
      </c>
      <c r="B18" s="1062">
        <v>130</v>
      </c>
      <c r="C18" s="438"/>
      <c r="D18" s="431">
        <v>0</v>
      </c>
      <c r="E18" s="59">
        <f>H18+R18+AL18+AK18</f>
        <v>0</v>
      </c>
      <c r="F18" s="410">
        <f t="shared" si="1"/>
        <v>0</v>
      </c>
      <c r="G18" s="285"/>
      <c r="H18" s="158"/>
      <c r="I18" s="668">
        <f t="shared" si="6"/>
        <v>0</v>
      </c>
      <c r="J18" s="881"/>
      <c r="K18" s="285"/>
      <c r="L18" s="158"/>
      <c r="M18" s="298"/>
      <c r="N18" s="297"/>
      <c r="O18" s="285"/>
      <c r="P18" s="367"/>
      <c r="Q18" s="279"/>
      <c r="R18" s="310"/>
      <c r="S18" s="375"/>
      <c r="T18" s="528"/>
      <c r="U18" s="310"/>
      <c r="V18" s="63"/>
      <c r="W18" s="357">
        <f t="shared" si="2"/>
        <v>0</v>
      </c>
      <c r="X18" s="382"/>
      <c r="Y18" s="153">
        <f t="shared" si="3"/>
        <v>0</v>
      </c>
      <c r="Z18" s="357">
        <f t="shared" si="4"/>
        <v>0</v>
      </c>
      <c r="AA18" s="310"/>
      <c r="AB18" s="63"/>
      <c r="AC18" s="360"/>
      <c r="AD18" s="279"/>
      <c r="AE18" s="63"/>
      <c r="AF18" s="360"/>
      <c r="AG18" s="279"/>
      <c r="AH18" s="63"/>
      <c r="AI18" s="360"/>
      <c r="AJ18" s="425"/>
      <c r="AK18" s="395"/>
      <c r="AL18" s="334">
        <v>0</v>
      </c>
      <c r="AM18" s="161">
        <f t="shared" si="7"/>
        <v>0</v>
      </c>
      <c r="AN18" s="1013">
        <f t="shared" si="5"/>
        <v>0</v>
      </c>
      <c r="AO18" s="336"/>
      <c r="AP18" s="260"/>
      <c r="AQ18" s="1018"/>
      <c r="AR18" s="325"/>
      <c r="AS18" s="260"/>
      <c r="AT18" s="337"/>
      <c r="AU18" s="540" t="s">
        <v>149</v>
      </c>
      <c r="AV18" s="325"/>
      <c r="AW18" s="260"/>
      <c r="AX18" s="337"/>
      <c r="BG18" s="617"/>
      <c r="BH18" s="614"/>
      <c r="BI18" s="625"/>
      <c r="BJ18" s="614"/>
      <c r="BM18" s="628"/>
      <c r="BN18" s="628"/>
      <c r="BQ18" s="617"/>
      <c r="BR18" s="614"/>
      <c r="BS18" s="625"/>
      <c r="BT18" s="614"/>
    </row>
    <row r="19" spans="1:72" ht="63.75" customHeight="1" x14ac:dyDescent="0.3">
      <c r="A19" s="437" t="s">
        <v>156</v>
      </c>
      <c r="B19" s="1062">
        <v>140</v>
      </c>
      <c r="C19" s="438"/>
      <c r="D19" s="431">
        <v>0</v>
      </c>
      <c r="E19" s="59">
        <f>H19+R19+AL19+AK19</f>
        <v>0</v>
      </c>
      <c r="F19" s="410">
        <f t="shared" si="1"/>
        <v>0</v>
      </c>
      <c r="G19" s="285"/>
      <c r="H19" s="158"/>
      <c r="I19" s="668">
        <f t="shared" si="6"/>
        <v>0</v>
      </c>
      <c r="J19" s="881"/>
      <c r="K19" s="285"/>
      <c r="L19" s="158"/>
      <c r="M19" s="298"/>
      <c r="N19" s="297"/>
      <c r="O19" s="285"/>
      <c r="P19" s="367"/>
      <c r="Q19" s="279"/>
      <c r="R19" s="310"/>
      <c r="S19" s="375"/>
      <c r="T19" s="528"/>
      <c r="U19" s="310"/>
      <c r="V19" s="63"/>
      <c r="W19" s="357">
        <f t="shared" si="2"/>
        <v>0</v>
      </c>
      <c r="X19" s="382"/>
      <c r="Y19" s="153">
        <f t="shared" si="3"/>
        <v>0</v>
      </c>
      <c r="Z19" s="357">
        <f t="shared" si="4"/>
        <v>0</v>
      </c>
      <c r="AA19" s="310"/>
      <c r="AB19" s="63"/>
      <c r="AC19" s="360"/>
      <c r="AD19" s="279"/>
      <c r="AE19" s="63"/>
      <c r="AF19" s="360"/>
      <c r="AG19" s="279"/>
      <c r="AH19" s="63"/>
      <c r="AI19" s="360"/>
      <c r="AJ19" s="425"/>
      <c r="AK19" s="395"/>
      <c r="AL19" s="334">
        <v>0</v>
      </c>
      <c r="AM19" s="161">
        <f t="shared" si="7"/>
        <v>0</v>
      </c>
      <c r="AN19" s="1013">
        <f t="shared" si="5"/>
        <v>0</v>
      </c>
      <c r="AO19" s="336"/>
      <c r="AP19" s="260"/>
      <c r="AQ19" s="1018"/>
      <c r="AR19" s="325"/>
      <c r="AS19" s="260"/>
      <c r="AT19" s="337"/>
      <c r="AU19" s="540" t="s">
        <v>149</v>
      </c>
      <c r="AV19" s="325"/>
      <c r="AW19" s="260"/>
      <c r="AX19" s="337"/>
      <c r="BG19" s="617"/>
      <c r="BH19" s="614"/>
      <c r="BI19" s="625"/>
      <c r="BJ19" s="614"/>
      <c r="BM19" s="628"/>
      <c r="BN19" s="628"/>
      <c r="BQ19" s="617"/>
      <c r="BR19" s="614"/>
      <c r="BS19" s="625"/>
      <c r="BT19" s="614"/>
    </row>
    <row r="20" spans="1:72" ht="38.25" customHeight="1" x14ac:dyDescent="0.3">
      <c r="A20" s="437" t="s">
        <v>157</v>
      </c>
      <c r="B20" s="1062">
        <v>150</v>
      </c>
      <c r="C20" s="438"/>
      <c r="D20" s="431">
        <v>1270135000</v>
      </c>
      <c r="E20" s="64">
        <f>H20+R20+AM20+AK20</f>
        <v>2275135000</v>
      </c>
      <c r="F20" s="411">
        <f t="shared" si="1"/>
        <v>1005000000</v>
      </c>
      <c r="G20" s="285"/>
      <c r="H20" s="158"/>
      <c r="I20" s="668">
        <f t="shared" si="6"/>
        <v>0</v>
      </c>
      <c r="J20" s="881"/>
      <c r="K20" s="285"/>
      <c r="L20" s="158"/>
      <c r="M20" s="298"/>
      <c r="N20" s="297"/>
      <c r="O20" s="285"/>
      <c r="P20" s="367"/>
      <c r="Q20" s="279">
        <v>1270135000</v>
      </c>
      <c r="R20" s="310">
        <f>T20+V20+X20+AB20+AE20+AH20</f>
        <v>2275135000</v>
      </c>
      <c r="S20" s="375">
        <f>R20-Q20</f>
        <v>1005000000</v>
      </c>
      <c r="T20" s="528"/>
      <c r="U20" s="310">
        <v>1216891000</v>
      </c>
      <c r="V20" s="63">
        <f>2275135000-Y20-AB20-AE20-AH20</f>
        <v>2221891000.0100002</v>
      </c>
      <c r="W20" s="360">
        <f t="shared" si="2"/>
        <v>1005000000.0100002</v>
      </c>
      <c r="X20" s="382">
        <v>22131000</v>
      </c>
      <c r="Y20" s="63">
        <f>X20-Z20</f>
        <v>22131000</v>
      </c>
      <c r="Z20" s="360"/>
      <c r="AA20" s="310">
        <v>6878578.4699999997</v>
      </c>
      <c r="AB20" s="63">
        <v>6878578.4699999997</v>
      </c>
      <c r="AC20" s="360">
        <f>AB20-AA20</f>
        <v>0</v>
      </c>
      <c r="AD20" s="63">
        <v>15071900</v>
      </c>
      <c r="AE20" s="63">
        <v>15071900</v>
      </c>
      <c r="AF20" s="360">
        <f>AE20-AD20</f>
        <v>0</v>
      </c>
      <c r="AG20" s="63">
        <v>9162521.5199999996</v>
      </c>
      <c r="AH20" s="63">
        <v>9162521.5199999996</v>
      </c>
      <c r="AI20" s="360">
        <f>AH20-AG20</f>
        <v>0</v>
      </c>
      <c r="AJ20" s="426"/>
      <c r="AK20" s="395"/>
      <c r="AL20" s="334">
        <v>0</v>
      </c>
      <c r="AM20" s="161">
        <f t="shared" si="7"/>
        <v>0</v>
      </c>
      <c r="AN20" s="1013">
        <f t="shared" si="5"/>
        <v>0</v>
      </c>
      <c r="AO20" s="338"/>
      <c r="AP20" s="162"/>
      <c r="AQ20" s="1019"/>
      <c r="AR20" s="324"/>
      <c r="AS20" s="162"/>
      <c r="AT20" s="339"/>
      <c r="AU20" s="540" t="s">
        <v>149</v>
      </c>
      <c r="AV20" s="324"/>
      <c r="AW20" s="162"/>
      <c r="AX20" s="339"/>
      <c r="BG20" s="617"/>
      <c r="BH20" s="614"/>
      <c r="BI20" s="625"/>
      <c r="BJ20" s="614"/>
      <c r="BM20" s="628"/>
      <c r="BN20" s="628"/>
      <c r="BQ20" s="617"/>
      <c r="BR20" s="614"/>
      <c r="BS20" s="625"/>
      <c r="BT20" s="614"/>
    </row>
    <row r="21" spans="1:72" ht="19.5" customHeight="1" x14ac:dyDescent="0.3">
      <c r="A21" s="437" t="s">
        <v>158</v>
      </c>
      <c r="B21" s="1062">
        <v>160</v>
      </c>
      <c r="C21" s="438"/>
      <c r="D21" s="431">
        <v>34899225.510000005</v>
      </c>
      <c r="E21" s="64">
        <f>H21+R21+AM21+AK21</f>
        <v>34899225.510000005</v>
      </c>
      <c r="F21" s="411">
        <f t="shared" si="1"/>
        <v>0</v>
      </c>
      <c r="G21" s="285"/>
      <c r="H21" s="158"/>
      <c r="I21" s="668">
        <f t="shared" si="6"/>
        <v>0</v>
      </c>
      <c r="J21" s="881"/>
      <c r="K21" s="285"/>
      <c r="L21" s="158"/>
      <c r="M21" s="298"/>
      <c r="N21" s="297"/>
      <c r="O21" s="285"/>
      <c r="P21" s="367"/>
      <c r="Q21" s="279"/>
      <c r="R21" s="310"/>
      <c r="S21" s="375"/>
      <c r="T21" s="528"/>
      <c r="U21" s="310"/>
      <c r="V21" s="63"/>
      <c r="W21" s="357"/>
      <c r="X21" s="382"/>
      <c r="Y21" s="153">
        <f>X21-W21</f>
        <v>0</v>
      </c>
      <c r="Z21" s="357">
        <f>X21-W21</f>
        <v>0</v>
      </c>
      <c r="AA21" s="310"/>
      <c r="AB21" s="63"/>
      <c r="AC21" s="360"/>
      <c r="AD21" s="279"/>
      <c r="AE21" s="63"/>
      <c r="AF21" s="360"/>
      <c r="AG21" s="279"/>
      <c r="AH21" s="63"/>
      <c r="AI21" s="360"/>
      <c r="AJ21" s="425"/>
      <c r="AK21" s="395"/>
      <c r="AL21" s="334">
        <v>34899225.510000005</v>
      </c>
      <c r="AM21" s="161">
        <f>AP21+AS21+AW21</f>
        <v>34899225.510000005</v>
      </c>
      <c r="AN21" s="1013">
        <f t="shared" si="5"/>
        <v>0</v>
      </c>
      <c r="AO21" s="338">
        <v>14623053.460000001</v>
      </c>
      <c r="AP21" s="162">
        <v>14623053.460000001</v>
      </c>
      <c r="AQ21" s="1019">
        <f>AP21-AO21</f>
        <v>0</v>
      </c>
      <c r="AR21" s="324">
        <v>20276172.050000001</v>
      </c>
      <c r="AS21" s="162">
        <v>11158193.82</v>
      </c>
      <c r="AT21" s="339">
        <f>AS21-AR21</f>
        <v>-9117978.2300000004</v>
      </c>
      <c r="AU21" s="542"/>
      <c r="AV21" s="324"/>
      <c r="AW21" s="162">
        <v>9117978.2300000004</v>
      </c>
      <c r="AX21" s="339">
        <f>AW21-AV21</f>
        <v>9117978.2300000004</v>
      </c>
      <c r="BG21" s="617"/>
      <c r="BH21" s="614"/>
      <c r="BI21" s="618">
        <v>106376.9</v>
      </c>
      <c r="BJ21" s="614"/>
      <c r="BM21" s="628"/>
      <c r="BN21" s="628"/>
      <c r="BQ21" s="617"/>
      <c r="BR21" s="614"/>
      <c r="BS21" s="618">
        <v>106376.9</v>
      </c>
      <c r="BT21" s="614"/>
    </row>
    <row r="22" spans="1:72" ht="22.5" customHeight="1" x14ac:dyDescent="0.3">
      <c r="A22" s="437" t="s">
        <v>159</v>
      </c>
      <c r="B22" s="1062">
        <v>180</v>
      </c>
      <c r="C22" s="1064" t="s">
        <v>149</v>
      </c>
      <c r="D22" s="64">
        <f>G22+Q22+AL22+AJ22</f>
        <v>0</v>
      </c>
      <c r="E22" s="64">
        <f>H22+R22+AM22+AK22</f>
        <v>0</v>
      </c>
      <c r="F22" s="411">
        <f t="shared" si="1"/>
        <v>0</v>
      </c>
      <c r="G22" s="284"/>
      <c r="H22" s="159"/>
      <c r="I22" s="668">
        <f t="shared" si="6"/>
        <v>0</v>
      </c>
      <c r="J22" s="979"/>
      <c r="K22" s="284"/>
      <c r="L22" s="159"/>
      <c r="M22" s="296"/>
      <c r="N22" s="295"/>
      <c r="O22" s="284"/>
      <c r="P22" s="366"/>
      <c r="Q22" s="277"/>
      <c r="R22" s="308"/>
      <c r="S22" s="373"/>
      <c r="T22" s="526"/>
      <c r="U22" s="308"/>
      <c r="V22" s="154"/>
      <c r="W22" s="357">
        <f t="shared" si="2"/>
        <v>0</v>
      </c>
      <c r="X22" s="380"/>
      <c r="Y22" s="153">
        <f>X22-W22</f>
        <v>0</v>
      </c>
      <c r="Z22" s="357">
        <f>X22-W22</f>
        <v>0</v>
      </c>
      <c r="AA22" s="308"/>
      <c r="AB22" s="154"/>
      <c r="AC22" s="358"/>
      <c r="AD22" s="277"/>
      <c r="AE22" s="154"/>
      <c r="AF22" s="358"/>
      <c r="AG22" s="277"/>
      <c r="AH22" s="154"/>
      <c r="AI22" s="358"/>
      <c r="AJ22" s="423"/>
      <c r="AK22" s="393"/>
      <c r="AL22" s="334">
        <v>0</v>
      </c>
      <c r="AM22" s="161">
        <f t="shared" si="7"/>
        <v>0</v>
      </c>
      <c r="AN22" s="1013">
        <f t="shared" si="5"/>
        <v>0</v>
      </c>
      <c r="AO22" s="336"/>
      <c r="AP22" s="260"/>
      <c r="AQ22" s="1018"/>
      <c r="AR22" s="324"/>
      <c r="AS22" s="162"/>
      <c r="AT22" s="339">
        <f>AS22-AR22</f>
        <v>0</v>
      </c>
      <c r="AU22" s="543" t="s">
        <v>149</v>
      </c>
      <c r="AV22" s="324"/>
      <c r="AW22" s="162"/>
      <c r="AX22" s="339">
        <f>AW22-AV22</f>
        <v>0</v>
      </c>
      <c r="BG22" s="617"/>
      <c r="BH22" s="614"/>
      <c r="BI22" s="618">
        <v>495312.5</v>
      </c>
      <c r="BJ22" s="614"/>
      <c r="BM22" s="628"/>
      <c r="BN22" s="628"/>
      <c r="BP22" s="533">
        <f>BM23-BP23</f>
        <v>62451857.668063521</v>
      </c>
      <c r="BQ22" s="617"/>
      <c r="BR22" s="614"/>
      <c r="BS22" s="618">
        <v>495312.5</v>
      </c>
      <c r="BT22" s="614"/>
    </row>
    <row r="23" spans="1:72" s="115" customFormat="1" x14ac:dyDescent="0.3">
      <c r="A23" s="435" t="s">
        <v>160</v>
      </c>
      <c r="B23" s="1063">
        <v>200</v>
      </c>
      <c r="C23" s="436" t="s">
        <v>149</v>
      </c>
      <c r="D23" s="1010">
        <f>D24+D45+D33</f>
        <v>2299618211.1500001</v>
      </c>
      <c r="E23" s="59">
        <f>H23+R23+AM23+AK23</f>
        <v>3304618211.1349993</v>
      </c>
      <c r="F23" s="410">
        <f t="shared" si="1"/>
        <v>1004999999.9849992</v>
      </c>
      <c r="G23" s="293">
        <f>G24+G29+G33+G42+G45+G67+G71</f>
        <v>239742190.97657448</v>
      </c>
      <c r="H23" s="157">
        <f>H24+H36+H45</f>
        <v>239742190.98000002</v>
      </c>
      <c r="I23" s="667">
        <f>H23-G23</f>
        <v>3.4255385398864746E-3</v>
      </c>
      <c r="J23" s="882">
        <f>J24+J33+J45</f>
        <v>121550240.5065745</v>
      </c>
      <c r="K23" s="157">
        <f>K24+K29+K33+K42+K45+K67+K71</f>
        <v>73111481.360000014</v>
      </c>
      <c r="L23" s="157">
        <f>L24+L29+L33+L42+L45+L67+L71</f>
        <v>73111481.360000014</v>
      </c>
      <c r="M23" s="294">
        <f>L23-K23</f>
        <v>0</v>
      </c>
      <c r="N23" s="283">
        <f>N24+N29+N33+N42+N45+N67+N71</f>
        <v>45080469.109999999</v>
      </c>
      <c r="O23" s="283">
        <f>O24+O29+O33+O42+O45+O67+O71</f>
        <v>45080469.109999999</v>
      </c>
      <c r="P23" s="365">
        <f>O23-N23</f>
        <v>0</v>
      </c>
      <c r="Q23" s="276">
        <f>Q24+Q29+Q41+Q42+Q67+Q45+Q33</f>
        <v>1658328676.1500003</v>
      </c>
      <c r="R23" s="307">
        <f>R24+R29+R41+R42+R67+R45+R33</f>
        <v>2663328676.1399994</v>
      </c>
      <c r="S23" s="372">
        <f>R23-Q23</f>
        <v>1004999999.9899991</v>
      </c>
      <c r="T23" s="525">
        <f>T24+T33+T45</f>
        <v>388193676.14999998</v>
      </c>
      <c r="U23" s="307">
        <f>U24+U33+U45</f>
        <v>1216891000</v>
      </c>
      <c r="V23" s="153">
        <f>V24+V33+V45</f>
        <v>2221891000</v>
      </c>
      <c r="W23" s="357">
        <f t="shared" si="2"/>
        <v>1005000000</v>
      </c>
      <c r="X23" s="379">
        <f>X24+X29+X41+X42+X67+X45+X33</f>
        <v>22131000</v>
      </c>
      <c r="Y23" s="153">
        <f>Y24+Y29+Y41+Y42+Y67+Y45+Y33</f>
        <v>22131000</v>
      </c>
      <c r="Z23" s="357">
        <f>Z24+Z29+Z41+Z42+Z67+Z45+Z33</f>
        <v>0</v>
      </c>
      <c r="AA23" s="307">
        <v>6878578.4699999997</v>
      </c>
      <c r="AB23" s="153">
        <f t="shared" ref="AB23:AE23" si="8">AB24+AB29+AB41+AB42+AB67+AB45+AB33</f>
        <v>6878578.4699999997</v>
      </c>
      <c r="AC23" s="357">
        <f>AB23-AA23</f>
        <v>0</v>
      </c>
      <c r="AD23" s="153">
        <v>15071900</v>
      </c>
      <c r="AE23" s="153">
        <f t="shared" si="8"/>
        <v>15071900</v>
      </c>
      <c r="AF23" s="357">
        <f>AE23-AD23</f>
        <v>0</v>
      </c>
      <c r="AG23" s="153">
        <v>9162521.5199999996</v>
      </c>
      <c r="AH23" s="153">
        <f t="shared" ref="AH23" si="9">AH24+AH29+AH41+AH42+AH67+AH45+AH33</f>
        <v>9162521.5199999996</v>
      </c>
      <c r="AI23" s="357">
        <f>AH23-AG23</f>
        <v>0</v>
      </c>
      <c r="AJ23" s="422">
        <f>AJ24+AJ29+AJ36+AJ41+AJ42+AJ67+AJ45</f>
        <v>0</v>
      </c>
      <c r="AK23" s="396">
        <f>AK24+AK29+AK41+AK42+AK45+AK67+AK33</f>
        <v>1908800</v>
      </c>
      <c r="AL23" s="334">
        <v>399638544.03446358</v>
      </c>
      <c r="AM23" s="161">
        <f>AP23+AS23+AW23</f>
        <v>399638544.01499999</v>
      </c>
      <c r="AN23" s="1013">
        <f t="shared" si="5"/>
        <v>-1.9463598728179932E-2</v>
      </c>
      <c r="AO23" s="334">
        <v>315793818.92446357</v>
      </c>
      <c r="AP23" s="161">
        <f>AP24+AP29+AP41+AP42+AP67+AP45+AP33</f>
        <v>331413056.08499998</v>
      </c>
      <c r="AQ23" s="406">
        <f>AP23-AO23</f>
        <v>15619237.160536408</v>
      </c>
      <c r="AR23" s="161">
        <f>AR24+AR29+AR41+AR42+AR45+AR67+AR33</f>
        <v>83844725.109999999</v>
      </c>
      <c r="AS23" s="161">
        <f>AS24+AS29+AS41+AS42+AS45+AS67+AS33</f>
        <v>55953690.5</v>
      </c>
      <c r="AT23" s="335">
        <f>AS23-AR23</f>
        <v>-27891034.609999999</v>
      </c>
      <c r="AU23" s="539">
        <f>AU24+AU29+AU36+AU41+AU42+AU67+AU45</f>
        <v>0</v>
      </c>
      <c r="AV23" s="323"/>
      <c r="AW23" s="161">
        <f>AW24+AW29+AW41+AW42+AW45+AW67+AW33</f>
        <v>12271797.430000002</v>
      </c>
      <c r="AX23" s="335">
        <f>AW23-AV23</f>
        <v>12271797.430000002</v>
      </c>
      <c r="AZ23" s="969">
        <v>315793818.93169999</v>
      </c>
      <c r="BA23" s="135">
        <f>AZ23-AP23</f>
        <v>-15619237.153299987</v>
      </c>
      <c r="BG23" s="334">
        <f>BG24+BG29+BG41+BG42+BG45+BG67+BG33</f>
        <v>0</v>
      </c>
      <c r="BH23" s="539">
        <f>BH24+BH29+BH41+BH42+BH45+BH67+BH33</f>
        <v>15071900</v>
      </c>
      <c r="BI23" s="334">
        <f t="shared" ref="BI23:BJ23" si="10">BI24+BI29+BI41+BI42+BI45+BI67+BI33</f>
        <v>69438047.340000004</v>
      </c>
      <c r="BJ23" s="539">
        <f t="shared" si="10"/>
        <v>-60275525.819999993</v>
      </c>
      <c r="BM23" s="628">
        <f>AL23</f>
        <v>399638544.03446358</v>
      </c>
      <c r="BN23" s="628">
        <f t="shared" ref="BN23:BN74" si="11">BQ23+BS23</f>
        <v>331661665.28999996</v>
      </c>
      <c r="BO23" s="535">
        <f>BM23-BN23</f>
        <v>67976878.744463623</v>
      </c>
      <c r="BP23" s="334">
        <f>BP24+BP29+BP41+BP42+BP45+BP67+BP33</f>
        <v>337186686.36640006</v>
      </c>
      <c r="BQ23" s="334">
        <f>BQ24+BQ29+BQ41+BQ42+BQ45+BQ67+BQ33</f>
        <v>262223617.94999999</v>
      </c>
      <c r="BR23" s="539">
        <f>BR24+BR29+BR41+BR42+BR45+BR67+BR33</f>
        <v>53570200.97446353</v>
      </c>
      <c r="BS23" s="334">
        <f t="shared" ref="BS23:BT23" si="12">BS24+BS29+BS41+BS42+BS45+BS67+BS33</f>
        <v>69438047.340000004</v>
      </c>
      <c r="BT23" s="539">
        <f t="shared" si="12"/>
        <v>14406677.770000001</v>
      </c>
    </row>
    <row r="24" spans="1:72" s="115" customFormat="1" ht="18.75" customHeight="1" x14ac:dyDescent="0.3">
      <c r="A24" s="435" t="s">
        <v>161</v>
      </c>
      <c r="B24" s="1063">
        <v>210</v>
      </c>
      <c r="C24" s="436">
        <v>110</v>
      </c>
      <c r="D24" s="430">
        <f>D26+D27+D28</f>
        <v>424149150.21000004</v>
      </c>
      <c r="E24" s="59">
        <f>H24+R24+AM24+AK24</f>
        <v>424149150.21000004</v>
      </c>
      <c r="F24" s="410">
        <f t="shared" si="1"/>
        <v>0</v>
      </c>
      <c r="G24" s="293">
        <f>G26+G27+G28</f>
        <v>187885462.60657451</v>
      </c>
      <c r="H24" s="157">
        <f>H26+H27+H28</f>
        <v>187885462.61000001</v>
      </c>
      <c r="I24" s="667">
        <f>H24-G24</f>
        <v>3.4255087375640869E-3</v>
      </c>
      <c r="J24" s="882">
        <f>J26+J27+J28</f>
        <v>121550240.5065745</v>
      </c>
      <c r="K24" s="157">
        <f>K26+K27+K28</f>
        <v>40250801.520000003</v>
      </c>
      <c r="L24" s="157">
        <f>L26+L27+L28</f>
        <v>40250801.520000003</v>
      </c>
      <c r="M24" s="294">
        <f>L24-K24</f>
        <v>0</v>
      </c>
      <c r="N24" s="283">
        <f>N26+N27+N28</f>
        <v>26084420.580000002</v>
      </c>
      <c r="O24" s="283">
        <f>O26+O27+O28</f>
        <v>26084420.580000002</v>
      </c>
      <c r="P24" s="365">
        <f>O24-N24</f>
        <v>0</v>
      </c>
      <c r="Q24" s="276">
        <f>Q26+Q27+Q28</f>
        <v>24940779.410000004</v>
      </c>
      <c r="R24" s="307">
        <f>R26+R27+R28</f>
        <v>24940779.41</v>
      </c>
      <c r="S24" s="372">
        <f>R24-Q24</f>
        <v>0</v>
      </c>
      <c r="T24" s="525">
        <f>T26+T27</f>
        <v>0</v>
      </c>
      <c r="U24" s="307">
        <v>0</v>
      </c>
      <c r="V24" s="153">
        <f>V26+V27+V28</f>
        <v>0</v>
      </c>
      <c r="W24" s="357">
        <f t="shared" si="2"/>
        <v>0</v>
      </c>
      <c r="X24" s="379">
        <f>X26+X27+X28</f>
        <v>9868879.4100000001</v>
      </c>
      <c r="Y24" s="153">
        <f>Y26+Y27+Y28</f>
        <v>9868879.4100000001</v>
      </c>
      <c r="Z24" s="357">
        <f>Z26+Z27+Z28</f>
        <v>0</v>
      </c>
      <c r="AA24" s="307">
        <v>0</v>
      </c>
      <c r="AB24" s="153">
        <f>AB26+AB27</f>
        <v>0</v>
      </c>
      <c r="AC24" s="357">
        <f>AB24-AA24</f>
        <v>0</v>
      </c>
      <c r="AD24" s="153">
        <v>15071900</v>
      </c>
      <c r="AE24" s="153">
        <f>AE26+AE27</f>
        <v>15071900</v>
      </c>
      <c r="AF24" s="357">
        <f>AE24-AD24</f>
        <v>0</v>
      </c>
      <c r="AG24" s="153">
        <v>0</v>
      </c>
      <c r="AH24" s="153">
        <f>AH26+AH27</f>
        <v>0</v>
      </c>
      <c r="AI24" s="357">
        <f>AH24-AG24</f>
        <v>0</v>
      </c>
      <c r="AJ24" s="422">
        <f>AJ26+AJ27+AJ28</f>
        <v>0</v>
      </c>
      <c r="AK24" s="396">
        <f>AK26+AK27+AK28</f>
        <v>1858800</v>
      </c>
      <c r="AL24" s="334">
        <v>209193760.26000002</v>
      </c>
      <c r="AM24" s="161">
        <f>AP24+AS24+AW24</f>
        <v>209464108.19</v>
      </c>
      <c r="AN24" s="1013">
        <f t="shared" si="5"/>
        <v>270347.92999997735</v>
      </c>
      <c r="AO24" s="334">
        <f>AO26+AO27+AO28</f>
        <v>160627997.13</v>
      </c>
      <c r="AP24" s="161">
        <f>AP26+AP27+AP28</f>
        <v>170310396.47</v>
      </c>
      <c r="AQ24" s="406">
        <f>AP24-AO24</f>
        <v>9682399.3400000036</v>
      </c>
      <c r="AR24" s="161">
        <f>AR26+AR27+AR28</f>
        <v>48698763.130000003</v>
      </c>
      <c r="AS24" s="161">
        <f>AS26+AS27+AS28</f>
        <v>32053015.510000002</v>
      </c>
      <c r="AT24" s="335">
        <f>AS24-AR24</f>
        <v>-16645747.620000001</v>
      </c>
      <c r="AU24" s="539">
        <f>AU26+AU27+AU28</f>
        <v>0</v>
      </c>
      <c r="AV24" s="323"/>
      <c r="AW24" s="161">
        <f>AW26+AW27+AW28</f>
        <v>7100696.21</v>
      </c>
      <c r="AX24" s="335">
        <f>AW24-AV24</f>
        <v>7100696.21</v>
      </c>
      <c r="BG24" s="334">
        <f>BG26+BG27+BG28</f>
        <v>0</v>
      </c>
      <c r="BH24" s="539">
        <f>BH26+BH27+BH28</f>
        <v>15071900</v>
      </c>
      <c r="BI24" s="334">
        <f t="shared" ref="BI24:BJ24" si="13">BI26+BI27+BI28</f>
        <v>43280242.210000001</v>
      </c>
      <c r="BJ24" s="539">
        <f t="shared" si="13"/>
        <v>-43280242.210000001</v>
      </c>
      <c r="BM24" s="628">
        <f>AL24</f>
        <v>209193760.26000002</v>
      </c>
      <c r="BN24" s="628">
        <f t="shared" si="11"/>
        <v>198794090.73000002</v>
      </c>
      <c r="BO24" s="535">
        <f t="shared" ref="BO24:BO74" si="14">BM24-BN24</f>
        <v>10399669.530000001</v>
      </c>
      <c r="BP24" s="334">
        <f>BP26+BP27+BP28</f>
        <v>206886090.54000002</v>
      </c>
      <c r="BQ24" s="334">
        <f>BQ26+BQ27+BQ28</f>
        <v>155513848.52000001</v>
      </c>
      <c r="BR24" s="539">
        <f>BR26+BR27+BR28</f>
        <v>5114148.609999992</v>
      </c>
      <c r="BS24" s="334">
        <f t="shared" ref="BS24:BT24" si="15">BS26+BS27+BS28</f>
        <v>43280242.210000001</v>
      </c>
      <c r="BT24" s="539">
        <f t="shared" si="15"/>
        <v>5418520.9199999999</v>
      </c>
    </row>
    <row r="25" spans="1:72" x14ac:dyDescent="0.3">
      <c r="A25" s="437" t="s">
        <v>92</v>
      </c>
      <c r="B25" s="133"/>
      <c r="C25" s="438"/>
      <c r="D25" s="431"/>
      <c r="E25" s="59">
        <f>H25+R25+AL25+AK25</f>
        <v>0</v>
      </c>
      <c r="F25" s="410">
        <f t="shared" si="1"/>
        <v>0</v>
      </c>
      <c r="G25" s="285"/>
      <c r="H25" s="158"/>
      <c r="I25" s="667">
        <f t="shared" ref="I25:I75" si="16">H25-G25</f>
        <v>0</v>
      </c>
      <c r="J25" s="881"/>
      <c r="K25" s="285"/>
      <c r="L25" s="158"/>
      <c r="M25" s="298"/>
      <c r="N25" s="297"/>
      <c r="O25" s="285"/>
      <c r="P25" s="367"/>
      <c r="Q25" s="279"/>
      <c r="R25" s="310"/>
      <c r="S25" s="375"/>
      <c r="T25" s="528"/>
      <c r="U25" s="310"/>
      <c r="V25" s="63"/>
      <c r="W25" s="357">
        <f t="shared" si="2"/>
        <v>0</v>
      </c>
      <c r="X25" s="382"/>
      <c r="Y25" s="153">
        <f>X25-W25</f>
        <v>0</v>
      </c>
      <c r="Z25" s="357">
        <f>X25-W25</f>
        <v>0</v>
      </c>
      <c r="AA25" s="310"/>
      <c r="AB25" s="63"/>
      <c r="AC25" s="360"/>
      <c r="AD25" s="279"/>
      <c r="AE25" s="63"/>
      <c r="AF25" s="360"/>
      <c r="AG25" s="279"/>
      <c r="AH25" s="63"/>
      <c r="AI25" s="360"/>
      <c r="AJ25" s="425"/>
      <c r="AK25" s="395"/>
      <c r="AL25" s="334">
        <v>0</v>
      </c>
      <c r="AM25" s="161">
        <f t="shared" ref="AM25:AM73" si="17">AP25+AS25+AW25</f>
        <v>0</v>
      </c>
      <c r="AN25" s="1013">
        <f t="shared" si="5"/>
        <v>0</v>
      </c>
      <c r="AO25" s="338"/>
      <c r="AP25" s="162"/>
      <c r="AQ25" s="1019"/>
      <c r="AR25" s="324"/>
      <c r="AS25" s="162"/>
      <c r="AT25" s="339"/>
      <c r="AU25" s="540"/>
      <c r="AV25" s="324"/>
      <c r="AW25" s="162"/>
      <c r="AX25" s="339"/>
      <c r="BG25" s="617"/>
      <c r="BH25" s="614"/>
      <c r="BI25" s="625"/>
      <c r="BJ25" s="614"/>
      <c r="BM25" s="628">
        <f t="shared" ref="BM25:BM76" si="18">AL25</f>
        <v>0</v>
      </c>
      <c r="BN25" s="628">
        <f t="shared" si="11"/>
        <v>0</v>
      </c>
      <c r="BO25" s="535">
        <f t="shared" si="14"/>
        <v>0</v>
      </c>
      <c r="BP25" s="533"/>
      <c r="BQ25" s="617"/>
      <c r="BR25" s="614"/>
      <c r="BS25" s="625"/>
      <c r="BT25" s="614"/>
    </row>
    <row r="26" spans="1:72" ht="18.75" customHeight="1" x14ac:dyDescent="0.3">
      <c r="A26" s="437" t="s">
        <v>162</v>
      </c>
      <c r="B26" s="1385">
        <v>211</v>
      </c>
      <c r="C26" s="1064">
        <v>111</v>
      </c>
      <c r="D26" s="431">
        <f>324309100.47+0.0014439</f>
        <v>324309100.47144395</v>
      </c>
      <c r="E26" s="64">
        <f>H26+R26+AM26+AK26</f>
        <v>324309100.47144389</v>
      </c>
      <c r="F26" s="1072">
        <f t="shared" si="1"/>
        <v>0</v>
      </c>
      <c r="G26" s="285">
        <f>143436558.53-0.00343+0.0000045</f>
        <v>143436558.52657449</v>
      </c>
      <c r="H26" s="158">
        <v>143436558.53</v>
      </c>
      <c r="I26" s="1071">
        <f t="shared" si="16"/>
        <v>3.4255087375640869E-3</v>
      </c>
      <c r="J26" s="881">
        <f>'расчет норматив'!AB10+'ПФХД 2019 с разбивкой  (4)'!L100</f>
        <v>93378135.336574495</v>
      </c>
      <c r="K26" s="285">
        <v>30201086.870000001</v>
      </c>
      <c r="L26" s="158">
        <v>30201086.870000001</v>
      </c>
      <c r="M26" s="298">
        <f>L26-K26</f>
        <v>0</v>
      </c>
      <c r="N26" s="285">
        <v>19857336.32</v>
      </c>
      <c r="O26" s="285">
        <v>19857336.32</v>
      </c>
      <c r="P26" s="367">
        <f>O26-N26</f>
        <v>0</v>
      </c>
      <c r="Q26" s="279">
        <f>19155752.18+0.0014439+0.00000003353</f>
        <v>19155752.181443933</v>
      </c>
      <c r="R26" s="310">
        <f>T26+V26+Y26+AB26+AE26+AH26</f>
        <v>19155752.181443933</v>
      </c>
      <c r="S26" s="1075">
        <f>R26-Q26</f>
        <v>0</v>
      </c>
      <c r="T26" s="528"/>
      <c r="U26" s="310"/>
      <c r="V26" s="63"/>
      <c r="W26" s="357">
        <f t="shared" si="2"/>
        <v>0</v>
      </c>
      <c r="X26" s="382">
        <v>7579792.1200000001</v>
      </c>
      <c r="Y26" s="63">
        <v>7579792.1200000001</v>
      </c>
      <c r="Z26" s="360"/>
      <c r="AA26" s="310"/>
      <c r="AB26" s="63"/>
      <c r="AC26" s="360">
        <f>AB26-AA26</f>
        <v>0</v>
      </c>
      <c r="AD26" s="63">
        <v>11575960.061443932</v>
      </c>
      <c r="AE26" s="63">
        <f>15071900/1.302</f>
        <v>11575960.061443932</v>
      </c>
      <c r="AF26" s="360">
        <f>AE26-AD26</f>
        <v>0</v>
      </c>
      <c r="AG26" s="279"/>
      <c r="AH26" s="63"/>
      <c r="AI26" s="360">
        <f>AH26-AG26</f>
        <v>0</v>
      </c>
      <c r="AJ26" s="425"/>
      <c r="AK26" s="395">
        <v>1427649.77</v>
      </c>
      <c r="AL26" s="334">
        <v>160289139.99000001</v>
      </c>
      <c r="AM26" s="161">
        <f t="shared" si="17"/>
        <v>160289139.99000001</v>
      </c>
      <c r="AN26" s="1013">
        <f t="shared" si="5"/>
        <v>0</v>
      </c>
      <c r="AO26" s="338">
        <v>123237324.98999999</v>
      </c>
      <c r="AP26" s="162">
        <v>130433900.66</v>
      </c>
      <c r="AQ26" s="1019">
        <f>AP26-AO26</f>
        <v>7196575.6700000018</v>
      </c>
      <c r="AR26" s="324">
        <v>37051815</v>
      </c>
      <c r="AS26" s="162">
        <v>24449679.02</v>
      </c>
      <c r="AT26" s="339">
        <f>AS26-AR26</f>
        <v>-12602135.98</v>
      </c>
      <c r="AU26" s="540"/>
      <c r="AV26" s="324"/>
      <c r="AW26" s="162">
        <v>5405560.3099999996</v>
      </c>
      <c r="AX26" s="339">
        <f>AW26-AV26</f>
        <v>5405560.3099999996</v>
      </c>
      <c r="BG26" s="617"/>
      <c r="BH26" s="621">
        <f>AE26-BG26</f>
        <v>11575960.061443932</v>
      </c>
      <c r="BI26" s="617">
        <v>33573582.210000001</v>
      </c>
      <c r="BJ26" s="621">
        <f>AH26-BI26</f>
        <v>-33573582.210000001</v>
      </c>
      <c r="BM26" s="629">
        <f t="shared" si="18"/>
        <v>160289139.99000001</v>
      </c>
      <c r="BN26" s="629">
        <f t="shared" si="11"/>
        <v>151333957.74000001</v>
      </c>
      <c r="BO26" s="533">
        <f t="shared" si="14"/>
        <v>8955182.25</v>
      </c>
      <c r="BP26" s="533">
        <f>BM26</f>
        <v>160289139.99000001</v>
      </c>
      <c r="BQ26" s="617">
        <v>117760375.53</v>
      </c>
      <c r="BR26" s="621">
        <f>AO26-BQ26</f>
        <v>5476949.4599999934</v>
      </c>
      <c r="BS26" s="617">
        <v>33573582.210000001</v>
      </c>
      <c r="BT26" s="621">
        <f>AR26-BS26</f>
        <v>3478232.7899999991</v>
      </c>
    </row>
    <row r="27" spans="1:72" ht="18.75" customHeight="1" x14ac:dyDescent="0.3">
      <c r="A27" s="437" t="s">
        <v>163</v>
      </c>
      <c r="B27" s="1385"/>
      <c r="C27" s="1064">
        <v>119</v>
      </c>
      <c r="D27" s="431">
        <f>98547733.47-0.00144392</f>
        <v>98547733.468556076</v>
      </c>
      <c r="E27" s="64">
        <f>H27+R27+AM27+AK27</f>
        <v>98547733.468556076</v>
      </c>
      <c r="F27" s="1073">
        <f t="shared" si="1"/>
        <v>0</v>
      </c>
      <c r="G27" s="285">
        <v>43924235.740000002</v>
      </c>
      <c r="H27" s="158">
        <v>43924235.740000002</v>
      </c>
      <c r="I27" s="669">
        <f t="shared" si="16"/>
        <v>0</v>
      </c>
      <c r="J27" s="881">
        <f>'расчет норматив'!AB11+'ПФХД 2019 с разбивкой  (4)'!M101</f>
        <v>28172105.169999998</v>
      </c>
      <c r="K27" s="285">
        <v>9701799.1500000004</v>
      </c>
      <c r="L27" s="158">
        <v>9701799.1500000004</v>
      </c>
      <c r="M27" s="298">
        <f>L27-K27</f>
        <v>0</v>
      </c>
      <c r="N27" s="285">
        <v>6050331.4199999999</v>
      </c>
      <c r="O27" s="285">
        <v>6050331.4199999999</v>
      </c>
      <c r="P27" s="367">
        <f>O27-N27</f>
        <v>0</v>
      </c>
      <c r="Q27" s="279">
        <f>5785027.23-0.00144393</f>
        <v>5785027.2285560705</v>
      </c>
      <c r="R27" s="310">
        <f>T27+V27+Y27+AB27+AE27+AH27</f>
        <v>5785027.2285560677</v>
      </c>
      <c r="S27" s="1074">
        <f>R27-Q27</f>
        <v>0</v>
      </c>
      <c r="T27" s="528"/>
      <c r="U27" s="310"/>
      <c r="V27" s="63"/>
      <c r="W27" s="357">
        <f t="shared" si="2"/>
        <v>0</v>
      </c>
      <c r="X27" s="382">
        <v>2289087.29</v>
      </c>
      <c r="Y27" s="63">
        <v>2289087.29</v>
      </c>
      <c r="Z27" s="360"/>
      <c r="AA27" s="310"/>
      <c r="AB27" s="63"/>
      <c r="AC27" s="360">
        <f>AB27-AA27</f>
        <v>0</v>
      </c>
      <c r="AD27" s="63">
        <v>3495939.9385560676</v>
      </c>
      <c r="AE27" s="63">
        <f>15071900-AE26</f>
        <v>3495939.9385560676</v>
      </c>
      <c r="AF27" s="360">
        <f>AE27-AD27</f>
        <v>0</v>
      </c>
      <c r="AG27" s="279"/>
      <c r="AH27" s="63"/>
      <c r="AI27" s="360">
        <f>AH27-AG27</f>
        <v>0</v>
      </c>
      <c r="AJ27" s="425"/>
      <c r="AK27" s="395">
        <v>431150.23</v>
      </c>
      <c r="AL27" s="334">
        <v>48407320.270000003</v>
      </c>
      <c r="AM27" s="161">
        <f t="shared" si="17"/>
        <v>48407320.270000003</v>
      </c>
      <c r="AN27" s="1013">
        <f t="shared" si="5"/>
        <v>0</v>
      </c>
      <c r="AO27" s="338">
        <v>37217672.140000001</v>
      </c>
      <c r="AP27" s="162">
        <v>39376495.810000002</v>
      </c>
      <c r="AQ27" s="1019">
        <f>AP27-AO27</f>
        <v>2158823.6700000018</v>
      </c>
      <c r="AR27" s="324">
        <v>11189648.130000001</v>
      </c>
      <c r="AS27" s="162">
        <v>7383804.1900000004</v>
      </c>
      <c r="AT27" s="339">
        <f>AS27-AR27</f>
        <v>-3805843.9400000004</v>
      </c>
      <c r="AU27" s="540"/>
      <c r="AV27" s="324"/>
      <c r="AW27" s="162">
        <v>1647020.27</v>
      </c>
      <c r="AX27" s="339">
        <f>AW27-AV27</f>
        <v>1647020.27</v>
      </c>
      <c r="BG27" s="617"/>
      <c r="BH27" s="621">
        <f>AE27-BG27</f>
        <v>3495939.9385560676</v>
      </c>
      <c r="BI27" s="617">
        <v>9464700.4900000002</v>
      </c>
      <c r="BJ27" s="621">
        <f t="shared" ref="BJ27:BJ28" si="19">AH27-BI27</f>
        <v>-9464700.4900000002</v>
      </c>
      <c r="BM27" s="629">
        <f t="shared" si="18"/>
        <v>48407320.270000003</v>
      </c>
      <c r="BN27" s="629">
        <f t="shared" si="11"/>
        <v>46099650.550000004</v>
      </c>
      <c r="BO27" s="533">
        <f t="shared" si="14"/>
        <v>2307669.7199999988</v>
      </c>
      <c r="BP27" s="533">
        <f>BN27</f>
        <v>46099650.550000004</v>
      </c>
      <c r="BQ27" s="617">
        <f>36338408.06+96542+200000</f>
        <v>36634950.060000002</v>
      </c>
      <c r="BR27" s="621">
        <f>AO27-BQ27</f>
        <v>582722.07999999821</v>
      </c>
      <c r="BS27" s="617">
        <v>9464700.4900000002</v>
      </c>
      <c r="BT27" s="621">
        <f t="shared" ref="BT27:BT28" si="20">AR27-BS27</f>
        <v>1724947.6400000006</v>
      </c>
    </row>
    <row r="28" spans="1:72" ht="39.75" customHeight="1" x14ac:dyDescent="0.3">
      <c r="A28" s="437" t="s">
        <v>164</v>
      </c>
      <c r="B28" s="1385"/>
      <c r="C28" s="1064">
        <v>112</v>
      </c>
      <c r="D28" s="431">
        <v>1292316.27</v>
      </c>
      <c r="E28" s="64">
        <f>H28+R28+AM28+AK28</f>
        <v>1292316.27</v>
      </c>
      <c r="F28" s="410">
        <f t="shared" si="1"/>
        <v>0</v>
      </c>
      <c r="G28" s="285">
        <v>524668.34</v>
      </c>
      <c r="H28" s="158">
        <f>J28+L28+O28</f>
        <v>524668.34</v>
      </c>
      <c r="I28" s="669">
        <f t="shared" si="16"/>
        <v>0</v>
      </c>
      <c r="J28" s="881"/>
      <c r="K28" s="285">
        <v>347915.5</v>
      </c>
      <c r="L28" s="158">
        <v>347915.5</v>
      </c>
      <c r="M28" s="298">
        <f>L28-K28</f>
        <v>0</v>
      </c>
      <c r="N28" s="285">
        <v>176752.84</v>
      </c>
      <c r="O28" s="285">
        <v>176752.84</v>
      </c>
      <c r="P28" s="367">
        <f>O28-N28</f>
        <v>0</v>
      </c>
      <c r="Q28" s="279"/>
      <c r="R28" s="310"/>
      <c r="S28" s="375"/>
      <c r="T28" s="528"/>
      <c r="U28" s="310"/>
      <c r="V28" s="63"/>
      <c r="W28" s="357"/>
      <c r="X28" s="382"/>
      <c r="Y28" s="153"/>
      <c r="Z28" s="357"/>
      <c r="AA28" s="310"/>
      <c r="AB28" s="63"/>
      <c r="AC28" s="360"/>
      <c r="AD28" s="279"/>
      <c r="AE28" s="63"/>
      <c r="AF28" s="360"/>
      <c r="AG28" s="279"/>
      <c r="AH28" s="63"/>
      <c r="AI28" s="360"/>
      <c r="AJ28" s="425"/>
      <c r="AK28" s="395"/>
      <c r="AL28" s="334">
        <v>497300</v>
      </c>
      <c r="AM28" s="161">
        <f t="shared" si="17"/>
        <v>767647.93</v>
      </c>
      <c r="AN28" s="1013">
        <f t="shared" si="5"/>
        <v>270347.93000000005</v>
      </c>
      <c r="AO28" s="338">
        <v>173000</v>
      </c>
      <c r="AP28" s="162">
        <v>500000</v>
      </c>
      <c r="AQ28" s="1019">
        <f>AP28-AO28</f>
        <v>327000</v>
      </c>
      <c r="AR28" s="324">
        <v>457300</v>
      </c>
      <c r="AS28" s="162">
        <v>219532.3</v>
      </c>
      <c r="AT28" s="339">
        <f>AS28-AR28</f>
        <v>-237767.7</v>
      </c>
      <c r="AU28" s="540"/>
      <c r="AV28" s="324"/>
      <c r="AW28" s="162">
        <v>48115.63</v>
      </c>
      <c r="AX28" s="339">
        <f>AW28-AV28</f>
        <v>48115.63</v>
      </c>
      <c r="BG28" s="617"/>
      <c r="BH28" s="621">
        <f>AE28-BG28</f>
        <v>0</v>
      </c>
      <c r="BI28" s="617">
        <v>241959.51</v>
      </c>
      <c r="BJ28" s="621">
        <f t="shared" si="19"/>
        <v>-241959.51</v>
      </c>
      <c r="BM28" s="629">
        <f t="shared" si="18"/>
        <v>497300</v>
      </c>
      <c r="BN28" s="629">
        <f t="shared" si="11"/>
        <v>1360482.44</v>
      </c>
      <c r="BO28" s="533">
        <f t="shared" si="14"/>
        <v>-863182.44</v>
      </c>
      <c r="BP28" s="533">
        <f>BM28</f>
        <v>497300</v>
      </c>
      <c r="BQ28" s="617">
        <v>1118522.93</v>
      </c>
      <c r="BR28" s="621">
        <f>AO28-BQ28</f>
        <v>-945522.92999999993</v>
      </c>
      <c r="BS28" s="617">
        <v>241959.51</v>
      </c>
      <c r="BT28" s="621">
        <f t="shared" si="20"/>
        <v>215340.49</v>
      </c>
    </row>
    <row r="29" spans="1:72" s="115" customFormat="1" ht="31.5" x14ac:dyDescent="0.3">
      <c r="A29" s="435" t="s">
        <v>165</v>
      </c>
      <c r="B29" s="1385">
        <v>220</v>
      </c>
      <c r="C29" s="436">
        <v>300</v>
      </c>
      <c r="D29" s="430">
        <v>0</v>
      </c>
      <c r="E29" s="59">
        <f>H29+R29+AL29+AK29</f>
        <v>0</v>
      </c>
      <c r="F29" s="410">
        <f t="shared" si="1"/>
        <v>0</v>
      </c>
      <c r="G29" s="283">
        <f>G31+G32</f>
        <v>0</v>
      </c>
      <c r="H29" s="157"/>
      <c r="I29" s="669">
        <f t="shared" si="16"/>
        <v>0</v>
      </c>
      <c r="J29" s="882"/>
      <c r="K29" s="283"/>
      <c r="L29" s="157"/>
      <c r="M29" s="294"/>
      <c r="N29" s="293"/>
      <c r="O29" s="283"/>
      <c r="P29" s="365"/>
      <c r="Q29" s="276"/>
      <c r="R29" s="307"/>
      <c r="S29" s="372"/>
      <c r="T29" s="525"/>
      <c r="U29" s="307">
        <v>0</v>
      </c>
      <c r="V29" s="153">
        <v>0</v>
      </c>
      <c r="W29" s="357">
        <f t="shared" si="2"/>
        <v>0</v>
      </c>
      <c r="X29" s="379">
        <v>0</v>
      </c>
      <c r="Y29" s="153">
        <f>X29-W29</f>
        <v>0</v>
      </c>
      <c r="Z29" s="357">
        <f>X29-W29</f>
        <v>0</v>
      </c>
      <c r="AA29" s="307"/>
      <c r="AB29" s="153"/>
      <c r="AC29" s="357"/>
      <c r="AD29" s="276"/>
      <c r="AE29" s="153"/>
      <c r="AF29" s="357"/>
      <c r="AG29" s="276"/>
      <c r="AH29" s="153"/>
      <c r="AI29" s="357"/>
      <c r="AJ29" s="422">
        <f>AJ31+AJ32</f>
        <v>0</v>
      </c>
      <c r="AK29" s="396">
        <v>0</v>
      </c>
      <c r="AL29" s="334">
        <v>0</v>
      </c>
      <c r="AM29" s="161">
        <f t="shared" si="17"/>
        <v>0</v>
      </c>
      <c r="AN29" s="1013">
        <f t="shared" si="5"/>
        <v>0</v>
      </c>
      <c r="AO29" s="334"/>
      <c r="AP29" s="161"/>
      <c r="AQ29" s="406"/>
      <c r="AR29" s="323"/>
      <c r="AS29" s="161"/>
      <c r="AT29" s="335"/>
      <c r="AU29" s="539">
        <f>AU31+AU32</f>
        <v>0</v>
      </c>
      <c r="AV29" s="323"/>
      <c r="AW29" s="161"/>
      <c r="AX29" s="335"/>
      <c r="BG29" s="617"/>
      <c r="BH29" s="621">
        <f>AF29-BG29</f>
        <v>0</v>
      </c>
      <c r="BI29" s="617"/>
      <c r="BJ29" s="621"/>
      <c r="BM29" s="628">
        <f t="shared" si="18"/>
        <v>0</v>
      </c>
      <c r="BN29" s="628">
        <f t="shared" si="11"/>
        <v>0</v>
      </c>
      <c r="BO29" s="535">
        <f t="shared" si="14"/>
        <v>0</v>
      </c>
      <c r="BP29" s="533"/>
      <c r="BQ29" s="617"/>
      <c r="BR29" s="621">
        <f>AP29-BQ29</f>
        <v>0</v>
      </c>
      <c r="BS29" s="617"/>
      <c r="BT29" s="621"/>
    </row>
    <row r="30" spans="1:72" x14ac:dyDescent="0.3">
      <c r="A30" s="437" t="s">
        <v>92</v>
      </c>
      <c r="B30" s="1385"/>
      <c r="C30" s="438"/>
      <c r="D30" s="431"/>
      <c r="E30" s="59">
        <f>H30+R30+AL30+AK30</f>
        <v>0</v>
      </c>
      <c r="F30" s="410">
        <f t="shared" si="1"/>
        <v>0</v>
      </c>
      <c r="G30" s="285"/>
      <c r="H30" s="158"/>
      <c r="I30" s="669">
        <f t="shared" si="16"/>
        <v>0</v>
      </c>
      <c r="J30" s="881"/>
      <c r="K30" s="285"/>
      <c r="L30" s="158"/>
      <c r="M30" s="298"/>
      <c r="N30" s="297"/>
      <c r="O30" s="285"/>
      <c r="P30" s="367"/>
      <c r="Q30" s="279"/>
      <c r="R30" s="310"/>
      <c r="S30" s="375"/>
      <c r="T30" s="528"/>
      <c r="U30" s="310"/>
      <c r="V30" s="63"/>
      <c r="W30" s="357">
        <f t="shared" si="2"/>
        <v>0</v>
      </c>
      <c r="X30" s="382"/>
      <c r="Y30" s="153">
        <f>X30-W30</f>
        <v>0</v>
      </c>
      <c r="Z30" s="357">
        <f>X30-W30</f>
        <v>0</v>
      </c>
      <c r="AA30" s="310"/>
      <c r="AB30" s="63"/>
      <c r="AC30" s="360"/>
      <c r="AD30" s="279"/>
      <c r="AE30" s="63"/>
      <c r="AF30" s="360"/>
      <c r="AG30" s="279"/>
      <c r="AH30" s="63"/>
      <c r="AI30" s="360"/>
      <c r="AJ30" s="425"/>
      <c r="AK30" s="395"/>
      <c r="AL30" s="334">
        <v>0</v>
      </c>
      <c r="AM30" s="161">
        <f t="shared" si="17"/>
        <v>0</v>
      </c>
      <c r="AN30" s="1013">
        <f t="shared" si="5"/>
        <v>0</v>
      </c>
      <c r="AO30" s="338"/>
      <c r="AP30" s="162"/>
      <c r="AQ30" s="1019"/>
      <c r="AR30" s="324"/>
      <c r="AS30" s="162"/>
      <c r="AT30" s="339"/>
      <c r="AU30" s="540"/>
      <c r="AV30" s="324"/>
      <c r="AW30" s="162"/>
      <c r="AX30" s="339"/>
      <c r="BG30" s="617"/>
      <c r="BH30" s="621">
        <f>AF30-BG30</f>
        <v>0</v>
      </c>
      <c r="BI30" s="617"/>
      <c r="BJ30" s="621"/>
      <c r="BM30" s="628">
        <f t="shared" si="18"/>
        <v>0</v>
      </c>
      <c r="BN30" s="628">
        <f t="shared" si="11"/>
        <v>0</v>
      </c>
      <c r="BO30" s="535">
        <f t="shared" si="14"/>
        <v>0</v>
      </c>
      <c r="BP30" s="533"/>
      <c r="BQ30" s="617"/>
      <c r="BR30" s="621">
        <f>AP30-BQ30</f>
        <v>0</v>
      </c>
      <c r="BS30" s="617"/>
      <c r="BT30" s="621"/>
    </row>
    <row r="31" spans="1:72" x14ac:dyDescent="0.3">
      <c r="A31" s="1446" t="s">
        <v>166</v>
      </c>
      <c r="B31" s="1385"/>
      <c r="C31" s="1064">
        <v>321</v>
      </c>
      <c r="D31" s="431"/>
      <c r="E31" s="59">
        <f>H31+R31+AL31+AK31</f>
        <v>0</v>
      </c>
      <c r="F31" s="410">
        <f t="shared" si="1"/>
        <v>0</v>
      </c>
      <c r="G31" s="285"/>
      <c r="H31" s="158"/>
      <c r="I31" s="669">
        <f t="shared" si="16"/>
        <v>0</v>
      </c>
      <c r="J31" s="881"/>
      <c r="K31" s="285"/>
      <c r="L31" s="158"/>
      <c r="M31" s="298"/>
      <c r="N31" s="297"/>
      <c r="O31" s="285"/>
      <c r="P31" s="367"/>
      <c r="Q31" s="279"/>
      <c r="R31" s="310"/>
      <c r="S31" s="375"/>
      <c r="T31" s="528"/>
      <c r="U31" s="310"/>
      <c r="V31" s="63"/>
      <c r="W31" s="357">
        <f t="shared" si="2"/>
        <v>0</v>
      </c>
      <c r="X31" s="382"/>
      <c r="Y31" s="153">
        <f>X31-W31</f>
        <v>0</v>
      </c>
      <c r="Z31" s="357">
        <f>X31-W31</f>
        <v>0</v>
      </c>
      <c r="AA31" s="310"/>
      <c r="AB31" s="63"/>
      <c r="AC31" s="360"/>
      <c r="AD31" s="279"/>
      <c r="AE31" s="63"/>
      <c r="AF31" s="360"/>
      <c r="AG31" s="279"/>
      <c r="AH31" s="63"/>
      <c r="AI31" s="360"/>
      <c r="AJ31" s="425"/>
      <c r="AK31" s="395"/>
      <c r="AL31" s="334">
        <v>0</v>
      </c>
      <c r="AM31" s="161">
        <f t="shared" si="17"/>
        <v>0</v>
      </c>
      <c r="AN31" s="1013">
        <f t="shared" si="5"/>
        <v>0</v>
      </c>
      <c r="AO31" s="338"/>
      <c r="AP31" s="162"/>
      <c r="AQ31" s="1019"/>
      <c r="AR31" s="324"/>
      <c r="AS31" s="162"/>
      <c r="AT31" s="339"/>
      <c r="AU31" s="540"/>
      <c r="AV31" s="324"/>
      <c r="AW31" s="162"/>
      <c r="AX31" s="339"/>
      <c r="BG31" s="617"/>
      <c r="BH31" s="621">
        <f>AF31-BG31</f>
        <v>0</v>
      </c>
      <c r="BI31" s="617"/>
      <c r="BJ31" s="621"/>
      <c r="BM31" s="628">
        <f t="shared" si="18"/>
        <v>0</v>
      </c>
      <c r="BN31" s="628">
        <f t="shared" si="11"/>
        <v>0</v>
      </c>
      <c r="BO31" s="535">
        <f t="shared" si="14"/>
        <v>0</v>
      </c>
      <c r="BP31" s="533"/>
      <c r="BQ31" s="617"/>
      <c r="BR31" s="621">
        <f>AP31-BQ31</f>
        <v>0</v>
      </c>
      <c r="BS31" s="617"/>
      <c r="BT31" s="621"/>
    </row>
    <row r="32" spans="1:72" x14ac:dyDescent="0.3">
      <c r="A32" s="1447"/>
      <c r="B32" s="1385"/>
      <c r="C32" s="1064">
        <v>360</v>
      </c>
      <c r="D32" s="431"/>
      <c r="E32" s="59">
        <f>H32+R32+AL32+AK32</f>
        <v>0</v>
      </c>
      <c r="F32" s="410">
        <f t="shared" si="1"/>
        <v>0</v>
      </c>
      <c r="G32" s="285"/>
      <c r="H32" s="158"/>
      <c r="I32" s="669">
        <f t="shared" si="16"/>
        <v>0</v>
      </c>
      <c r="J32" s="881"/>
      <c r="K32" s="285"/>
      <c r="L32" s="158"/>
      <c r="M32" s="298"/>
      <c r="N32" s="297"/>
      <c r="O32" s="285"/>
      <c r="P32" s="367"/>
      <c r="Q32" s="279"/>
      <c r="R32" s="310"/>
      <c r="S32" s="375"/>
      <c r="T32" s="528"/>
      <c r="U32" s="310"/>
      <c r="V32" s="63"/>
      <c r="W32" s="357">
        <f t="shared" si="2"/>
        <v>0</v>
      </c>
      <c r="X32" s="382"/>
      <c r="Y32" s="153">
        <f>X32-W32</f>
        <v>0</v>
      </c>
      <c r="Z32" s="357">
        <f>X32-W32</f>
        <v>0</v>
      </c>
      <c r="AA32" s="310"/>
      <c r="AB32" s="63"/>
      <c r="AC32" s="360"/>
      <c r="AD32" s="279"/>
      <c r="AE32" s="63"/>
      <c r="AF32" s="360"/>
      <c r="AG32" s="279"/>
      <c r="AH32" s="63"/>
      <c r="AI32" s="360"/>
      <c r="AJ32" s="425"/>
      <c r="AK32" s="395"/>
      <c r="AL32" s="334">
        <v>0</v>
      </c>
      <c r="AM32" s="161">
        <f t="shared" si="17"/>
        <v>0</v>
      </c>
      <c r="AN32" s="1013">
        <f t="shared" si="5"/>
        <v>0</v>
      </c>
      <c r="AO32" s="338"/>
      <c r="AP32" s="162"/>
      <c r="AQ32" s="1019"/>
      <c r="AR32" s="324"/>
      <c r="AS32" s="162"/>
      <c r="AT32" s="339"/>
      <c r="AU32" s="540"/>
      <c r="AV32" s="324"/>
      <c r="AW32" s="162"/>
      <c r="AX32" s="339"/>
      <c r="BG32" s="617"/>
      <c r="BH32" s="621">
        <f>AF32-BG32</f>
        <v>0</v>
      </c>
      <c r="BI32" s="617"/>
      <c r="BJ32" s="621"/>
      <c r="BM32" s="628">
        <f t="shared" si="18"/>
        <v>0</v>
      </c>
      <c r="BN32" s="628">
        <f t="shared" si="11"/>
        <v>0</v>
      </c>
      <c r="BO32" s="535">
        <f t="shared" si="14"/>
        <v>0</v>
      </c>
      <c r="BP32" s="533"/>
      <c r="BQ32" s="617"/>
      <c r="BR32" s="621">
        <f>AP32-BQ32</f>
        <v>0</v>
      </c>
      <c r="BS32" s="617"/>
      <c r="BT32" s="621"/>
    </row>
    <row r="33" spans="1:72" s="115" customFormat="1" x14ac:dyDescent="0.3">
      <c r="A33" s="1035" t="s">
        <v>167</v>
      </c>
      <c r="B33" s="1036"/>
      <c r="C33" s="1037">
        <v>800</v>
      </c>
      <c r="D33" s="430">
        <f>D34+D36</f>
        <v>14420120.899999999</v>
      </c>
      <c r="E33" s="59">
        <f>H33+R33+AM33+AK33</f>
        <v>14420120.899999999</v>
      </c>
      <c r="F33" s="410">
        <f t="shared" si="1"/>
        <v>0</v>
      </c>
      <c r="G33" s="157">
        <v>5201007.6000000006</v>
      </c>
      <c r="H33" s="157">
        <f>H34+H36</f>
        <v>5201007.6000000006</v>
      </c>
      <c r="I33" s="669">
        <f t="shared" si="16"/>
        <v>0</v>
      </c>
      <c r="J33" s="882">
        <f>J34+J36</f>
        <v>0</v>
      </c>
      <c r="K33" s="157">
        <f>K34+K36</f>
        <v>3687692.4899999998</v>
      </c>
      <c r="L33" s="157">
        <f>L34+L36</f>
        <v>3687692.4899999998</v>
      </c>
      <c r="M33" s="294">
        <f>L33-K33</f>
        <v>0</v>
      </c>
      <c r="N33" s="283">
        <f>N34+N36</f>
        <v>1513315.11</v>
      </c>
      <c r="O33" s="283">
        <f>O34+O36</f>
        <v>1513315.11</v>
      </c>
      <c r="P33" s="365">
        <f>O33-N33</f>
        <v>0</v>
      </c>
      <c r="Q33" s="276">
        <f>Q35+Q36+Q37</f>
        <v>1914231.98</v>
      </c>
      <c r="R33" s="307">
        <f>R35+R36+R37</f>
        <v>1914231.98</v>
      </c>
      <c r="S33" s="372">
        <f>R33-Q33</f>
        <v>0</v>
      </c>
      <c r="T33" s="525">
        <f>T34+T36</f>
        <v>0</v>
      </c>
      <c r="U33" s="307">
        <v>0</v>
      </c>
      <c r="V33" s="153">
        <f t="shared" ref="V33:AU33" si="21">V34+V36</f>
        <v>0</v>
      </c>
      <c r="W33" s="357">
        <f t="shared" si="2"/>
        <v>0</v>
      </c>
      <c r="X33" s="379">
        <f>X34+X36</f>
        <v>1258487.81</v>
      </c>
      <c r="Y33" s="153">
        <f>Y34+Y36</f>
        <v>1258487.81</v>
      </c>
      <c r="Z33" s="357">
        <f>Z34+Z36</f>
        <v>0</v>
      </c>
      <c r="AA33" s="307">
        <v>655744.17000000004</v>
      </c>
      <c r="AB33" s="153">
        <f t="shared" si="21"/>
        <v>655744.17000000004</v>
      </c>
      <c r="AC33" s="357">
        <f>AB33-AA33</f>
        <v>0</v>
      </c>
      <c r="AD33" s="276"/>
      <c r="AE33" s="153"/>
      <c r="AF33" s="357"/>
      <c r="AG33" s="276"/>
      <c r="AH33" s="153"/>
      <c r="AI33" s="357"/>
      <c r="AJ33" s="422">
        <f t="shared" si="21"/>
        <v>0</v>
      </c>
      <c r="AK33" s="396">
        <f t="shared" si="21"/>
        <v>0</v>
      </c>
      <c r="AL33" s="334">
        <v>7304881.3199999994</v>
      </c>
      <c r="AM33" s="161">
        <f t="shared" si="17"/>
        <v>7304881.3199999994</v>
      </c>
      <c r="AN33" s="1013">
        <f t="shared" si="5"/>
        <v>0</v>
      </c>
      <c r="AO33" s="334">
        <f>AO34+AO36</f>
        <v>6146265.0599999996</v>
      </c>
      <c r="AP33" s="161">
        <f>AP34+AP36</f>
        <v>5729310.8399999999</v>
      </c>
      <c r="AQ33" s="406">
        <f>AP33-AO33</f>
        <v>-416954.21999999974</v>
      </c>
      <c r="AR33" s="161">
        <f t="shared" si="21"/>
        <v>1025616.26</v>
      </c>
      <c r="AS33" s="161">
        <f t="shared" si="21"/>
        <v>1163616.26</v>
      </c>
      <c r="AT33" s="335">
        <f>AS33-AR33</f>
        <v>138000</v>
      </c>
      <c r="AU33" s="539">
        <f t="shared" si="21"/>
        <v>0</v>
      </c>
      <c r="AV33" s="323"/>
      <c r="AW33" s="161">
        <f t="shared" ref="AW33" si="22">AW34+AW36</f>
        <v>411954.22</v>
      </c>
      <c r="AX33" s="335">
        <f>AW33-AV33</f>
        <v>411954.22</v>
      </c>
      <c r="BG33" s="334">
        <f>BG34+BG36</f>
        <v>0</v>
      </c>
      <c r="BH33" s="539">
        <f t="shared" ref="BH33:BJ33" si="23">BH34+BH36</f>
        <v>0</v>
      </c>
      <c r="BI33" s="334">
        <f t="shared" si="23"/>
        <v>508251.94</v>
      </c>
      <c r="BJ33" s="539">
        <f t="shared" si="23"/>
        <v>-508251.94</v>
      </c>
      <c r="BM33" s="628">
        <f t="shared" si="18"/>
        <v>7304881.3199999994</v>
      </c>
      <c r="BN33" s="628">
        <f t="shared" si="11"/>
        <v>5603626.8600000003</v>
      </c>
      <c r="BO33" s="535">
        <f t="shared" si="14"/>
        <v>1701254.459999999</v>
      </c>
      <c r="BP33" s="334">
        <f>BP34+BP36</f>
        <v>6011062.4199999999</v>
      </c>
      <c r="BQ33" s="334">
        <f>BQ34+BQ36</f>
        <v>5095374.92</v>
      </c>
      <c r="BR33" s="539">
        <f t="shared" ref="BR33:BT33" si="24">BR34+BR36</f>
        <v>1050890.1399999997</v>
      </c>
      <c r="BS33" s="334">
        <f t="shared" si="24"/>
        <v>508251.94</v>
      </c>
      <c r="BT33" s="539">
        <f t="shared" si="24"/>
        <v>517364.32</v>
      </c>
    </row>
    <row r="34" spans="1:72" s="115" customFormat="1" x14ac:dyDescent="0.3">
      <c r="A34" s="1035" t="s">
        <v>168</v>
      </c>
      <c r="B34" s="1036"/>
      <c r="C34" s="1037">
        <v>830</v>
      </c>
      <c r="D34" s="59">
        <v>500000</v>
      </c>
      <c r="E34" s="59">
        <f>H34+R34+AM34+AK34</f>
        <v>500000</v>
      </c>
      <c r="F34" s="410">
        <f t="shared" si="1"/>
        <v>0</v>
      </c>
      <c r="G34" s="283">
        <f>SUM(G35)</f>
        <v>0</v>
      </c>
      <c r="H34" s="157"/>
      <c r="I34" s="669">
        <f t="shared" si="16"/>
        <v>0</v>
      </c>
      <c r="J34" s="882"/>
      <c r="K34" s="283"/>
      <c r="L34" s="157"/>
      <c r="M34" s="294"/>
      <c r="N34" s="293"/>
      <c r="O34" s="283"/>
      <c r="P34" s="365"/>
      <c r="Q34" s="276"/>
      <c r="R34" s="307"/>
      <c r="S34" s="372"/>
      <c r="T34" s="525"/>
      <c r="U34" s="307">
        <v>0</v>
      </c>
      <c r="V34" s="153">
        <f t="shared" ref="V34:AU34" si="25">SUM(V35)</f>
        <v>0</v>
      </c>
      <c r="W34" s="357">
        <f t="shared" si="2"/>
        <v>0</v>
      </c>
      <c r="X34" s="379">
        <f t="shared" si="25"/>
        <v>0</v>
      </c>
      <c r="Y34" s="153">
        <f>X34-W34</f>
        <v>0</v>
      </c>
      <c r="Z34" s="357">
        <f>X34-W34</f>
        <v>0</v>
      </c>
      <c r="AA34" s="307"/>
      <c r="AB34" s="153"/>
      <c r="AC34" s="357"/>
      <c r="AD34" s="276"/>
      <c r="AE34" s="153"/>
      <c r="AF34" s="357"/>
      <c r="AG34" s="276"/>
      <c r="AH34" s="153"/>
      <c r="AI34" s="357"/>
      <c r="AJ34" s="422">
        <f t="shared" si="25"/>
        <v>0</v>
      </c>
      <c r="AK34" s="396">
        <f t="shared" si="25"/>
        <v>0</v>
      </c>
      <c r="AL34" s="334">
        <v>500000</v>
      </c>
      <c r="AM34" s="161">
        <f t="shared" si="17"/>
        <v>500000</v>
      </c>
      <c r="AN34" s="1013">
        <f t="shared" si="5"/>
        <v>0</v>
      </c>
      <c r="AO34" s="334">
        <v>500000</v>
      </c>
      <c r="AP34" s="161">
        <f>AP35</f>
        <v>500000</v>
      </c>
      <c r="AQ34" s="406"/>
      <c r="AR34" s="323"/>
      <c r="AS34" s="161"/>
      <c r="AT34" s="335"/>
      <c r="AU34" s="539">
        <f t="shared" si="25"/>
        <v>0</v>
      </c>
      <c r="AV34" s="323"/>
      <c r="AW34" s="161"/>
      <c r="AX34" s="335"/>
      <c r="AZ34" s="1065" t="s">
        <v>237</v>
      </c>
      <c r="BG34" s="617"/>
      <c r="BH34" s="621">
        <f>BH35</f>
        <v>0</v>
      </c>
      <c r="BI34" s="617"/>
      <c r="BJ34" s="621"/>
      <c r="BM34" s="629">
        <f t="shared" si="18"/>
        <v>500000</v>
      </c>
      <c r="BN34" s="629">
        <f t="shared" si="11"/>
        <v>207144.42</v>
      </c>
      <c r="BO34" s="533">
        <f t="shared" si="14"/>
        <v>292855.57999999996</v>
      </c>
      <c r="BP34" s="533">
        <f>BP35</f>
        <v>207144.42</v>
      </c>
      <c r="BQ34" s="617">
        <f>BQ35</f>
        <v>207144.42</v>
      </c>
      <c r="BR34" s="621">
        <f>BR35</f>
        <v>292855.57999999996</v>
      </c>
      <c r="BS34" s="617"/>
      <c r="BT34" s="621"/>
    </row>
    <row r="35" spans="1:72" ht="63" x14ac:dyDescent="0.3">
      <c r="A35" s="1038" t="s">
        <v>169</v>
      </c>
      <c r="B35" s="1039"/>
      <c r="C35" s="1040">
        <v>831</v>
      </c>
      <c r="D35" s="64">
        <v>500000</v>
      </c>
      <c r="E35" s="64">
        <f>H35+R35+AM35+AK35</f>
        <v>500000</v>
      </c>
      <c r="F35" s="411">
        <f t="shared" si="1"/>
        <v>0</v>
      </c>
      <c r="G35" s="285"/>
      <c r="H35" s="158"/>
      <c r="I35" s="669">
        <f t="shared" si="16"/>
        <v>0</v>
      </c>
      <c r="J35" s="881"/>
      <c r="K35" s="285"/>
      <c r="L35" s="158"/>
      <c r="M35" s="298"/>
      <c r="N35" s="297"/>
      <c r="O35" s="285"/>
      <c r="P35" s="367"/>
      <c r="Q35" s="279"/>
      <c r="R35" s="310"/>
      <c r="S35" s="375"/>
      <c r="T35" s="528"/>
      <c r="U35" s="310"/>
      <c r="V35" s="63"/>
      <c r="W35" s="357">
        <f t="shared" si="2"/>
        <v>0</v>
      </c>
      <c r="X35" s="382"/>
      <c r="Y35" s="153">
        <f>X35-W35</f>
        <v>0</v>
      </c>
      <c r="Z35" s="357">
        <f>X35-W35</f>
        <v>0</v>
      </c>
      <c r="AA35" s="310"/>
      <c r="AB35" s="63"/>
      <c r="AC35" s="360"/>
      <c r="AD35" s="279"/>
      <c r="AE35" s="63"/>
      <c r="AF35" s="360"/>
      <c r="AG35" s="279"/>
      <c r="AH35" s="63"/>
      <c r="AI35" s="360"/>
      <c r="AJ35" s="425"/>
      <c r="AK35" s="395"/>
      <c r="AL35" s="334">
        <v>500000</v>
      </c>
      <c r="AM35" s="161">
        <f t="shared" si="17"/>
        <v>500000</v>
      </c>
      <c r="AN35" s="1013">
        <f t="shared" si="5"/>
        <v>0</v>
      </c>
      <c r="AO35" s="338">
        <v>500000</v>
      </c>
      <c r="AP35" s="162">
        <v>500000</v>
      </c>
      <c r="AQ35" s="1019"/>
      <c r="AR35" s="324"/>
      <c r="AS35" s="162"/>
      <c r="AT35" s="339"/>
      <c r="AU35" s="540"/>
      <c r="AV35" s="324"/>
      <c r="AW35" s="162"/>
      <c r="AX35" s="339"/>
      <c r="AZ35" s="122">
        <v>15000</v>
      </c>
      <c r="BA35" s="1065">
        <v>831</v>
      </c>
      <c r="BG35" s="617"/>
      <c r="BH35" s="621">
        <f>AE35-BG35</f>
        <v>0</v>
      </c>
      <c r="BI35" s="617"/>
      <c r="BJ35" s="621"/>
      <c r="BM35" s="629">
        <f t="shared" si="18"/>
        <v>500000</v>
      </c>
      <c r="BN35" s="629">
        <f t="shared" si="11"/>
        <v>207144.42</v>
      </c>
      <c r="BO35" s="533">
        <f t="shared" si="14"/>
        <v>292855.57999999996</v>
      </c>
      <c r="BP35" s="533">
        <f>BN35</f>
        <v>207144.42</v>
      </c>
      <c r="BQ35" s="617">
        <v>207144.42</v>
      </c>
      <c r="BR35" s="621">
        <f>AO35-BQ35</f>
        <v>292855.57999999996</v>
      </c>
      <c r="BS35" s="617"/>
      <c r="BT35" s="621"/>
    </row>
    <row r="36" spans="1:72" s="115" customFormat="1" ht="33" customHeight="1" x14ac:dyDescent="0.3">
      <c r="A36" s="441" t="s">
        <v>170</v>
      </c>
      <c r="B36" s="1424">
        <v>230</v>
      </c>
      <c r="C36" s="436">
        <v>850</v>
      </c>
      <c r="D36" s="430">
        <f>D38+D39+D40</f>
        <v>13920120.899999999</v>
      </c>
      <c r="E36" s="59">
        <f>H36+R36+AM36+AK36</f>
        <v>13920120.899999999</v>
      </c>
      <c r="F36" s="410">
        <f t="shared" si="1"/>
        <v>0</v>
      </c>
      <c r="G36" s="157">
        <v>5201007.6000000006</v>
      </c>
      <c r="H36" s="157">
        <f>SUM(H38:H40)</f>
        <v>5201007.6000000006</v>
      </c>
      <c r="I36" s="669">
        <f t="shared" si="16"/>
        <v>0</v>
      </c>
      <c r="J36" s="882">
        <f>SUM(J38:J40)</f>
        <v>0</v>
      </c>
      <c r="K36" s="283">
        <f>K38+K39+K40</f>
        <v>3687692.4899999998</v>
      </c>
      <c r="L36" s="157">
        <f>L38+L39+L40</f>
        <v>3687692.4899999998</v>
      </c>
      <c r="M36" s="294">
        <f>L36-K36</f>
        <v>0</v>
      </c>
      <c r="N36" s="283">
        <f>SUM(N38:N40)</f>
        <v>1513315.11</v>
      </c>
      <c r="O36" s="283">
        <f>SUM(O38:O40)</f>
        <v>1513315.11</v>
      </c>
      <c r="P36" s="365">
        <f>O36-N36</f>
        <v>0</v>
      </c>
      <c r="Q36" s="276">
        <f t="shared" ref="Q36:AB36" si="26">Q38+Q39+Q40</f>
        <v>1914231.98</v>
      </c>
      <c r="R36" s="307">
        <f t="shared" si="26"/>
        <v>1914231.98</v>
      </c>
      <c r="S36" s="372">
        <f>R36-Q36</f>
        <v>0</v>
      </c>
      <c r="T36" s="525">
        <f t="shared" si="26"/>
        <v>0</v>
      </c>
      <c r="U36" s="307">
        <v>0</v>
      </c>
      <c r="V36" s="153">
        <f t="shared" si="26"/>
        <v>0</v>
      </c>
      <c r="W36" s="357">
        <f t="shared" si="2"/>
        <v>0</v>
      </c>
      <c r="X36" s="379">
        <f>X38+X39+X40</f>
        <v>1258487.81</v>
      </c>
      <c r="Y36" s="153">
        <f>Y38+Y39+Y40</f>
        <v>1258487.81</v>
      </c>
      <c r="Z36" s="357">
        <f>Z38+Z39+Z40</f>
        <v>0</v>
      </c>
      <c r="AA36" s="307">
        <v>655744.17000000004</v>
      </c>
      <c r="AB36" s="153">
        <f t="shared" si="26"/>
        <v>655744.17000000004</v>
      </c>
      <c r="AC36" s="357">
        <f>AB36-AA36</f>
        <v>0</v>
      </c>
      <c r="AD36" s="276"/>
      <c r="AE36" s="153"/>
      <c r="AF36" s="357"/>
      <c r="AG36" s="276"/>
      <c r="AH36" s="153"/>
      <c r="AI36" s="357"/>
      <c r="AJ36" s="422">
        <f>AJ38+AJ39+AJ40</f>
        <v>0</v>
      </c>
      <c r="AK36" s="396">
        <f>SUM(AK37:AK40)</f>
        <v>0</v>
      </c>
      <c r="AL36" s="334">
        <v>6804881.3199999994</v>
      </c>
      <c r="AM36" s="161">
        <f t="shared" si="17"/>
        <v>6804881.3199999994</v>
      </c>
      <c r="AN36" s="1013">
        <f t="shared" si="5"/>
        <v>0</v>
      </c>
      <c r="AO36" s="334">
        <f>AO38+AO39+AO40</f>
        <v>5646265.0599999996</v>
      </c>
      <c r="AP36" s="161">
        <f>AP38+AP39+AP40</f>
        <v>5229310.84</v>
      </c>
      <c r="AQ36" s="406">
        <f>AP36-AO36</f>
        <v>-416954.21999999974</v>
      </c>
      <c r="AR36" s="161">
        <f>AR38+AR39+AR40</f>
        <v>1025616.26</v>
      </c>
      <c r="AS36" s="161">
        <f>AS38+AS39+AS40</f>
        <v>1163616.26</v>
      </c>
      <c r="AT36" s="335">
        <f>AS36-AR36</f>
        <v>138000</v>
      </c>
      <c r="AU36" s="539">
        <f>AU38+AU39+AU40</f>
        <v>0</v>
      </c>
      <c r="AV36" s="323"/>
      <c r="AW36" s="161">
        <f>AW38+AW39+AW40</f>
        <v>411954.22</v>
      </c>
      <c r="AX36" s="335">
        <f>AW36-AV36</f>
        <v>411954.22</v>
      </c>
      <c r="BG36" s="334">
        <f>BG38+BG39+BG40</f>
        <v>0</v>
      </c>
      <c r="BH36" s="539">
        <f t="shared" ref="BH36:BJ36" si="27">BH38+BH39+BH40</f>
        <v>0</v>
      </c>
      <c r="BI36" s="334">
        <f t="shared" si="27"/>
        <v>508251.94</v>
      </c>
      <c r="BJ36" s="539">
        <f t="shared" si="27"/>
        <v>-508251.94</v>
      </c>
      <c r="BM36" s="628">
        <f t="shared" si="18"/>
        <v>6804881.3199999994</v>
      </c>
      <c r="BN36" s="628">
        <f t="shared" si="11"/>
        <v>5396482.4400000004</v>
      </c>
      <c r="BO36" s="535">
        <f t="shared" si="14"/>
        <v>1408398.879999999</v>
      </c>
      <c r="BP36" s="334">
        <f>BP38+BP39+BP40</f>
        <v>5803918</v>
      </c>
      <c r="BQ36" s="334">
        <f>BQ38+BQ39+BQ40</f>
        <v>4888230.5</v>
      </c>
      <c r="BR36" s="539">
        <f t="shared" ref="BR36:BT36" si="28">BR38+BR39+BR40</f>
        <v>758034.55999999959</v>
      </c>
      <c r="BS36" s="334">
        <f t="shared" si="28"/>
        <v>508251.94</v>
      </c>
      <c r="BT36" s="539">
        <f t="shared" si="28"/>
        <v>517364.32</v>
      </c>
    </row>
    <row r="37" spans="1:72" x14ac:dyDescent="0.3">
      <c r="A37" s="437" t="s">
        <v>92</v>
      </c>
      <c r="B37" s="1422"/>
      <c r="C37" s="438"/>
      <c r="D37" s="431"/>
      <c r="E37" s="59">
        <f>H37+R37+AL37+AK37</f>
        <v>0</v>
      </c>
      <c r="F37" s="410">
        <f t="shared" si="1"/>
        <v>0</v>
      </c>
      <c r="G37" s="285"/>
      <c r="H37" s="158"/>
      <c r="I37" s="669">
        <f t="shared" si="16"/>
        <v>0</v>
      </c>
      <c r="J37" s="881"/>
      <c r="K37" s="285"/>
      <c r="L37" s="158"/>
      <c r="M37" s="298"/>
      <c r="N37" s="297"/>
      <c r="O37" s="285"/>
      <c r="P37" s="367"/>
      <c r="Q37" s="279"/>
      <c r="R37" s="310"/>
      <c r="S37" s="375"/>
      <c r="T37" s="528"/>
      <c r="U37" s="310"/>
      <c r="V37" s="63"/>
      <c r="W37" s="357">
        <f t="shared" si="2"/>
        <v>0</v>
      </c>
      <c r="X37" s="382"/>
      <c r="Y37" s="153">
        <f>X37-W37</f>
        <v>0</v>
      </c>
      <c r="Z37" s="357">
        <f>X37-W37</f>
        <v>0</v>
      </c>
      <c r="AA37" s="310"/>
      <c r="AB37" s="63"/>
      <c r="AC37" s="360"/>
      <c r="AD37" s="279"/>
      <c r="AE37" s="63"/>
      <c r="AF37" s="360"/>
      <c r="AG37" s="279"/>
      <c r="AH37" s="63"/>
      <c r="AI37" s="360"/>
      <c r="AJ37" s="425"/>
      <c r="AK37" s="395"/>
      <c r="AL37" s="334">
        <v>0</v>
      </c>
      <c r="AM37" s="161">
        <f t="shared" si="17"/>
        <v>0</v>
      </c>
      <c r="AN37" s="1013">
        <f t="shared" si="5"/>
        <v>0</v>
      </c>
      <c r="AO37" s="338"/>
      <c r="AP37" s="162"/>
      <c r="AQ37" s="1019"/>
      <c r="AR37" s="324"/>
      <c r="AS37" s="162"/>
      <c r="AT37" s="339"/>
      <c r="AU37" s="540"/>
      <c r="AV37" s="324"/>
      <c r="AW37" s="162"/>
      <c r="AX37" s="339"/>
      <c r="AZ37" s="1065" t="s">
        <v>237</v>
      </c>
      <c r="BA37" s="1065" t="s">
        <v>197</v>
      </c>
      <c r="BB37" s="1065" t="s">
        <v>237</v>
      </c>
      <c r="BC37" s="1065"/>
      <c r="BD37" s="1065"/>
      <c r="BE37" s="1065"/>
      <c r="BF37" s="1065"/>
      <c r="BG37" s="617"/>
      <c r="BH37" s="621">
        <f>AF37-BG37</f>
        <v>0</v>
      </c>
      <c r="BI37" s="617"/>
      <c r="BJ37" s="621"/>
      <c r="BK37" s="1065"/>
      <c r="BL37" s="1065"/>
      <c r="BM37" s="628">
        <f t="shared" si="18"/>
        <v>0</v>
      </c>
      <c r="BN37" s="628">
        <f t="shared" si="11"/>
        <v>0</v>
      </c>
      <c r="BO37" s="535">
        <f t="shared" si="14"/>
        <v>0</v>
      </c>
      <c r="BP37" s="533"/>
      <c r="BQ37" s="617"/>
      <c r="BR37" s="621">
        <f>AP37-BQ37</f>
        <v>0</v>
      </c>
      <c r="BS37" s="617"/>
      <c r="BT37" s="621"/>
    </row>
    <row r="38" spans="1:72" ht="31.5" x14ac:dyDescent="0.3">
      <c r="A38" s="437" t="s">
        <v>171</v>
      </c>
      <c r="B38" s="1422"/>
      <c r="C38" s="1064">
        <v>851</v>
      </c>
      <c r="D38" s="431">
        <v>12367210.869999999</v>
      </c>
      <c r="E38" s="64">
        <f>H38+R38+AM38+AK38</f>
        <v>12367210.870000001</v>
      </c>
      <c r="F38" s="411">
        <f t="shared" si="1"/>
        <v>0</v>
      </c>
      <c r="G38" s="285">
        <v>4890097.57</v>
      </c>
      <c r="H38" s="158">
        <f>J38+L38+O38</f>
        <v>4890097.57</v>
      </c>
      <c r="I38" s="669">
        <f t="shared" si="16"/>
        <v>0</v>
      </c>
      <c r="J38" s="881"/>
      <c r="K38" s="285">
        <v>3376782.46</v>
      </c>
      <c r="L38" s="158">
        <v>3376782.46</v>
      </c>
      <c r="M38" s="298">
        <f>L38-K38</f>
        <v>0</v>
      </c>
      <c r="N38" s="285">
        <v>1513315.11</v>
      </c>
      <c r="O38" s="285">
        <v>1513315.11</v>
      </c>
      <c r="P38" s="367">
        <f>O38-N38</f>
        <v>0</v>
      </c>
      <c r="Q38" s="279">
        <v>1914231.98</v>
      </c>
      <c r="R38" s="310">
        <f>T38+V38+Y38+AB38+AE38+AH38</f>
        <v>1914231.98</v>
      </c>
      <c r="S38" s="375">
        <f>R38-Q38</f>
        <v>0</v>
      </c>
      <c r="T38" s="528"/>
      <c r="U38" s="310"/>
      <c r="V38" s="63"/>
      <c r="W38" s="357">
        <f t="shared" si="2"/>
        <v>0</v>
      </c>
      <c r="X38" s="379">
        <v>1258487.81</v>
      </c>
      <c r="Y38" s="153">
        <v>1258487.81</v>
      </c>
      <c r="Z38" s="357"/>
      <c r="AA38" s="310">
        <v>655744.17000000004</v>
      </c>
      <c r="AB38" s="63">
        <v>655744.17000000004</v>
      </c>
      <c r="AC38" s="360">
        <f>AB38-AA38</f>
        <v>0</v>
      </c>
      <c r="AD38" s="279"/>
      <c r="AE38" s="63"/>
      <c r="AF38" s="360"/>
      <c r="AG38" s="279"/>
      <c r="AH38" s="63"/>
      <c r="AI38" s="360"/>
      <c r="AJ38" s="425"/>
      <c r="AK38" s="395"/>
      <c r="AL38" s="334">
        <v>5562881.3199999994</v>
      </c>
      <c r="AM38" s="161">
        <f t="shared" si="17"/>
        <v>5562881.3199999994</v>
      </c>
      <c r="AN38" s="1013">
        <f t="shared" si="5"/>
        <v>0</v>
      </c>
      <c r="AO38" s="338">
        <v>4579265.0599999996</v>
      </c>
      <c r="AP38" s="162">
        <v>4167310.84</v>
      </c>
      <c r="AQ38" s="1019">
        <f>AP38-AO38</f>
        <v>-411954.21999999974</v>
      </c>
      <c r="AR38" s="324">
        <v>983616.26</v>
      </c>
      <c r="AS38" s="162">
        <v>983616.26</v>
      </c>
      <c r="AT38" s="339">
        <f>AS38-AR38</f>
        <v>0</v>
      </c>
      <c r="AU38" s="540"/>
      <c r="AV38" s="324"/>
      <c r="AW38" s="162">
        <v>411954.22</v>
      </c>
      <c r="AX38" s="339">
        <f>AW38-AV38</f>
        <v>411954.22</v>
      </c>
      <c r="AZ38" s="122">
        <v>2116229.66</v>
      </c>
      <c r="BA38" s="122">
        <v>-2116229.66</v>
      </c>
      <c r="BB38" s="610"/>
      <c r="BC38" s="635"/>
      <c r="BD38" s="635"/>
      <c r="BE38" s="635"/>
      <c r="BF38" s="635"/>
      <c r="BG38" s="617"/>
      <c r="BH38" s="621">
        <f>AE38-BG38</f>
        <v>0</v>
      </c>
      <c r="BI38" s="617">
        <v>383344</v>
      </c>
      <c r="BJ38" s="621">
        <f>AH38-BI38</f>
        <v>-383344</v>
      </c>
      <c r="BK38" s="635"/>
      <c r="BL38" s="635"/>
      <c r="BM38" s="629">
        <f t="shared" si="18"/>
        <v>5562881.3199999994</v>
      </c>
      <c r="BN38" s="629">
        <f t="shared" si="11"/>
        <v>4561918</v>
      </c>
      <c r="BO38" s="533">
        <f t="shared" si="14"/>
        <v>1000963.3199999994</v>
      </c>
      <c r="BP38" s="533">
        <f>BN38</f>
        <v>4561918</v>
      </c>
      <c r="BQ38" s="617">
        <v>4178574</v>
      </c>
      <c r="BR38" s="621">
        <f>AO38-BQ38</f>
        <v>400691.05999999959</v>
      </c>
      <c r="BS38" s="617">
        <v>383344</v>
      </c>
      <c r="BT38" s="621">
        <f>AR38-BS38</f>
        <v>600272.26</v>
      </c>
    </row>
    <row r="39" spans="1:72" x14ac:dyDescent="0.3">
      <c r="A39" s="437" t="s">
        <v>172</v>
      </c>
      <c r="B39" s="1422"/>
      <c r="C39" s="1064">
        <v>852</v>
      </c>
      <c r="D39" s="431">
        <v>844267.46</v>
      </c>
      <c r="E39" s="64">
        <f>H39+R39+AM39+AK39</f>
        <v>844267.46</v>
      </c>
      <c r="F39" s="410">
        <f t="shared" si="1"/>
        <v>0</v>
      </c>
      <c r="G39" s="285">
        <v>209267.46000000002</v>
      </c>
      <c r="H39" s="158">
        <f t="shared" ref="H39:H40" si="29">J39+L39+O39</f>
        <v>209267.46</v>
      </c>
      <c r="I39" s="669">
        <f t="shared" si="16"/>
        <v>0</v>
      </c>
      <c r="J39" s="881"/>
      <c r="K39" s="285">
        <v>209267.46000000002</v>
      </c>
      <c r="L39" s="158">
        <v>209267.46</v>
      </c>
      <c r="M39" s="298">
        <f>L39-K39</f>
        <v>0</v>
      </c>
      <c r="N39" s="297"/>
      <c r="O39" s="285"/>
      <c r="P39" s="367"/>
      <c r="Q39" s="279">
        <v>0</v>
      </c>
      <c r="R39" s="310">
        <f>T39+V39+X39+AB39+AE39+AH39</f>
        <v>0</v>
      </c>
      <c r="S39" s="375">
        <f>R39-Q39</f>
        <v>0</v>
      </c>
      <c r="T39" s="528"/>
      <c r="U39" s="310"/>
      <c r="V39" s="63"/>
      <c r="W39" s="357">
        <f t="shared" si="2"/>
        <v>0</v>
      </c>
      <c r="X39" s="382"/>
      <c r="Y39" s="153">
        <f t="shared" ref="Y39:Y44" si="30">X39-W39</f>
        <v>0</v>
      </c>
      <c r="Z39" s="357">
        <f t="shared" ref="Z39:Z44" si="31">X39-W39</f>
        <v>0</v>
      </c>
      <c r="AA39" s="310"/>
      <c r="AB39" s="63"/>
      <c r="AC39" s="360">
        <f>AB39-AA39</f>
        <v>0</v>
      </c>
      <c r="AD39" s="279"/>
      <c r="AE39" s="63"/>
      <c r="AF39" s="360"/>
      <c r="AG39" s="279"/>
      <c r="AH39" s="63"/>
      <c r="AI39" s="360"/>
      <c r="AJ39" s="425"/>
      <c r="AK39" s="395"/>
      <c r="AL39" s="334">
        <v>635000</v>
      </c>
      <c r="AM39" s="161">
        <f t="shared" si="17"/>
        <v>635000</v>
      </c>
      <c r="AN39" s="1013">
        <f t="shared" si="5"/>
        <v>0</v>
      </c>
      <c r="AO39" s="338">
        <v>485000</v>
      </c>
      <c r="AP39" s="162">
        <v>485000</v>
      </c>
      <c r="AQ39" s="1019">
        <f>AP39-AO39</f>
        <v>0</v>
      </c>
      <c r="AR39" s="324">
        <v>35000</v>
      </c>
      <c r="AS39" s="162">
        <v>150000</v>
      </c>
      <c r="AT39" s="339">
        <f>AS39-AR39</f>
        <v>115000</v>
      </c>
      <c r="AU39" s="540"/>
      <c r="AV39" s="324"/>
      <c r="AW39" s="162"/>
      <c r="AX39" s="339">
        <f>AW39-AV39</f>
        <v>0</v>
      </c>
      <c r="AZ39" s="122">
        <v>-75470.62</v>
      </c>
      <c r="BA39" s="122"/>
      <c r="BB39" s="610">
        <v>-49993.01</v>
      </c>
      <c r="BC39" s="635"/>
      <c r="BD39" s="635"/>
      <c r="BE39" s="635"/>
      <c r="BF39" s="635"/>
      <c r="BG39" s="617"/>
      <c r="BH39" s="621">
        <f t="shared" ref="BH39:BH40" si="32">AE39-BG39</f>
        <v>0</v>
      </c>
      <c r="BI39" s="617">
        <v>27119</v>
      </c>
      <c r="BJ39" s="621">
        <f t="shared" ref="BJ39:BJ40" si="33">AH39-BI39</f>
        <v>-27119</v>
      </c>
      <c r="BK39" s="635"/>
      <c r="BL39" s="635"/>
      <c r="BM39" s="629">
        <f t="shared" si="18"/>
        <v>635000</v>
      </c>
      <c r="BN39" s="629">
        <f t="shared" si="11"/>
        <v>234308.25</v>
      </c>
      <c r="BO39" s="533">
        <f t="shared" si="14"/>
        <v>400691.75</v>
      </c>
      <c r="BP39" s="533">
        <f>BM39</f>
        <v>635000</v>
      </c>
      <c r="BQ39" s="617">
        <f>272189.25-65000</f>
        <v>207189.25</v>
      </c>
      <c r="BR39" s="621">
        <f t="shared" ref="BR39:BR40" si="34">AO39-BQ39</f>
        <v>277810.75</v>
      </c>
      <c r="BS39" s="617">
        <v>27119</v>
      </c>
      <c r="BT39" s="621">
        <f t="shared" ref="BT39:BT40" si="35">AR39-BS39</f>
        <v>7881</v>
      </c>
    </row>
    <row r="40" spans="1:72" ht="18.75" customHeight="1" x14ac:dyDescent="0.3">
      <c r="A40" s="437" t="s">
        <v>173</v>
      </c>
      <c r="B40" s="1423"/>
      <c r="C40" s="1064">
        <v>853</v>
      </c>
      <c r="D40" s="431">
        <v>708642.57</v>
      </c>
      <c r="E40" s="64">
        <f>H40+R40+AM40+AK40</f>
        <v>708642.57000000007</v>
      </c>
      <c r="F40" s="410">
        <f t="shared" si="1"/>
        <v>0</v>
      </c>
      <c r="G40" s="285">
        <v>101642.56999999999</v>
      </c>
      <c r="H40" s="158">
        <f t="shared" si="29"/>
        <v>101642.57</v>
      </c>
      <c r="I40" s="669">
        <f t="shared" si="16"/>
        <v>0</v>
      </c>
      <c r="J40" s="881"/>
      <c r="K40" s="285">
        <v>101642.56999999999</v>
      </c>
      <c r="L40" s="158">
        <v>101642.57</v>
      </c>
      <c r="M40" s="298">
        <f>L40-K40</f>
        <v>0</v>
      </c>
      <c r="N40" s="297"/>
      <c r="O40" s="285"/>
      <c r="P40" s="367"/>
      <c r="Q40" s="279"/>
      <c r="R40" s="310"/>
      <c r="S40" s="375"/>
      <c r="T40" s="528"/>
      <c r="U40" s="310"/>
      <c r="V40" s="63"/>
      <c r="W40" s="357">
        <f t="shared" si="2"/>
        <v>0</v>
      </c>
      <c r="X40" s="382"/>
      <c r="Y40" s="153">
        <f t="shared" si="30"/>
        <v>0</v>
      </c>
      <c r="Z40" s="357">
        <f t="shared" si="31"/>
        <v>0</v>
      </c>
      <c r="AA40" s="310"/>
      <c r="AB40" s="63"/>
      <c r="AC40" s="360"/>
      <c r="AD40" s="279"/>
      <c r="AE40" s="63"/>
      <c r="AF40" s="360"/>
      <c r="AG40" s="279"/>
      <c r="AH40" s="63"/>
      <c r="AI40" s="360"/>
      <c r="AJ40" s="425"/>
      <c r="AK40" s="395"/>
      <c r="AL40" s="334">
        <v>607000</v>
      </c>
      <c r="AM40" s="161">
        <f t="shared" si="17"/>
        <v>607000</v>
      </c>
      <c r="AN40" s="1013">
        <f t="shared" si="5"/>
        <v>0</v>
      </c>
      <c r="AO40" s="338">
        <v>582000</v>
      </c>
      <c r="AP40" s="162">
        <v>577000</v>
      </c>
      <c r="AQ40" s="1019">
        <f>AP40-AO40</f>
        <v>-5000</v>
      </c>
      <c r="AR40" s="324">
        <v>7000</v>
      </c>
      <c r="AS40" s="162">
        <v>30000</v>
      </c>
      <c r="AT40" s="339">
        <f>AS40-AR40</f>
        <v>23000</v>
      </c>
      <c r="AU40" s="540"/>
      <c r="AV40" s="324"/>
      <c r="AW40" s="162"/>
      <c r="AX40" s="339">
        <f>AW40-AV40</f>
        <v>0</v>
      </c>
      <c r="AZ40" s="122">
        <v>75470.62</v>
      </c>
      <c r="BA40" s="122"/>
      <c r="BB40" s="610">
        <v>49993.01</v>
      </c>
      <c r="BC40" s="635"/>
      <c r="BD40" s="635"/>
      <c r="BE40" s="635"/>
      <c r="BF40" s="635"/>
      <c r="BG40" s="617"/>
      <c r="BH40" s="621">
        <f t="shared" si="32"/>
        <v>0</v>
      </c>
      <c r="BI40" s="617">
        <v>97788.94</v>
      </c>
      <c r="BJ40" s="621">
        <f t="shared" si="33"/>
        <v>-97788.94</v>
      </c>
      <c r="BK40" s="635"/>
      <c r="BL40" s="635"/>
      <c r="BM40" s="629">
        <f t="shared" si="18"/>
        <v>607000</v>
      </c>
      <c r="BN40" s="629">
        <f t="shared" si="11"/>
        <v>600256.18999999994</v>
      </c>
      <c r="BO40" s="533">
        <f t="shared" si="14"/>
        <v>6743.8100000000559</v>
      </c>
      <c r="BP40" s="533">
        <f>BM40</f>
        <v>607000</v>
      </c>
      <c r="BQ40" s="617">
        <f>502467.25</f>
        <v>502467.25</v>
      </c>
      <c r="BR40" s="621">
        <f t="shared" si="34"/>
        <v>79532.75</v>
      </c>
      <c r="BS40" s="617">
        <v>97788.94</v>
      </c>
      <c r="BT40" s="621">
        <f t="shared" si="35"/>
        <v>-90788.94</v>
      </c>
    </row>
    <row r="41" spans="1:72" x14ac:dyDescent="0.3">
      <c r="A41" s="437" t="s">
        <v>174</v>
      </c>
      <c r="B41" s="1062">
        <v>240</v>
      </c>
      <c r="C41" s="1064">
        <v>853</v>
      </c>
      <c r="D41" s="431"/>
      <c r="E41" s="59">
        <f>H41+R41+AL41+AK41</f>
        <v>0</v>
      </c>
      <c r="F41" s="410">
        <f t="shared" si="1"/>
        <v>0</v>
      </c>
      <c r="G41" s="285"/>
      <c r="H41" s="158"/>
      <c r="I41" s="669">
        <f t="shared" si="16"/>
        <v>0</v>
      </c>
      <c r="J41" s="881"/>
      <c r="K41" s="285"/>
      <c r="L41" s="158"/>
      <c r="M41" s="298"/>
      <c r="N41" s="297"/>
      <c r="O41" s="285"/>
      <c r="P41" s="367"/>
      <c r="Q41" s="279"/>
      <c r="R41" s="310"/>
      <c r="S41" s="375"/>
      <c r="T41" s="528"/>
      <c r="U41" s="310"/>
      <c r="V41" s="63"/>
      <c r="W41" s="357">
        <f t="shared" si="2"/>
        <v>0</v>
      </c>
      <c r="X41" s="382"/>
      <c r="Y41" s="153">
        <f t="shared" si="30"/>
        <v>0</v>
      </c>
      <c r="Z41" s="357">
        <f t="shared" si="31"/>
        <v>0</v>
      </c>
      <c r="AA41" s="310"/>
      <c r="AB41" s="63"/>
      <c r="AC41" s="360"/>
      <c r="AD41" s="279"/>
      <c r="AE41" s="63"/>
      <c r="AF41" s="360"/>
      <c r="AG41" s="279"/>
      <c r="AH41" s="63"/>
      <c r="AI41" s="360"/>
      <c r="AJ41" s="425"/>
      <c r="AK41" s="395"/>
      <c r="AL41" s="334">
        <v>0</v>
      </c>
      <c r="AM41" s="161">
        <f t="shared" si="17"/>
        <v>0</v>
      </c>
      <c r="AN41" s="1013">
        <f t="shared" si="5"/>
        <v>0</v>
      </c>
      <c r="AO41" s="338"/>
      <c r="AP41" s="162"/>
      <c r="AQ41" s="1019"/>
      <c r="AR41" s="324"/>
      <c r="AS41" s="162"/>
      <c r="AT41" s="339"/>
      <c r="AU41" s="540"/>
      <c r="AV41" s="324"/>
      <c r="AW41" s="162"/>
      <c r="AX41" s="339"/>
      <c r="BG41" s="617"/>
      <c r="BH41" s="621">
        <f>AF41-BG41</f>
        <v>0</v>
      </c>
      <c r="BI41" s="617"/>
      <c r="BJ41" s="621"/>
      <c r="BM41" s="628">
        <f t="shared" si="18"/>
        <v>0</v>
      </c>
      <c r="BN41" s="628">
        <f t="shared" si="11"/>
        <v>0</v>
      </c>
      <c r="BO41" s="535">
        <f t="shared" si="14"/>
        <v>0</v>
      </c>
      <c r="BP41" s="533"/>
      <c r="BQ41" s="617"/>
      <c r="BR41" s="621">
        <f>AP41-BQ41</f>
        <v>0</v>
      </c>
      <c r="BS41" s="617"/>
      <c r="BT41" s="621"/>
    </row>
    <row r="42" spans="1:72" s="115" customFormat="1" ht="31.5" x14ac:dyDescent="0.3">
      <c r="A42" s="435" t="s">
        <v>175</v>
      </c>
      <c r="B42" s="1387">
        <v>250</v>
      </c>
      <c r="C42" s="442"/>
      <c r="D42" s="430">
        <f>G42+Q42+AK42+AL42</f>
        <v>0</v>
      </c>
      <c r="E42" s="59">
        <f>H42+R42+AL42+AK42</f>
        <v>0</v>
      </c>
      <c r="F42" s="410">
        <f t="shared" si="1"/>
        <v>0</v>
      </c>
      <c r="G42" s="283"/>
      <c r="H42" s="157"/>
      <c r="I42" s="669">
        <f t="shared" si="16"/>
        <v>0</v>
      </c>
      <c r="J42" s="882"/>
      <c r="K42" s="283"/>
      <c r="L42" s="157"/>
      <c r="M42" s="294"/>
      <c r="N42" s="293"/>
      <c r="O42" s="283"/>
      <c r="P42" s="365"/>
      <c r="Q42" s="276"/>
      <c r="R42" s="307"/>
      <c r="S42" s="372"/>
      <c r="T42" s="525"/>
      <c r="U42" s="307">
        <v>0</v>
      </c>
      <c r="V42" s="153">
        <v>0</v>
      </c>
      <c r="W42" s="357">
        <f t="shared" si="2"/>
        <v>0</v>
      </c>
      <c r="X42" s="379">
        <v>0</v>
      </c>
      <c r="Y42" s="153">
        <f t="shared" si="30"/>
        <v>0</v>
      </c>
      <c r="Z42" s="357">
        <f t="shared" si="31"/>
        <v>0</v>
      </c>
      <c r="AA42" s="307"/>
      <c r="AB42" s="153"/>
      <c r="AC42" s="357"/>
      <c r="AD42" s="276"/>
      <c r="AE42" s="153"/>
      <c r="AF42" s="357"/>
      <c r="AG42" s="276"/>
      <c r="AH42" s="153"/>
      <c r="AI42" s="357"/>
      <c r="AJ42" s="422">
        <v>0</v>
      </c>
      <c r="AK42" s="396">
        <v>0</v>
      </c>
      <c r="AL42" s="334">
        <v>0</v>
      </c>
      <c r="AM42" s="161">
        <f t="shared" si="17"/>
        <v>0</v>
      </c>
      <c r="AN42" s="1013">
        <f t="shared" si="5"/>
        <v>0</v>
      </c>
      <c r="AO42" s="334"/>
      <c r="AP42" s="161"/>
      <c r="AQ42" s="406"/>
      <c r="AR42" s="323"/>
      <c r="AS42" s="161"/>
      <c r="AT42" s="335"/>
      <c r="AU42" s="539">
        <f>AU44</f>
        <v>0</v>
      </c>
      <c r="AV42" s="323"/>
      <c r="AW42" s="161"/>
      <c r="AX42" s="335"/>
      <c r="BG42" s="617"/>
      <c r="BH42" s="621">
        <f>AF42-BG42</f>
        <v>0</v>
      </c>
      <c r="BI42" s="617"/>
      <c r="BJ42" s="621"/>
      <c r="BM42" s="628">
        <f t="shared" si="18"/>
        <v>0</v>
      </c>
      <c r="BN42" s="628">
        <f t="shared" si="11"/>
        <v>0</v>
      </c>
      <c r="BO42" s="535">
        <f t="shared" si="14"/>
        <v>0</v>
      </c>
      <c r="BP42" s="533"/>
      <c r="BQ42" s="617"/>
      <c r="BR42" s="621">
        <f>AP42-BQ42</f>
        <v>0</v>
      </c>
      <c r="BS42" s="617"/>
      <c r="BT42" s="621"/>
    </row>
    <row r="43" spans="1:72" s="115" customFormat="1" x14ac:dyDescent="0.3">
      <c r="A43" s="435" t="s">
        <v>92</v>
      </c>
      <c r="B43" s="1387"/>
      <c r="C43" s="442"/>
      <c r="D43" s="430"/>
      <c r="E43" s="59">
        <f>H43+R43+AL43+AK43</f>
        <v>0</v>
      </c>
      <c r="F43" s="410">
        <f t="shared" si="1"/>
        <v>0</v>
      </c>
      <c r="G43" s="283"/>
      <c r="H43" s="157"/>
      <c r="I43" s="669">
        <f t="shared" si="16"/>
        <v>0</v>
      </c>
      <c r="J43" s="882"/>
      <c r="K43" s="283"/>
      <c r="L43" s="157"/>
      <c r="M43" s="294"/>
      <c r="N43" s="293"/>
      <c r="O43" s="283"/>
      <c r="P43" s="365"/>
      <c r="Q43" s="276"/>
      <c r="R43" s="307"/>
      <c r="S43" s="372"/>
      <c r="T43" s="525"/>
      <c r="U43" s="307"/>
      <c r="V43" s="153"/>
      <c r="W43" s="357">
        <f t="shared" si="2"/>
        <v>0</v>
      </c>
      <c r="X43" s="379"/>
      <c r="Y43" s="153">
        <f t="shared" si="30"/>
        <v>0</v>
      </c>
      <c r="Z43" s="357">
        <f t="shared" si="31"/>
        <v>0</v>
      </c>
      <c r="AA43" s="307"/>
      <c r="AB43" s="153"/>
      <c r="AC43" s="357"/>
      <c r="AD43" s="276"/>
      <c r="AE43" s="153"/>
      <c r="AF43" s="357"/>
      <c r="AG43" s="276"/>
      <c r="AH43" s="153"/>
      <c r="AI43" s="357"/>
      <c r="AJ43" s="422"/>
      <c r="AK43" s="396"/>
      <c r="AL43" s="334">
        <v>0</v>
      </c>
      <c r="AM43" s="161">
        <f t="shared" si="17"/>
        <v>0</v>
      </c>
      <c r="AN43" s="1013">
        <f t="shared" si="5"/>
        <v>0</v>
      </c>
      <c r="AO43" s="334"/>
      <c r="AP43" s="161"/>
      <c r="AQ43" s="406"/>
      <c r="AR43" s="323"/>
      <c r="AS43" s="161"/>
      <c r="AT43" s="335"/>
      <c r="AU43" s="539"/>
      <c r="AV43" s="323"/>
      <c r="AW43" s="161"/>
      <c r="AX43" s="335"/>
      <c r="BG43" s="617"/>
      <c r="BH43" s="621">
        <f>AF43-BG43</f>
        <v>0</v>
      </c>
      <c r="BI43" s="617"/>
      <c r="BJ43" s="621"/>
      <c r="BM43" s="628">
        <f t="shared" si="18"/>
        <v>0</v>
      </c>
      <c r="BN43" s="628">
        <f t="shared" si="11"/>
        <v>0</v>
      </c>
      <c r="BO43" s="535">
        <f t="shared" si="14"/>
        <v>0</v>
      </c>
      <c r="BP43" s="533"/>
      <c r="BQ43" s="617"/>
      <c r="BR43" s="621">
        <f>AP43-BQ43</f>
        <v>0</v>
      </c>
      <c r="BS43" s="617"/>
      <c r="BT43" s="621"/>
    </row>
    <row r="44" spans="1:72" s="115" customFormat="1" x14ac:dyDescent="0.3">
      <c r="A44" s="443"/>
      <c r="B44" s="1387"/>
      <c r="C44" s="442"/>
      <c r="D44" s="430"/>
      <c r="E44" s="59">
        <f>H44+R44+AL44+AK44</f>
        <v>0</v>
      </c>
      <c r="F44" s="410">
        <f t="shared" si="1"/>
        <v>0</v>
      </c>
      <c r="G44" s="283"/>
      <c r="H44" s="157"/>
      <c r="I44" s="669">
        <f t="shared" si="16"/>
        <v>0</v>
      </c>
      <c r="J44" s="882"/>
      <c r="K44" s="283"/>
      <c r="L44" s="157"/>
      <c r="M44" s="294"/>
      <c r="N44" s="293"/>
      <c r="O44" s="283"/>
      <c r="P44" s="365"/>
      <c r="Q44" s="276"/>
      <c r="R44" s="307"/>
      <c r="S44" s="372"/>
      <c r="T44" s="525"/>
      <c r="U44" s="307"/>
      <c r="V44" s="153"/>
      <c r="W44" s="357">
        <f t="shared" si="2"/>
        <v>0</v>
      </c>
      <c r="X44" s="379"/>
      <c r="Y44" s="153">
        <f t="shared" si="30"/>
        <v>0</v>
      </c>
      <c r="Z44" s="357">
        <f t="shared" si="31"/>
        <v>0</v>
      </c>
      <c r="AA44" s="307"/>
      <c r="AB44" s="153"/>
      <c r="AC44" s="357"/>
      <c r="AD44" s="276"/>
      <c r="AE44" s="153"/>
      <c r="AF44" s="357"/>
      <c r="AG44" s="276"/>
      <c r="AH44" s="153"/>
      <c r="AI44" s="357"/>
      <c r="AJ44" s="422"/>
      <c r="AK44" s="396"/>
      <c r="AL44" s="334">
        <v>0</v>
      </c>
      <c r="AM44" s="161">
        <f t="shared" si="17"/>
        <v>0</v>
      </c>
      <c r="AN44" s="1013">
        <f t="shared" si="5"/>
        <v>0</v>
      </c>
      <c r="AO44" s="334"/>
      <c r="AP44" s="161"/>
      <c r="AQ44" s="406"/>
      <c r="AR44" s="323"/>
      <c r="AS44" s="161"/>
      <c r="AT44" s="335"/>
      <c r="AU44" s="539"/>
      <c r="AV44" s="323"/>
      <c r="AW44" s="161"/>
      <c r="AX44" s="335"/>
      <c r="BG44" s="617"/>
      <c r="BH44" s="621">
        <f>AF44-BG44</f>
        <v>0</v>
      </c>
      <c r="BI44" s="617"/>
      <c r="BJ44" s="621"/>
      <c r="BM44" s="628">
        <f t="shared" si="18"/>
        <v>0</v>
      </c>
      <c r="BN44" s="628">
        <f t="shared" si="11"/>
        <v>0</v>
      </c>
      <c r="BO44" s="535">
        <f t="shared" si="14"/>
        <v>0</v>
      </c>
      <c r="BP44" s="533"/>
      <c r="BQ44" s="617"/>
      <c r="BR44" s="621">
        <f>AP44-BQ44</f>
        <v>0</v>
      </c>
      <c r="BS44" s="617"/>
      <c r="BT44" s="621"/>
    </row>
    <row r="45" spans="1:72" s="115" customFormat="1" ht="31.5" x14ac:dyDescent="0.3">
      <c r="A45" s="435" t="s">
        <v>176</v>
      </c>
      <c r="B45" s="1388">
        <v>260</v>
      </c>
      <c r="C45" s="436">
        <v>240</v>
      </c>
      <c r="D45" s="1010">
        <f>D47+D48+D49+D50+D51+D55+D59+D61+D63+D66+D52+D56+D60+D62+D64+D65</f>
        <v>1861048940.0400002</v>
      </c>
      <c r="E45" s="59">
        <f>H45+R45+AM45+AK45</f>
        <v>2866048940.0249996</v>
      </c>
      <c r="F45" s="410">
        <f t="shared" si="1"/>
        <v>1004999999.9849994</v>
      </c>
      <c r="G45" s="283">
        <v>46655720.769999996</v>
      </c>
      <c r="H45" s="157">
        <f>H47+H48+H49+H50+H51+H55+H59+H61+H63+H66+H52+H56+H60+H62+H64+H65</f>
        <v>46655720.769999996</v>
      </c>
      <c r="I45" s="669">
        <f t="shared" si="16"/>
        <v>0</v>
      </c>
      <c r="J45" s="882">
        <f>J47+J48+J49+J50+J51+J55+J59+J61</f>
        <v>0</v>
      </c>
      <c r="K45" s="157">
        <f>K47+K48+K49+K50+K51+K55+K59+K61+K63+K66+K52+K56+K60+K62+K64+K65</f>
        <v>29172987.350000001</v>
      </c>
      <c r="L45" s="157">
        <f>L47+L48+L49+L50+L51+L55+L59+L61+L63+L66+L52+L56+L60+L62+L64+L65</f>
        <v>29172987.350000001</v>
      </c>
      <c r="M45" s="294">
        <f>L45-K45</f>
        <v>0</v>
      </c>
      <c r="N45" s="157">
        <f>N47+N48+N49+N50+N51+N55+N59+N61+N63+N66+N52+N56+N60+N62+N64+N65</f>
        <v>17482733.420000002</v>
      </c>
      <c r="O45" s="157">
        <f>O47+O48+O49+O50+O51+O55+O59+O61+O63+O66+O52+O56+O60+O62+O64+O65</f>
        <v>17482733.420000002</v>
      </c>
      <c r="P45" s="365">
        <f>O45-N45</f>
        <v>0</v>
      </c>
      <c r="Q45" s="276">
        <f>Q47+Q48+Q49+Q50+Q51+Q55+Q59+Q61+Q63+Q66+Q52+Q56+Q60+Q62+Q64+Q65</f>
        <v>1631473664.7600002</v>
      </c>
      <c r="R45" s="307">
        <f>R47+R48+R49+R50+R51+R55+R59+R61+R63+R66+R52+R56+R60+R62+R64+R65</f>
        <v>2636473664.7499995</v>
      </c>
      <c r="S45" s="372">
        <f>R45-Q45</f>
        <v>1004999999.9899993</v>
      </c>
      <c r="T45" s="525">
        <f>T47+T48+T49+T50+T51+T55+T59+T61+T63+T66+T52+T56+T60+T62+T64+T65</f>
        <v>388193676.14999998</v>
      </c>
      <c r="U45" s="307">
        <f>U47+U48+U49+U50+U51+U55+U59+U61+U63+U66+U52+U56+U60+U62+U64+U65</f>
        <v>1216891000</v>
      </c>
      <c r="V45" s="153">
        <f>V47+V48+V49+V50+V51+V55+V59+V61+V63+V66+V52+V56+V60+V62+V64+V65</f>
        <v>2221891000</v>
      </c>
      <c r="W45" s="357">
        <f>V45-U45</f>
        <v>1005000000</v>
      </c>
      <c r="X45" s="379">
        <f>X47+X48+X49+X50+X51+X55+X59+X61+X63+X66+X52+X56+X60+X62+X64+X65</f>
        <v>11003632.780000001</v>
      </c>
      <c r="Y45" s="153">
        <f>Y47+Y48+Y49+Y50+Y51+Y55+Y59+Y61+Y63+Y66+Y52+Y56+Y60+Y62+Y64+Y65</f>
        <v>11003632.780000001</v>
      </c>
      <c r="Z45" s="357">
        <f>Z47+Z48+Z49+Z50+Z51+Z55+Z59+Z61+Z63+Z66+Z52+Z56+Z60+Z62+Z64+Z65</f>
        <v>0</v>
      </c>
      <c r="AA45" s="307">
        <v>6222834.2999999998</v>
      </c>
      <c r="AB45" s="153">
        <f>AB47+AB48+AB49+AB50+AB51+AB55+AB59+AB61+AB63+AB66+AB52+AB56+AB60+AB62+AB64+AB65</f>
        <v>6222834.2999999998</v>
      </c>
      <c r="AC45" s="357">
        <f>AB45-AA45</f>
        <v>0</v>
      </c>
      <c r="AD45" s="276"/>
      <c r="AE45" s="153"/>
      <c r="AF45" s="357"/>
      <c r="AG45" s="153">
        <v>9162521.5199999996</v>
      </c>
      <c r="AH45" s="153">
        <f t="shared" ref="AH45" si="36">AH47+AH48+AH49+AH50+AH51+AH55+AH59+AH61+AH63+AH66+AH52+AH56+AH60+AH62+AH64+AH65</f>
        <v>9162521.5199999996</v>
      </c>
      <c r="AI45" s="357">
        <f>AH45-AG45</f>
        <v>0</v>
      </c>
      <c r="AJ45" s="422">
        <f>AJ47+AJ48+AJ49+AJ50+AJ51+AJ52+AJ56+AJ61</f>
        <v>0</v>
      </c>
      <c r="AK45" s="396">
        <f>AK47+AK48+AK49+AK50+AK51+AK55+AK59+AK61+AK63+AK66+AK52+AK56+AK60+AK62+AK64+AK65</f>
        <v>50000</v>
      </c>
      <c r="AL45" s="334">
        <v>183139902.45446354</v>
      </c>
      <c r="AM45" s="161">
        <f t="shared" si="17"/>
        <v>182869554.505</v>
      </c>
      <c r="AN45" s="1013">
        <f t="shared" si="5"/>
        <v>-270347.94946354628</v>
      </c>
      <c r="AO45" s="334">
        <v>149019556.73446354</v>
      </c>
      <c r="AP45" s="323">
        <f>AP47+AP48+AP49+AP50+AP51+AP55+AP59+AP61+AP63+AP66+AP52+AP56+AP60+AP62+AP64+AP65</f>
        <v>155373348.77500001</v>
      </c>
      <c r="AQ45" s="406">
        <f>AP45-AO45</f>
        <v>6353792.0405364633</v>
      </c>
      <c r="AR45" s="161">
        <f>AR47+AR48+AR49+AR50+AR51+AR55+AR59+AR61+AR63+AR66+AR52+AR56+AR60+AR62+AR64+AR65</f>
        <v>34120345.719999999</v>
      </c>
      <c r="AS45" s="161">
        <f>AS47+AS48+AS49+AS50+AS51+AS55+AS59+AS61+AS63+AS66+AS52+AS56+AS60+AS62+AS64+AS65</f>
        <v>22737058.73</v>
      </c>
      <c r="AT45" s="335">
        <f>AS45-AR45</f>
        <v>-11383286.989999998</v>
      </c>
      <c r="AU45" s="539">
        <f>AU47+AU48+AU49+AU50+AU51+AU52+AU56+AU61</f>
        <v>0</v>
      </c>
      <c r="AV45" s="323"/>
      <c r="AW45" s="161">
        <f>AW47+AW48+AW49+AW50+AW51+AW55+AW59+AW61+AW63+AW66+AW52+AW56+AW60+AW62+AW64+AW65</f>
        <v>4759147</v>
      </c>
      <c r="AX45" s="335">
        <f>AW45-AV45</f>
        <v>4759147</v>
      </c>
      <c r="BG45" s="334">
        <f>BG47+BG48+BG49+BG50+BG51+BG55+BG59+BG61+BG63+BG66+BG52+BG56+BG60+BG62+BG64+BG65</f>
        <v>0</v>
      </c>
      <c r="BH45" s="539">
        <f t="shared" ref="BH45:BJ45" si="37">BH47+BH48+BH49+BH50+BH51+BH55+BH59+BH61+BH63+BH66+BH52+BH56+BH60+BH62+BH64+BH65</f>
        <v>0</v>
      </c>
      <c r="BI45" s="334">
        <f t="shared" si="37"/>
        <v>25649553.189999998</v>
      </c>
      <c r="BJ45" s="539">
        <f t="shared" si="37"/>
        <v>-16487031.669999998</v>
      </c>
      <c r="BM45" s="628">
        <f t="shared" si="18"/>
        <v>183139902.45446354</v>
      </c>
      <c r="BN45" s="628">
        <f t="shared" si="11"/>
        <v>127263947.69999999</v>
      </c>
      <c r="BO45" s="535">
        <f t="shared" si="14"/>
        <v>55875954.754463553</v>
      </c>
      <c r="BP45" s="334">
        <f>SUM(BP48:BP66)</f>
        <v>124289533.4064</v>
      </c>
      <c r="BQ45" s="334">
        <f>BQ47+BQ48+BQ49+BQ50+BQ51+BQ55+BQ59+BQ61+BQ63+BQ66+BQ52+BQ56+BQ60+BQ62+BQ64+BQ65</f>
        <v>101614394.50999999</v>
      </c>
      <c r="BR45" s="539">
        <f t="shared" ref="BR45:BT45" si="38">BR47+BR48+BR49+BR50+BR51+BR55+BR59+BR61+BR63+BR66+BR52+BR56+BR60+BR62+BR64+BR65</f>
        <v>47405162.224463537</v>
      </c>
      <c r="BS45" s="334">
        <f t="shared" si="38"/>
        <v>25649553.189999998</v>
      </c>
      <c r="BT45" s="539">
        <f t="shared" si="38"/>
        <v>8470792.5300000012</v>
      </c>
    </row>
    <row r="46" spans="1:72" x14ac:dyDescent="0.3">
      <c r="A46" s="437" t="s">
        <v>92</v>
      </c>
      <c r="B46" s="1392"/>
      <c r="C46" s="438"/>
      <c r="D46" s="431"/>
      <c r="E46" s="59">
        <f>H46+R46+AL46+AK46</f>
        <v>0</v>
      </c>
      <c r="F46" s="410">
        <f t="shared" si="1"/>
        <v>0</v>
      </c>
      <c r="G46" s="285"/>
      <c r="H46" s="158"/>
      <c r="I46" s="669">
        <f t="shared" si="16"/>
        <v>0</v>
      </c>
      <c r="J46" s="881"/>
      <c r="K46" s="285"/>
      <c r="L46" s="158"/>
      <c r="M46" s="298"/>
      <c r="N46" s="297"/>
      <c r="O46" s="285"/>
      <c r="P46" s="367"/>
      <c r="Q46" s="279"/>
      <c r="R46" s="310"/>
      <c r="S46" s="375"/>
      <c r="T46" s="528"/>
      <c r="U46" s="310"/>
      <c r="V46" s="63"/>
      <c r="W46" s="357">
        <f t="shared" si="2"/>
        <v>0</v>
      </c>
      <c r="X46" s="382"/>
      <c r="Y46" s="153">
        <f>X46-W46</f>
        <v>0</v>
      </c>
      <c r="Z46" s="357">
        <f>X46-W46</f>
        <v>0</v>
      </c>
      <c r="AA46" s="310"/>
      <c r="AB46" s="63"/>
      <c r="AC46" s="360"/>
      <c r="AD46" s="279"/>
      <c r="AE46" s="63"/>
      <c r="AF46" s="360"/>
      <c r="AG46" s="279"/>
      <c r="AH46" s="63"/>
      <c r="AI46" s="360"/>
      <c r="AJ46" s="425"/>
      <c r="AK46" s="395"/>
      <c r="AL46" s="334">
        <v>0</v>
      </c>
      <c r="AM46" s="161">
        <f t="shared" si="17"/>
        <v>0</v>
      </c>
      <c r="AN46" s="1013">
        <f t="shared" si="5"/>
        <v>0</v>
      </c>
      <c r="AO46" s="338"/>
      <c r="AP46" s="162"/>
      <c r="AQ46" s="1019"/>
      <c r="AR46" s="324"/>
      <c r="AS46" s="162"/>
      <c r="AT46" s="339"/>
      <c r="AU46" s="540"/>
      <c r="AV46" s="324"/>
      <c r="AW46" s="162"/>
      <c r="AX46" s="339"/>
      <c r="AZ46" s="1065" t="s">
        <v>237</v>
      </c>
      <c r="BA46" s="1065" t="s">
        <v>197</v>
      </c>
      <c r="BG46" s="617"/>
      <c r="BH46" s="621">
        <f>AF46-BG46</f>
        <v>0</v>
      </c>
      <c r="BI46" s="617"/>
      <c r="BJ46" s="621"/>
      <c r="BM46" s="628">
        <f t="shared" si="18"/>
        <v>0</v>
      </c>
      <c r="BN46" s="628">
        <f t="shared" si="11"/>
        <v>0</v>
      </c>
      <c r="BO46" s="535">
        <f t="shared" si="14"/>
        <v>0</v>
      </c>
      <c r="BP46" s="533"/>
      <c r="BQ46" s="617"/>
      <c r="BR46" s="621">
        <f>AP46-BQ46</f>
        <v>0</v>
      </c>
      <c r="BS46" s="617"/>
      <c r="BT46" s="621"/>
    </row>
    <row r="47" spans="1:72" ht="31.5" x14ac:dyDescent="0.3">
      <c r="A47" s="437" t="s">
        <v>177</v>
      </c>
      <c r="B47" s="140"/>
      <c r="C47" s="1064">
        <v>241</v>
      </c>
      <c r="D47" s="431"/>
      <c r="E47" s="59">
        <f>H47+R47+AL47+AK47</f>
        <v>0</v>
      </c>
      <c r="F47" s="410">
        <f t="shared" si="1"/>
        <v>0</v>
      </c>
      <c r="G47" s="285"/>
      <c r="H47" s="158"/>
      <c r="I47" s="669">
        <f t="shared" si="16"/>
        <v>0</v>
      </c>
      <c r="J47" s="881"/>
      <c r="K47" s="285"/>
      <c r="L47" s="158"/>
      <c r="M47" s="298"/>
      <c r="N47" s="297"/>
      <c r="O47" s="285"/>
      <c r="P47" s="367"/>
      <c r="Q47" s="279"/>
      <c r="R47" s="310"/>
      <c r="S47" s="375"/>
      <c r="T47" s="528"/>
      <c r="U47" s="310"/>
      <c r="V47" s="63"/>
      <c r="W47" s="357">
        <f t="shared" si="2"/>
        <v>0</v>
      </c>
      <c r="X47" s="382"/>
      <c r="Y47" s="153">
        <f>X47-W47</f>
        <v>0</v>
      </c>
      <c r="Z47" s="360"/>
      <c r="AA47" s="310"/>
      <c r="AB47" s="63"/>
      <c r="AC47" s="360"/>
      <c r="AD47" s="279"/>
      <c r="AE47" s="63"/>
      <c r="AF47" s="360"/>
      <c r="AG47" s="279"/>
      <c r="AH47" s="63"/>
      <c r="AI47" s="360"/>
      <c r="AJ47" s="425"/>
      <c r="AK47" s="395"/>
      <c r="AL47" s="334">
        <v>0</v>
      </c>
      <c r="AM47" s="161">
        <f t="shared" si="17"/>
        <v>0</v>
      </c>
      <c r="AN47" s="1013">
        <f t="shared" si="5"/>
        <v>0</v>
      </c>
      <c r="AO47" s="338"/>
      <c r="AP47" s="162"/>
      <c r="AQ47" s="1019"/>
      <c r="AR47" s="324"/>
      <c r="AS47" s="162"/>
      <c r="AT47" s="339"/>
      <c r="AU47" s="540"/>
      <c r="AV47" s="324"/>
      <c r="AW47" s="162"/>
      <c r="AX47" s="339"/>
      <c r="AZ47" s="141"/>
      <c r="BA47" s="122">
        <v>25000</v>
      </c>
      <c r="BB47" s="117" t="s">
        <v>234</v>
      </c>
      <c r="BG47" s="617"/>
      <c r="BH47" s="621">
        <f>AF47-BG47</f>
        <v>0</v>
      </c>
      <c r="BI47" s="617"/>
      <c r="BJ47" s="621"/>
      <c r="BM47" s="628">
        <f t="shared" si="18"/>
        <v>0</v>
      </c>
      <c r="BN47" s="628">
        <f t="shared" si="11"/>
        <v>0</v>
      </c>
      <c r="BO47" s="535">
        <f t="shared" si="14"/>
        <v>0</v>
      </c>
      <c r="BP47" s="533"/>
      <c r="BQ47" s="617"/>
      <c r="BR47" s="621">
        <f>AP47-BQ47</f>
        <v>0</v>
      </c>
      <c r="BS47" s="617"/>
      <c r="BT47" s="621"/>
    </row>
    <row r="48" spans="1:72" ht="15.75" customHeight="1" x14ac:dyDescent="0.3">
      <c r="A48" s="437" t="s">
        <v>178</v>
      </c>
      <c r="B48" s="140"/>
      <c r="C48" s="1064">
        <v>244</v>
      </c>
      <c r="D48" s="431">
        <v>2406359.86</v>
      </c>
      <c r="E48" s="64">
        <f>H48+R48+AM48+AK48</f>
        <v>2406359.8600000003</v>
      </c>
      <c r="F48" s="410">
        <f t="shared" si="1"/>
        <v>0</v>
      </c>
      <c r="G48" s="285">
        <v>935479.38</v>
      </c>
      <c r="H48" s="158">
        <f>J48+L48+O48</f>
        <v>935479.38</v>
      </c>
      <c r="I48" s="669">
        <f t="shared" si="16"/>
        <v>0</v>
      </c>
      <c r="J48" s="881"/>
      <c r="K48" s="285">
        <v>717269.39</v>
      </c>
      <c r="L48" s="158">
        <v>717269.39</v>
      </c>
      <c r="M48" s="298">
        <f>L48-K48</f>
        <v>0</v>
      </c>
      <c r="N48" s="285">
        <v>218209.99</v>
      </c>
      <c r="O48" s="285">
        <v>218209.99</v>
      </c>
      <c r="P48" s="367">
        <f>O48-N48</f>
        <v>0</v>
      </c>
      <c r="Q48" s="279">
        <v>255973.67</v>
      </c>
      <c r="R48" s="310">
        <f>T48+V48+Y48+AB48+AE48+AH48</f>
        <v>255973.67</v>
      </c>
      <c r="S48" s="375">
        <f>R48-Q48</f>
        <v>0</v>
      </c>
      <c r="T48" s="528"/>
      <c r="U48" s="310"/>
      <c r="V48" s="63"/>
      <c r="W48" s="357">
        <f t="shared" si="2"/>
        <v>0</v>
      </c>
      <c r="X48" s="382">
        <v>210973.67</v>
      </c>
      <c r="Y48" s="63">
        <v>210973.67</v>
      </c>
      <c r="Z48" s="360"/>
      <c r="AA48" s="310">
        <v>45000</v>
      </c>
      <c r="AB48" s="63">
        <v>45000</v>
      </c>
      <c r="AC48" s="360">
        <f>AB48-AA48</f>
        <v>0</v>
      </c>
      <c r="AD48" s="279"/>
      <c r="AE48" s="63"/>
      <c r="AF48" s="360"/>
      <c r="AG48" s="279"/>
      <c r="AH48" s="63"/>
      <c r="AI48" s="360"/>
      <c r="AJ48" s="425"/>
      <c r="AK48" s="395"/>
      <c r="AL48" s="334">
        <v>1214906.8064000001</v>
      </c>
      <c r="AM48" s="161">
        <f t="shared" si="17"/>
        <v>1214906.81</v>
      </c>
      <c r="AN48" s="1013">
        <f t="shared" si="5"/>
        <v>3.599999938160181E-3</v>
      </c>
      <c r="AO48" s="338">
        <v>959906.8064</v>
      </c>
      <c r="AP48" s="162">
        <v>889902.56</v>
      </c>
      <c r="AQ48" s="1019">
        <f>AP48-AO48</f>
        <v>-70004.246399999945</v>
      </c>
      <c r="AR48" s="324">
        <v>255000</v>
      </c>
      <c r="AS48" s="162">
        <v>265603.01</v>
      </c>
      <c r="AT48" s="339">
        <f>AS48-AR48</f>
        <v>10603.010000000009</v>
      </c>
      <c r="AU48" s="540"/>
      <c r="AV48" s="324"/>
      <c r="AW48" s="162">
        <v>59401.24</v>
      </c>
      <c r="AX48" s="339">
        <f>AW48-AV48</f>
        <v>59401.24</v>
      </c>
      <c r="AZ48" s="122">
        <v>269900</v>
      </c>
      <c r="BA48" s="122">
        <f>-269900</f>
        <v>-269900</v>
      </c>
      <c r="BB48" s="117" t="s">
        <v>179</v>
      </c>
      <c r="BG48" s="617"/>
      <c r="BH48" s="621">
        <f>AE48-BG48</f>
        <v>0</v>
      </c>
      <c r="BI48" s="617">
        <v>212701.86</v>
      </c>
      <c r="BJ48" s="621">
        <f>AH48-BI48</f>
        <v>-212701.86</v>
      </c>
      <c r="BM48" s="629">
        <f t="shared" si="18"/>
        <v>1214906.8064000001</v>
      </c>
      <c r="BN48" s="629">
        <f t="shared" si="11"/>
        <v>963193.04999999993</v>
      </c>
      <c r="BO48" s="533">
        <f t="shared" si="14"/>
        <v>251713.75640000019</v>
      </c>
      <c r="BP48" s="533">
        <f>BM48</f>
        <v>1214906.8064000001</v>
      </c>
      <c r="BQ48" s="617">
        <v>750491.19</v>
      </c>
      <c r="BR48" s="621">
        <f>AO48-BQ48</f>
        <v>209415.61640000006</v>
      </c>
      <c r="BS48" s="617">
        <v>212701.86</v>
      </c>
      <c r="BT48" s="621">
        <f>AR48-BS48</f>
        <v>42298.140000000014</v>
      </c>
    </row>
    <row r="49" spans="1:74" ht="19.5" customHeight="1" x14ac:dyDescent="0.3">
      <c r="A49" s="437" t="s">
        <v>179</v>
      </c>
      <c r="B49" s="140"/>
      <c r="C49" s="1064">
        <v>244</v>
      </c>
      <c r="D49" s="431">
        <v>161040</v>
      </c>
      <c r="E49" s="64">
        <f>H49+R49+AM49+AK49</f>
        <v>161040</v>
      </c>
      <c r="F49" s="411">
        <f t="shared" si="1"/>
        <v>0</v>
      </c>
      <c r="G49" s="285"/>
      <c r="H49" s="158"/>
      <c r="I49" s="669">
        <f t="shared" si="16"/>
        <v>0</v>
      </c>
      <c r="J49" s="881"/>
      <c r="K49" s="285"/>
      <c r="L49" s="158"/>
      <c r="M49" s="298"/>
      <c r="N49" s="285"/>
      <c r="O49" s="285"/>
      <c r="P49" s="367"/>
      <c r="Q49" s="279"/>
      <c r="R49" s="310"/>
      <c r="S49" s="375"/>
      <c r="T49" s="528"/>
      <c r="U49" s="310"/>
      <c r="V49" s="63"/>
      <c r="W49" s="357">
        <f t="shared" si="2"/>
        <v>0</v>
      </c>
      <c r="X49" s="382"/>
      <c r="Y49" s="63">
        <f t="shared" ref="Y49:Y65" si="39">X49-Z49</f>
        <v>0</v>
      </c>
      <c r="Z49" s="360">
        <f>X49-W49</f>
        <v>0</v>
      </c>
      <c r="AA49" s="310"/>
      <c r="AB49" s="63"/>
      <c r="AC49" s="360"/>
      <c r="AD49" s="279"/>
      <c r="AE49" s="63"/>
      <c r="AF49" s="360"/>
      <c r="AG49" s="279"/>
      <c r="AH49" s="63"/>
      <c r="AI49" s="360"/>
      <c r="AJ49" s="425"/>
      <c r="AK49" s="395"/>
      <c r="AL49" s="334">
        <v>161040</v>
      </c>
      <c r="AM49" s="161">
        <f t="shared" si="17"/>
        <v>161040</v>
      </c>
      <c r="AN49" s="1013">
        <f t="shared" si="5"/>
        <v>0</v>
      </c>
      <c r="AO49" s="338">
        <v>11040</v>
      </c>
      <c r="AP49" s="162">
        <v>111040</v>
      </c>
      <c r="AQ49" s="1019">
        <f t="shared" ref="AQ49:AQ67" si="40">AP49-AO49</f>
        <v>100000</v>
      </c>
      <c r="AR49" s="324">
        <v>150000</v>
      </c>
      <c r="AS49" s="162">
        <v>50000</v>
      </c>
      <c r="AT49" s="339">
        <f>AS49-AR49</f>
        <v>-100000</v>
      </c>
      <c r="AU49" s="540"/>
      <c r="AV49" s="324"/>
      <c r="AW49" s="162"/>
      <c r="AX49" s="339">
        <f>AW49-AV49</f>
        <v>0</v>
      </c>
      <c r="AZ49" s="111">
        <v>50000</v>
      </c>
      <c r="BA49" s="111">
        <v>845833.33</v>
      </c>
      <c r="BB49" s="117" t="s">
        <v>242</v>
      </c>
      <c r="BG49" s="617"/>
      <c r="BH49" s="621">
        <f t="shared" ref="BH49:BH50" si="41">AE49-BG49</f>
        <v>0</v>
      </c>
      <c r="BI49" s="617">
        <v>30772.66</v>
      </c>
      <c r="BJ49" s="621">
        <f t="shared" ref="BJ49:BJ61" si="42">AH49-BI49</f>
        <v>-30772.66</v>
      </c>
      <c r="BM49" s="629">
        <f t="shared" si="18"/>
        <v>161040</v>
      </c>
      <c r="BN49" s="629">
        <f t="shared" si="11"/>
        <v>39127.660000000003</v>
      </c>
      <c r="BO49" s="533">
        <f t="shared" si="14"/>
        <v>121912.34</v>
      </c>
      <c r="BP49" s="533">
        <f>BN49</f>
        <v>39127.660000000003</v>
      </c>
      <c r="BQ49" s="617">
        <v>8355</v>
      </c>
      <c r="BR49" s="621">
        <f t="shared" ref="BR49:BR50" si="43">AO49-BQ49</f>
        <v>2685</v>
      </c>
      <c r="BS49" s="617">
        <v>30772.66</v>
      </c>
      <c r="BT49" s="621">
        <f t="shared" ref="BT49:BT75" si="44">AR49-BS49</f>
        <v>119227.34</v>
      </c>
    </row>
    <row r="50" spans="1:74" ht="16.5" customHeight="1" x14ac:dyDescent="0.3">
      <c r="A50" s="437" t="s">
        <v>180</v>
      </c>
      <c r="B50" s="140"/>
      <c r="C50" s="1064">
        <v>244</v>
      </c>
      <c r="D50" s="431">
        <v>45311602.850000001</v>
      </c>
      <c r="E50" s="64">
        <f>H50+R50+AM50+AK50</f>
        <v>45311602.850000001</v>
      </c>
      <c r="F50" s="411">
        <f t="shared" si="1"/>
        <v>0</v>
      </c>
      <c r="G50" s="285">
        <v>11180271.91</v>
      </c>
      <c r="H50" s="158">
        <f>J50+L50+O50</f>
        <v>11180271.91</v>
      </c>
      <c r="I50" s="669">
        <f t="shared" si="16"/>
        <v>0</v>
      </c>
      <c r="J50" s="881"/>
      <c r="K50" s="285">
        <v>7064216.5199999996</v>
      </c>
      <c r="L50" s="158">
        <v>7064216.5199999996</v>
      </c>
      <c r="M50" s="298">
        <f>L50-K50</f>
        <v>0</v>
      </c>
      <c r="N50" s="285">
        <v>4116055.39</v>
      </c>
      <c r="O50" s="285">
        <v>4116055.39</v>
      </c>
      <c r="P50" s="367">
        <f>O50-N50</f>
        <v>0</v>
      </c>
      <c r="Q50" s="279">
        <v>11762136.630000001</v>
      </c>
      <c r="R50" s="310">
        <f>T50+V50+Y50+AB50+AE50+AH50</f>
        <v>11762136.629999999</v>
      </c>
      <c r="S50" s="375">
        <f>R50-Q50</f>
        <v>0</v>
      </c>
      <c r="T50" s="528"/>
      <c r="U50" s="310"/>
      <c r="V50" s="63"/>
      <c r="W50" s="357">
        <f t="shared" si="2"/>
        <v>0</v>
      </c>
      <c r="X50" s="382">
        <v>2604490.63</v>
      </c>
      <c r="Y50" s="63">
        <v>2604490.63</v>
      </c>
      <c r="Z50" s="360"/>
      <c r="AA50" s="310">
        <v>1571646</v>
      </c>
      <c r="AB50" s="63">
        <v>1571646</v>
      </c>
      <c r="AC50" s="360">
        <f>AB50-AA50</f>
        <v>0</v>
      </c>
      <c r="AD50" s="279"/>
      <c r="AE50" s="63"/>
      <c r="AF50" s="360"/>
      <c r="AG50" s="63">
        <v>7586000</v>
      </c>
      <c r="AH50" s="63">
        <f>AG50</f>
        <v>7586000</v>
      </c>
      <c r="AI50" s="360">
        <f>AH50-AG50</f>
        <v>0</v>
      </c>
      <c r="AJ50" s="425"/>
      <c r="AK50" s="395"/>
      <c r="AL50" s="334">
        <v>22369194.312063538</v>
      </c>
      <c r="AM50" s="161">
        <f t="shared" si="17"/>
        <v>22369194.310000002</v>
      </c>
      <c r="AN50" s="1013">
        <f t="shared" si="5"/>
        <v>-2.0635351538658142E-3</v>
      </c>
      <c r="AO50" s="338">
        <v>20388264.312063538</v>
      </c>
      <c r="AP50" s="162">
        <v>19267792.300000001</v>
      </c>
      <c r="AQ50" s="1019">
        <f t="shared" si="40"/>
        <v>-1120472.0120635368</v>
      </c>
      <c r="AR50" s="324">
        <v>1980930</v>
      </c>
      <c r="AS50" s="162">
        <v>1980930</v>
      </c>
      <c r="AT50" s="339">
        <f>AS50-AR50</f>
        <v>0</v>
      </c>
      <c r="AU50" s="540"/>
      <c r="AV50" s="324"/>
      <c r="AW50" s="162">
        <v>1120472.01</v>
      </c>
      <c r="AX50" s="339">
        <f>AW50-AV50</f>
        <v>1120472.01</v>
      </c>
      <c r="AZ50" s="122">
        <f>-(AZ38+AZ48+AZ35)</f>
        <v>-2401129.66</v>
      </c>
      <c r="BB50" s="117" t="s">
        <v>180</v>
      </c>
      <c r="BG50" s="617"/>
      <c r="BH50" s="621">
        <f t="shared" si="41"/>
        <v>0</v>
      </c>
      <c r="BI50" s="617">
        <v>879775.94</v>
      </c>
      <c r="BJ50" s="621">
        <f t="shared" si="42"/>
        <v>6706224.0600000005</v>
      </c>
      <c r="BM50" s="629">
        <f t="shared" si="18"/>
        <v>22369194.312063538</v>
      </c>
      <c r="BN50" s="629">
        <f t="shared" si="11"/>
        <v>16781898.300000001</v>
      </c>
      <c r="BO50" s="533">
        <f t="shared" si="14"/>
        <v>5587296.0120635368</v>
      </c>
      <c r="BP50" s="533">
        <f>BN50</f>
        <v>16781898.300000001</v>
      </c>
      <c r="BQ50" s="617">
        <f>15377975.9+224146.46+300000</f>
        <v>15902122.360000001</v>
      </c>
      <c r="BR50" s="621">
        <f t="shared" si="43"/>
        <v>4486141.9520635363</v>
      </c>
      <c r="BS50" s="617">
        <v>879775.94</v>
      </c>
      <c r="BT50" s="621">
        <f t="shared" si="44"/>
        <v>1101154.06</v>
      </c>
    </row>
    <row r="51" spans="1:74" x14ac:dyDescent="0.3">
      <c r="A51" s="437" t="s">
        <v>181</v>
      </c>
      <c r="B51" s="140"/>
      <c r="C51" s="1064">
        <v>244</v>
      </c>
      <c r="D51" s="431">
        <v>0</v>
      </c>
      <c r="E51" s="64">
        <f>H51+R51+AL51+AK51</f>
        <v>0</v>
      </c>
      <c r="F51" s="410">
        <f t="shared" si="1"/>
        <v>0</v>
      </c>
      <c r="G51" s="285"/>
      <c r="H51" s="158"/>
      <c r="I51" s="669">
        <f t="shared" si="16"/>
        <v>0</v>
      </c>
      <c r="J51" s="881"/>
      <c r="K51" s="285"/>
      <c r="L51" s="158"/>
      <c r="M51" s="298"/>
      <c r="N51" s="285"/>
      <c r="O51" s="285"/>
      <c r="P51" s="367"/>
      <c r="Q51" s="279"/>
      <c r="R51" s="310"/>
      <c r="S51" s="375"/>
      <c r="T51" s="528"/>
      <c r="U51" s="310"/>
      <c r="V51" s="63"/>
      <c r="W51" s="357">
        <f t="shared" si="2"/>
        <v>0</v>
      </c>
      <c r="X51" s="382"/>
      <c r="Y51" s="63">
        <f t="shared" si="39"/>
        <v>0</v>
      </c>
      <c r="Z51" s="360">
        <f>X51-W51</f>
        <v>0</v>
      </c>
      <c r="AA51" s="310"/>
      <c r="AB51" s="63"/>
      <c r="AC51" s="360"/>
      <c r="AD51" s="279"/>
      <c r="AE51" s="63"/>
      <c r="AF51" s="360"/>
      <c r="AG51" s="279"/>
      <c r="AH51" s="63"/>
      <c r="AI51" s="360">
        <f t="shared" ref="AI51:AI55" si="45">AH51-AG51</f>
        <v>0</v>
      </c>
      <c r="AJ51" s="425"/>
      <c r="AK51" s="395"/>
      <c r="AL51" s="334">
        <v>0</v>
      </c>
      <c r="AM51" s="161">
        <f t="shared" si="17"/>
        <v>0</v>
      </c>
      <c r="AN51" s="1013">
        <f t="shared" si="5"/>
        <v>0</v>
      </c>
      <c r="AO51" s="338">
        <v>0</v>
      </c>
      <c r="AP51" s="162">
        <v>0</v>
      </c>
      <c r="AQ51" s="1019">
        <f t="shared" si="40"/>
        <v>0</v>
      </c>
      <c r="AR51" s="324"/>
      <c r="AS51" s="162"/>
      <c r="AT51" s="339"/>
      <c r="AU51" s="540"/>
      <c r="AV51" s="324"/>
      <c r="AW51" s="162"/>
      <c r="AX51" s="339"/>
      <c r="AZ51" s="111">
        <v>23168167.190000001</v>
      </c>
      <c r="BA51" s="111">
        <v>2186471.81</v>
      </c>
      <c r="BB51" s="117" t="s">
        <v>243</v>
      </c>
      <c r="BG51" s="617"/>
      <c r="BH51" s="621">
        <f>AF51-BG51</f>
        <v>0</v>
      </c>
      <c r="BI51" s="617"/>
      <c r="BJ51" s="621">
        <f t="shared" si="42"/>
        <v>0</v>
      </c>
      <c r="BM51" s="629">
        <f t="shared" si="18"/>
        <v>0</v>
      </c>
      <c r="BN51" s="629">
        <f t="shared" si="11"/>
        <v>0</v>
      </c>
      <c r="BO51" s="533">
        <f t="shared" si="14"/>
        <v>0</v>
      </c>
      <c r="BP51" s="533"/>
      <c r="BQ51" s="617"/>
      <c r="BR51" s="621">
        <f>AP51-BQ51</f>
        <v>0</v>
      </c>
      <c r="BS51" s="617"/>
      <c r="BT51" s="621">
        <f t="shared" si="44"/>
        <v>0</v>
      </c>
    </row>
    <row r="52" spans="1:74" x14ac:dyDescent="0.3">
      <c r="A52" s="1417" t="s">
        <v>182</v>
      </c>
      <c r="B52" s="142"/>
      <c r="C52" s="1414">
        <v>243</v>
      </c>
      <c r="D52" s="431">
        <v>1003324908.2</v>
      </c>
      <c r="E52" s="64">
        <f t="shared" ref="E52:E59" si="46">H52+R52+AM52+AK52</f>
        <v>1253015908.2</v>
      </c>
      <c r="F52" s="411">
        <f t="shared" si="1"/>
        <v>249691000</v>
      </c>
      <c r="G52" s="285"/>
      <c r="H52" s="158"/>
      <c r="I52" s="669">
        <f t="shared" si="16"/>
        <v>0</v>
      </c>
      <c r="J52" s="883"/>
      <c r="K52" s="286"/>
      <c r="L52" s="158"/>
      <c r="M52" s="300"/>
      <c r="N52" s="286"/>
      <c r="O52" s="286"/>
      <c r="P52" s="368"/>
      <c r="Q52" s="279">
        <v>1003324908.2</v>
      </c>
      <c r="R52" s="310">
        <f>T52+V52+Y52+AB52+AE52+AH52</f>
        <v>1253015908.2</v>
      </c>
      <c r="S52" s="375">
        <f>R52-Q52</f>
        <v>249691000</v>
      </c>
      <c r="T52" s="528">
        <v>146375908.19999999</v>
      </c>
      <c r="U52" s="310">
        <v>856949000</v>
      </c>
      <c r="V52" s="63">
        <v>1106640000</v>
      </c>
      <c r="W52" s="360">
        <f t="shared" si="2"/>
        <v>249691000</v>
      </c>
      <c r="X52" s="382"/>
      <c r="Y52" s="63">
        <f t="shared" si="39"/>
        <v>0</v>
      </c>
      <c r="Z52" s="360"/>
      <c r="AA52" s="310"/>
      <c r="AB52" s="63"/>
      <c r="AC52" s="360"/>
      <c r="AD52" s="279"/>
      <c r="AE52" s="63"/>
      <c r="AF52" s="360"/>
      <c r="AG52" s="279"/>
      <c r="AH52" s="63"/>
      <c r="AI52" s="360">
        <f t="shared" si="45"/>
        <v>0</v>
      </c>
      <c r="AJ52" s="425"/>
      <c r="AK52" s="397"/>
      <c r="AL52" s="334">
        <v>0</v>
      </c>
      <c r="AM52" s="161">
        <f t="shared" si="17"/>
        <v>0</v>
      </c>
      <c r="AN52" s="1013">
        <f t="shared" si="5"/>
        <v>0</v>
      </c>
      <c r="AO52" s="340">
        <v>0</v>
      </c>
      <c r="AP52" s="162">
        <v>0</v>
      </c>
      <c r="AQ52" s="1019">
        <f t="shared" si="40"/>
        <v>0</v>
      </c>
      <c r="AR52" s="401"/>
      <c r="AS52" s="259"/>
      <c r="AT52" s="341"/>
      <c r="AU52" s="540"/>
      <c r="AV52" s="401"/>
      <c r="AW52" s="259"/>
      <c r="AX52" s="341"/>
      <c r="AZ52" s="111">
        <f>AL50-AZ51</f>
        <v>-798972.8779364638</v>
      </c>
      <c r="BG52" s="617"/>
      <c r="BH52" s="621">
        <f>AF52-BG52</f>
        <v>0</v>
      </c>
      <c r="BI52" s="617"/>
      <c r="BJ52" s="621">
        <f t="shared" si="42"/>
        <v>0</v>
      </c>
      <c r="BM52" s="629">
        <f t="shared" si="18"/>
        <v>0</v>
      </c>
      <c r="BN52" s="629">
        <f t="shared" si="11"/>
        <v>0</v>
      </c>
      <c r="BO52" s="533">
        <f t="shared" si="14"/>
        <v>0</v>
      </c>
      <c r="BP52" s="533"/>
      <c r="BQ52" s="617"/>
      <c r="BR52" s="621">
        <f>AP52-BQ52</f>
        <v>0</v>
      </c>
      <c r="BS52" s="617"/>
      <c r="BT52" s="621">
        <f t="shared" si="44"/>
        <v>0</v>
      </c>
    </row>
    <row r="53" spans="1:74" s="145" customFormat="1" ht="19.5" hidden="1" customHeight="1" x14ac:dyDescent="0.3">
      <c r="A53" s="1418"/>
      <c r="B53" s="143"/>
      <c r="C53" s="1415"/>
      <c r="D53" s="432">
        <v>0</v>
      </c>
      <c r="E53" s="64">
        <f t="shared" si="46"/>
        <v>0</v>
      </c>
      <c r="F53" s="411">
        <f t="shared" si="1"/>
        <v>0</v>
      </c>
      <c r="G53" s="285"/>
      <c r="H53" s="158"/>
      <c r="I53" s="669">
        <f t="shared" si="16"/>
        <v>0</v>
      </c>
      <c r="J53" s="884"/>
      <c r="K53" s="287"/>
      <c r="L53" s="158"/>
      <c r="M53" s="302"/>
      <c r="N53" s="287"/>
      <c r="O53" s="287"/>
      <c r="P53" s="369"/>
      <c r="Q53" s="279">
        <v>0</v>
      </c>
      <c r="R53" s="310">
        <f t="shared" ref="R53:R66" si="47">T53+V53+Y53+AB53+AE53+AH53</f>
        <v>0</v>
      </c>
      <c r="S53" s="375">
        <f t="shared" ref="S53:S59" si="48">R53-Q53</f>
        <v>0</v>
      </c>
      <c r="T53" s="529"/>
      <c r="U53" s="523"/>
      <c r="V53" s="163"/>
      <c r="W53" s="360">
        <f t="shared" si="2"/>
        <v>0</v>
      </c>
      <c r="X53" s="384"/>
      <c r="Y53" s="63">
        <f t="shared" si="39"/>
        <v>0</v>
      </c>
      <c r="Z53" s="360">
        <f>X53-W53</f>
        <v>0</v>
      </c>
      <c r="AA53" s="523"/>
      <c r="AB53" s="163"/>
      <c r="AC53" s="361"/>
      <c r="AD53" s="280"/>
      <c r="AE53" s="163"/>
      <c r="AF53" s="361"/>
      <c r="AG53" s="280"/>
      <c r="AH53" s="163"/>
      <c r="AI53" s="360">
        <f t="shared" si="45"/>
        <v>0</v>
      </c>
      <c r="AJ53" s="427"/>
      <c r="AK53" s="398"/>
      <c r="AL53" s="334">
        <v>0</v>
      </c>
      <c r="AM53" s="161">
        <f t="shared" si="17"/>
        <v>0</v>
      </c>
      <c r="AN53" s="1013">
        <f t="shared" si="5"/>
        <v>0</v>
      </c>
      <c r="AO53" s="342">
        <v>0</v>
      </c>
      <c r="AP53" s="162">
        <v>0</v>
      </c>
      <c r="AQ53" s="1019">
        <f t="shared" si="40"/>
        <v>0</v>
      </c>
      <c r="AR53" s="402"/>
      <c r="AS53" s="262"/>
      <c r="AT53" s="343"/>
      <c r="AU53" s="544"/>
      <c r="AV53" s="402"/>
      <c r="AW53" s="262"/>
      <c r="AX53" s="343"/>
      <c r="BG53" s="617"/>
      <c r="BH53" s="621">
        <f>AF53-BG53</f>
        <v>0</v>
      </c>
      <c r="BI53" s="617"/>
      <c r="BJ53" s="621">
        <f t="shared" si="42"/>
        <v>0</v>
      </c>
      <c r="BM53" s="629">
        <f t="shared" si="18"/>
        <v>0</v>
      </c>
      <c r="BN53" s="629">
        <f t="shared" si="11"/>
        <v>0</v>
      </c>
      <c r="BO53" s="533">
        <f t="shared" si="14"/>
        <v>0</v>
      </c>
      <c r="BP53" s="533"/>
      <c r="BQ53" s="617"/>
      <c r="BR53" s="621">
        <f>AP53-BQ53</f>
        <v>0</v>
      </c>
      <c r="BS53" s="617"/>
      <c r="BT53" s="621">
        <f t="shared" si="44"/>
        <v>0</v>
      </c>
    </row>
    <row r="54" spans="1:74" s="145" customFormat="1" ht="19.5" hidden="1" customHeight="1" x14ac:dyDescent="0.3">
      <c r="A54" s="1418"/>
      <c r="B54" s="143"/>
      <c r="C54" s="1416"/>
      <c r="D54" s="432">
        <v>0</v>
      </c>
      <c r="E54" s="64">
        <f t="shared" si="46"/>
        <v>0</v>
      </c>
      <c r="F54" s="411">
        <f t="shared" si="1"/>
        <v>0</v>
      </c>
      <c r="G54" s="285"/>
      <c r="H54" s="158"/>
      <c r="I54" s="669">
        <f t="shared" si="16"/>
        <v>0</v>
      </c>
      <c r="J54" s="884"/>
      <c r="K54" s="287"/>
      <c r="L54" s="158"/>
      <c r="M54" s="302"/>
      <c r="N54" s="287"/>
      <c r="O54" s="287"/>
      <c r="P54" s="369"/>
      <c r="Q54" s="279">
        <v>0</v>
      </c>
      <c r="R54" s="310">
        <f t="shared" si="47"/>
        <v>0</v>
      </c>
      <c r="S54" s="375">
        <f t="shared" si="48"/>
        <v>0</v>
      </c>
      <c r="T54" s="529"/>
      <c r="U54" s="523"/>
      <c r="V54" s="163"/>
      <c r="W54" s="360">
        <f t="shared" si="2"/>
        <v>0</v>
      </c>
      <c r="X54" s="384"/>
      <c r="Y54" s="63">
        <f t="shared" si="39"/>
        <v>0</v>
      </c>
      <c r="Z54" s="360">
        <f>X54-W54</f>
        <v>0</v>
      </c>
      <c r="AA54" s="523"/>
      <c r="AB54" s="163"/>
      <c r="AC54" s="361"/>
      <c r="AD54" s="280"/>
      <c r="AE54" s="163"/>
      <c r="AF54" s="361"/>
      <c r="AG54" s="280"/>
      <c r="AH54" s="163"/>
      <c r="AI54" s="360">
        <f t="shared" si="45"/>
        <v>0</v>
      </c>
      <c r="AJ54" s="427"/>
      <c r="AK54" s="398"/>
      <c r="AL54" s="334">
        <v>0</v>
      </c>
      <c r="AM54" s="161">
        <f t="shared" si="17"/>
        <v>0</v>
      </c>
      <c r="AN54" s="1013">
        <f t="shared" si="5"/>
        <v>0</v>
      </c>
      <c r="AO54" s="342">
        <v>0</v>
      </c>
      <c r="AP54" s="162">
        <v>0</v>
      </c>
      <c r="AQ54" s="1019">
        <f t="shared" si="40"/>
        <v>0</v>
      </c>
      <c r="AR54" s="402"/>
      <c r="AS54" s="262"/>
      <c r="AT54" s="343"/>
      <c r="AU54" s="544"/>
      <c r="AV54" s="402"/>
      <c r="AW54" s="262"/>
      <c r="AX54" s="343"/>
      <c r="AZ54" s="111"/>
      <c r="BA54" s="146"/>
      <c r="BB54" s="117" t="s">
        <v>239</v>
      </c>
      <c r="BC54" s="117"/>
      <c r="BD54" s="117"/>
      <c r="BE54" s="117"/>
      <c r="BF54" s="117"/>
      <c r="BG54" s="617"/>
      <c r="BH54" s="621">
        <f>AF54-BG54</f>
        <v>0</v>
      </c>
      <c r="BI54" s="617"/>
      <c r="BJ54" s="621">
        <f t="shared" si="42"/>
        <v>0</v>
      </c>
      <c r="BK54" s="117"/>
      <c r="BL54" s="117"/>
      <c r="BM54" s="629">
        <f t="shared" si="18"/>
        <v>0</v>
      </c>
      <c r="BN54" s="629">
        <f t="shared" si="11"/>
        <v>0</v>
      </c>
      <c r="BO54" s="533">
        <f t="shared" si="14"/>
        <v>0</v>
      </c>
      <c r="BP54" s="533"/>
      <c r="BQ54" s="617"/>
      <c r="BR54" s="621">
        <f>AP54-BQ54</f>
        <v>0</v>
      </c>
      <c r="BS54" s="617"/>
      <c r="BT54" s="621">
        <f t="shared" si="44"/>
        <v>0</v>
      </c>
    </row>
    <row r="55" spans="1:74" ht="19.5" customHeight="1" x14ac:dyDescent="0.3">
      <c r="A55" s="1419"/>
      <c r="B55" s="147"/>
      <c r="C55" s="444">
        <v>244</v>
      </c>
      <c r="D55" s="431">
        <v>54335280.240000002</v>
      </c>
      <c r="E55" s="64">
        <f t="shared" si="46"/>
        <v>91341380.239999995</v>
      </c>
      <c r="F55" s="411">
        <f t="shared" si="1"/>
        <v>37006099.999999993</v>
      </c>
      <c r="G55" s="285">
        <v>6515818.2999999998</v>
      </c>
      <c r="H55" s="158">
        <f>J55+L55+O55</f>
        <v>6515818.2999999998</v>
      </c>
      <c r="I55" s="669">
        <f t="shared" si="16"/>
        <v>0</v>
      </c>
      <c r="J55" s="881"/>
      <c r="K55" s="285">
        <v>3934762.54</v>
      </c>
      <c r="L55" s="158">
        <v>3934762.54</v>
      </c>
      <c r="M55" s="298">
        <f>L55-K55</f>
        <v>0</v>
      </c>
      <c r="N55" s="285">
        <v>2581055.7599999998</v>
      </c>
      <c r="O55" s="285">
        <v>2581055.7599999998</v>
      </c>
      <c r="P55" s="367">
        <f>O55-N55</f>
        <v>0</v>
      </c>
      <c r="Q55" s="279">
        <v>4671847.25</v>
      </c>
      <c r="R55" s="310">
        <f t="shared" si="47"/>
        <v>41677947.25</v>
      </c>
      <c r="S55" s="375">
        <f t="shared" si="48"/>
        <v>37006100</v>
      </c>
      <c r="T55" s="528">
        <v>429259.19</v>
      </c>
      <c r="U55" s="310"/>
      <c r="V55" s="1068">
        <f>28582600+9240650.4-817150.39-0.01</f>
        <v>37006100</v>
      </c>
      <c r="W55" s="360">
        <f t="shared" si="2"/>
        <v>37006100</v>
      </c>
      <c r="X55" s="382">
        <v>978752.37</v>
      </c>
      <c r="Y55" s="63">
        <f>978752.36+0.01</f>
        <v>978752.37</v>
      </c>
      <c r="Z55" s="360"/>
      <c r="AA55" s="310">
        <v>1687314.17</v>
      </c>
      <c r="AB55" s="63">
        <v>1687314.17</v>
      </c>
      <c r="AC55" s="360">
        <f>AB55-AA55</f>
        <v>0</v>
      </c>
      <c r="AD55" s="279"/>
      <c r="AE55" s="63"/>
      <c r="AF55" s="360"/>
      <c r="AG55" s="279">
        <v>1576521.5200000003</v>
      </c>
      <c r="AH55" s="63">
        <f>AG55</f>
        <v>1576521.5200000003</v>
      </c>
      <c r="AI55" s="360">
        <f t="shared" si="45"/>
        <v>0</v>
      </c>
      <c r="AJ55" s="425"/>
      <c r="AK55" s="395"/>
      <c r="AL55" s="334">
        <v>43147614.686000004</v>
      </c>
      <c r="AM55" s="161">
        <f t="shared" si="17"/>
        <v>43147614.689999998</v>
      </c>
      <c r="AN55" s="1013">
        <f t="shared" si="5"/>
        <v>3.9999932050704956E-3</v>
      </c>
      <c r="AO55" s="338">
        <v>38155862.186000004</v>
      </c>
      <c r="AP55" s="162">
        <v>38155862.189999998</v>
      </c>
      <c r="AQ55" s="1019">
        <f t="shared" si="40"/>
        <v>3.9999932050704956E-3</v>
      </c>
      <c r="AR55" s="324">
        <v>4991752.5</v>
      </c>
      <c r="AS55" s="162">
        <v>4289138.08</v>
      </c>
      <c r="AT55" s="339">
        <f>AS55-AR55</f>
        <v>-702614.41999999993</v>
      </c>
      <c r="AU55" s="540"/>
      <c r="AV55" s="324"/>
      <c r="AW55" s="162">
        <v>702614.42</v>
      </c>
      <c r="AX55" s="339">
        <f>AW55-AV55</f>
        <v>702614.42</v>
      </c>
      <c r="AZ55" s="111">
        <v>11260837.890000001</v>
      </c>
      <c r="BA55" s="111">
        <v>2931349.03</v>
      </c>
      <c r="BB55" s="117" t="s">
        <v>238</v>
      </c>
      <c r="BG55" s="617"/>
      <c r="BH55" s="621">
        <f>AE55-BG55</f>
        <v>0</v>
      </c>
      <c r="BI55" s="617">
        <v>1302967.3999999999</v>
      </c>
      <c r="BJ55" s="621">
        <f t="shared" si="42"/>
        <v>273554.12000000034</v>
      </c>
      <c r="BM55" s="629">
        <f t="shared" si="18"/>
        <v>43147614.686000004</v>
      </c>
      <c r="BN55" s="629">
        <f t="shared" si="11"/>
        <v>8810001.3200000003</v>
      </c>
      <c r="BO55" s="533">
        <f t="shared" si="14"/>
        <v>34337613.366000004</v>
      </c>
      <c r="BP55" s="533">
        <f>BN55</f>
        <v>8810001.3200000003</v>
      </c>
      <c r="BQ55" s="617">
        <f>7007033.92+500000</f>
        <v>7507033.9199999999</v>
      </c>
      <c r="BR55" s="621">
        <f>AO55-BQ55</f>
        <v>30648828.266000003</v>
      </c>
      <c r="BS55" s="617">
        <v>1302967.3999999999</v>
      </c>
      <c r="BT55" s="621">
        <f t="shared" si="44"/>
        <v>3688785.1</v>
      </c>
    </row>
    <row r="56" spans="1:74" ht="19.5" customHeight="1" x14ac:dyDescent="0.3">
      <c r="A56" s="1417" t="s">
        <v>183</v>
      </c>
      <c r="B56" s="148"/>
      <c r="C56" s="1414">
        <v>243</v>
      </c>
      <c r="D56" s="431">
        <v>52389110</v>
      </c>
      <c r="E56" s="64">
        <f t="shared" si="46"/>
        <v>115847257.70999999</v>
      </c>
      <c r="F56" s="411">
        <f t="shared" si="1"/>
        <v>63458147.709999993</v>
      </c>
      <c r="G56" s="285"/>
      <c r="H56" s="158"/>
      <c r="I56" s="669">
        <f t="shared" si="16"/>
        <v>0</v>
      </c>
      <c r="J56" s="883"/>
      <c r="K56" s="286"/>
      <c r="L56" s="158"/>
      <c r="M56" s="300"/>
      <c r="N56" s="286"/>
      <c r="O56" s="286"/>
      <c r="P56" s="368"/>
      <c r="Q56" s="279">
        <v>52389110</v>
      </c>
      <c r="R56" s="310">
        <f t="shared" si="47"/>
        <v>115847257.70999999</v>
      </c>
      <c r="S56" s="375">
        <f t="shared" si="48"/>
        <v>63458147.709999993</v>
      </c>
      <c r="T56" s="528">
        <v>4389110</v>
      </c>
      <c r="U56" s="310">
        <v>48000000</v>
      </c>
      <c r="V56" s="63">
        <v>111458147.70999999</v>
      </c>
      <c r="W56" s="360">
        <f t="shared" si="2"/>
        <v>63458147.709999993</v>
      </c>
      <c r="X56" s="382"/>
      <c r="Y56" s="63"/>
      <c r="Z56" s="360"/>
      <c r="AA56" s="310"/>
      <c r="AB56" s="63"/>
      <c r="AC56" s="360"/>
      <c r="AD56" s="279"/>
      <c r="AE56" s="63"/>
      <c r="AF56" s="360"/>
      <c r="AG56" s="279"/>
      <c r="AH56" s="63"/>
      <c r="AI56" s="360"/>
      <c r="AJ56" s="425"/>
      <c r="AK56" s="397"/>
      <c r="AL56" s="334">
        <v>0</v>
      </c>
      <c r="AM56" s="161">
        <f t="shared" si="17"/>
        <v>0</v>
      </c>
      <c r="AN56" s="1013">
        <f t="shared" si="5"/>
        <v>0</v>
      </c>
      <c r="AO56" s="340">
        <v>0</v>
      </c>
      <c r="AP56" s="162">
        <v>0</v>
      </c>
      <c r="AQ56" s="1019">
        <f t="shared" si="40"/>
        <v>0</v>
      </c>
      <c r="AR56" s="401"/>
      <c r="AS56" s="259"/>
      <c r="AT56" s="341"/>
      <c r="AU56" s="540"/>
      <c r="AV56" s="401"/>
      <c r="AW56" s="259"/>
      <c r="AX56" s="341"/>
      <c r="BG56" s="617"/>
      <c r="BH56" s="621">
        <f>AF56-BG56</f>
        <v>0</v>
      </c>
      <c r="BI56" s="617"/>
      <c r="BJ56" s="621">
        <f t="shared" si="42"/>
        <v>0</v>
      </c>
      <c r="BM56" s="629">
        <f t="shared" si="18"/>
        <v>0</v>
      </c>
      <c r="BN56" s="629">
        <f t="shared" si="11"/>
        <v>0</v>
      </c>
      <c r="BO56" s="533">
        <f t="shared" si="14"/>
        <v>0</v>
      </c>
      <c r="BP56" s="533"/>
      <c r="BQ56" s="617"/>
      <c r="BR56" s="621">
        <f>AP56-BQ56</f>
        <v>0</v>
      </c>
      <c r="BS56" s="617"/>
      <c r="BT56" s="621">
        <f t="shared" si="44"/>
        <v>0</v>
      </c>
    </row>
    <row r="57" spans="1:74" s="145" customFormat="1" ht="18.75" hidden="1" customHeight="1" x14ac:dyDescent="0.3">
      <c r="A57" s="1418"/>
      <c r="B57" s="149"/>
      <c r="C57" s="1415"/>
      <c r="D57" s="432">
        <v>0</v>
      </c>
      <c r="E57" s="64">
        <f t="shared" si="46"/>
        <v>0</v>
      </c>
      <c r="F57" s="411">
        <f t="shared" si="1"/>
        <v>0</v>
      </c>
      <c r="G57" s="285"/>
      <c r="H57" s="158"/>
      <c r="I57" s="669">
        <f t="shared" si="16"/>
        <v>0</v>
      </c>
      <c r="J57" s="884"/>
      <c r="K57" s="287"/>
      <c r="L57" s="158"/>
      <c r="M57" s="302"/>
      <c r="N57" s="287"/>
      <c r="O57" s="287"/>
      <c r="P57" s="369"/>
      <c r="Q57" s="279">
        <v>0</v>
      </c>
      <c r="R57" s="310">
        <f t="shared" si="47"/>
        <v>0</v>
      </c>
      <c r="S57" s="375">
        <f t="shared" si="48"/>
        <v>0</v>
      </c>
      <c r="T57" s="529"/>
      <c r="U57" s="523"/>
      <c r="V57" s="163"/>
      <c r="W57" s="360">
        <f t="shared" si="2"/>
        <v>0</v>
      </c>
      <c r="X57" s="384"/>
      <c r="Y57" s="63">
        <f t="shared" si="39"/>
        <v>0</v>
      </c>
      <c r="Z57" s="360">
        <f>X57-W57</f>
        <v>0</v>
      </c>
      <c r="AA57" s="523"/>
      <c r="AB57" s="163"/>
      <c r="AC57" s="361"/>
      <c r="AD57" s="280"/>
      <c r="AE57" s="163"/>
      <c r="AF57" s="361"/>
      <c r="AG57" s="280"/>
      <c r="AH57" s="163"/>
      <c r="AI57" s="361"/>
      <c r="AJ57" s="427"/>
      <c r="AK57" s="398"/>
      <c r="AL57" s="334">
        <v>0</v>
      </c>
      <c r="AM57" s="161">
        <f t="shared" si="17"/>
        <v>0</v>
      </c>
      <c r="AN57" s="1013">
        <f t="shared" si="5"/>
        <v>0</v>
      </c>
      <c r="AO57" s="342">
        <v>0</v>
      </c>
      <c r="AP57" s="162">
        <v>0</v>
      </c>
      <c r="AQ57" s="1019">
        <f t="shared" si="40"/>
        <v>0</v>
      </c>
      <c r="AR57" s="402"/>
      <c r="AS57" s="262"/>
      <c r="AT57" s="343"/>
      <c r="AU57" s="544"/>
      <c r="AV57" s="402"/>
      <c r="AW57" s="262"/>
      <c r="AX57" s="343"/>
      <c r="BG57" s="617"/>
      <c r="BH57" s="621">
        <f>AF57-BG57</f>
        <v>0</v>
      </c>
      <c r="BI57" s="617"/>
      <c r="BJ57" s="621">
        <f t="shared" si="42"/>
        <v>0</v>
      </c>
      <c r="BM57" s="629">
        <f t="shared" si="18"/>
        <v>0</v>
      </c>
      <c r="BN57" s="629">
        <f t="shared" si="11"/>
        <v>0</v>
      </c>
      <c r="BO57" s="533">
        <f t="shared" si="14"/>
        <v>0</v>
      </c>
      <c r="BP57" s="533"/>
      <c r="BQ57" s="617"/>
      <c r="BR57" s="621">
        <f>AP57-BQ57</f>
        <v>0</v>
      </c>
      <c r="BS57" s="617"/>
      <c r="BT57" s="621">
        <f t="shared" si="44"/>
        <v>0</v>
      </c>
    </row>
    <row r="58" spans="1:74" s="145" customFormat="1" ht="33.75" hidden="1" customHeight="1" x14ac:dyDescent="0.3">
      <c r="A58" s="1418"/>
      <c r="B58" s="149"/>
      <c r="C58" s="1416"/>
      <c r="D58" s="432">
        <v>0</v>
      </c>
      <c r="E58" s="64">
        <f t="shared" si="46"/>
        <v>0</v>
      </c>
      <c r="F58" s="411">
        <f t="shared" si="1"/>
        <v>0</v>
      </c>
      <c r="G58" s="285"/>
      <c r="H58" s="158"/>
      <c r="I58" s="669">
        <f t="shared" si="16"/>
        <v>0</v>
      </c>
      <c r="J58" s="884"/>
      <c r="K58" s="287"/>
      <c r="L58" s="158"/>
      <c r="M58" s="302"/>
      <c r="N58" s="287"/>
      <c r="O58" s="287"/>
      <c r="P58" s="369"/>
      <c r="Q58" s="279">
        <v>0</v>
      </c>
      <c r="R58" s="310">
        <f t="shared" si="47"/>
        <v>0</v>
      </c>
      <c r="S58" s="375">
        <f t="shared" si="48"/>
        <v>0</v>
      </c>
      <c r="T58" s="529"/>
      <c r="U58" s="523"/>
      <c r="V58" s="163"/>
      <c r="W58" s="360">
        <f t="shared" si="2"/>
        <v>0</v>
      </c>
      <c r="X58" s="384"/>
      <c r="Y58" s="63">
        <f t="shared" si="39"/>
        <v>0</v>
      </c>
      <c r="Z58" s="360">
        <f>X58-W58</f>
        <v>0</v>
      </c>
      <c r="AA58" s="523"/>
      <c r="AB58" s="163"/>
      <c r="AC58" s="361"/>
      <c r="AD58" s="280"/>
      <c r="AE58" s="163"/>
      <c r="AF58" s="361"/>
      <c r="AG58" s="280"/>
      <c r="AH58" s="163"/>
      <c r="AI58" s="361"/>
      <c r="AJ58" s="427"/>
      <c r="AK58" s="398"/>
      <c r="AL58" s="334">
        <v>0</v>
      </c>
      <c r="AM58" s="161">
        <f t="shared" si="17"/>
        <v>0</v>
      </c>
      <c r="AN58" s="1013">
        <f t="shared" si="5"/>
        <v>0</v>
      </c>
      <c r="AO58" s="342">
        <v>0</v>
      </c>
      <c r="AP58" s="162">
        <v>0</v>
      </c>
      <c r="AQ58" s="1019">
        <f t="shared" si="40"/>
        <v>0</v>
      </c>
      <c r="AR58" s="402"/>
      <c r="AS58" s="262"/>
      <c r="AT58" s="343"/>
      <c r="AU58" s="544"/>
      <c r="AV58" s="402"/>
      <c r="AW58" s="262"/>
      <c r="AX58" s="343"/>
      <c r="BG58" s="617"/>
      <c r="BH58" s="621">
        <f>AF58-BG58</f>
        <v>0</v>
      </c>
      <c r="BI58" s="617"/>
      <c r="BJ58" s="621">
        <f t="shared" si="42"/>
        <v>0</v>
      </c>
      <c r="BM58" s="629">
        <f t="shared" si="18"/>
        <v>0</v>
      </c>
      <c r="BN58" s="629">
        <f t="shared" si="11"/>
        <v>0</v>
      </c>
      <c r="BO58" s="533">
        <f t="shared" si="14"/>
        <v>0</v>
      </c>
      <c r="BP58" s="533"/>
      <c r="BQ58" s="617"/>
      <c r="BR58" s="621">
        <f>AP58-BQ58</f>
        <v>0</v>
      </c>
      <c r="BS58" s="617"/>
      <c r="BT58" s="621">
        <f t="shared" si="44"/>
        <v>0</v>
      </c>
    </row>
    <row r="59" spans="1:74" ht="19.5" customHeight="1" x14ac:dyDescent="0.3">
      <c r="A59" s="1419"/>
      <c r="B59" s="140"/>
      <c r="C59" s="444">
        <v>244</v>
      </c>
      <c r="D59" s="431">
        <v>321089173.20999998</v>
      </c>
      <c r="E59" s="64">
        <f t="shared" si="46"/>
        <v>865486725.5</v>
      </c>
      <c r="F59" s="411">
        <f t="shared" si="1"/>
        <v>544397552.28999996</v>
      </c>
      <c r="G59" s="285">
        <v>3819615.4699999997</v>
      </c>
      <c r="H59" s="158">
        <f>J59+L59+O59</f>
        <v>3819615.4699999997</v>
      </c>
      <c r="I59" s="669">
        <f t="shared" si="16"/>
        <v>0</v>
      </c>
      <c r="J59" s="881"/>
      <c r="K59" s="285">
        <v>2389277.44</v>
      </c>
      <c r="L59" s="158">
        <v>2389277.44</v>
      </c>
      <c r="M59" s="298">
        <f>L59-K59</f>
        <v>0</v>
      </c>
      <c r="N59" s="285">
        <v>1430338.03</v>
      </c>
      <c r="O59" s="285">
        <v>1430338.03</v>
      </c>
      <c r="P59" s="367">
        <f>O59-N59</f>
        <v>0</v>
      </c>
      <c r="Q59" s="279">
        <v>297440872.04000002</v>
      </c>
      <c r="R59" s="310">
        <f t="shared" si="47"/>
        <v>841838424.32999992</v>
      </c>
      <c r="S59" s="375">
        <f t="shared" si="48"/>
        <v>544397552.28999996</v>
      </c>
      <c r="T59" s="528">
        <f>143149690.39</f>
        <v>143149690.38999999</v>
      </c>
      <c r="U59" s="310">
        <v>153500000</v>
      </c>
      <c r="V59" s="63">
        <v>697897552.28999996</v>
      </c>
      <c r="W59" s="360">
        <f>V59-U59</f>
        <v>544397552.28999996</v>
      </c>
      <c r="X59" s="382">
        <v>733581.65</v>
      </c>
      <c r="Y59" s="63">
        <v>733581.65</v>
      </c>
      <c r="Z59" s="360"/>
      <c r="AA59" s="310">
        <v>57600</v>
      </c>
      <c r="AB59" s="63">
        <v>57600</v>
      </c>
      <c r="AC59" s="360">
        <f>AB59-AA59</f>
        <v>0</v>
      </c>
      <c r="AD59" s="279"/>
      <c r="AE59" s="63"/>
      <c r="AF59" s="360"/>
      <c r="AG59" s="279"/>
      <c r="AH59" s="63"/>
      <c r="AI59" s="360"/>
      <c r="AJ59" s="425"/>
      <c r="AK59" s="395">
        <v>50000</v>
      </c>
      <c r="AL59" s="334">
        <v>19778685.696000002</v>
      </c>
      <c r="AM59" s="161">
        <f t="shared" si="17"/>
        <v>19778685.699999999</v>
      </c>
      <c r="AN59" s="1013">
        <f t="shared" si="5"/>
        <v>3.9999969303607941E-3</v>
      </c>
      <c r="AO59" s="338">
        <v>16879285.696000002</v>
      </c>
      <c r="AP59" s="162">
        <v>18130316.859999999</v>
      </c>
      <c r="AQ59" s="1019">
        <f t="shared" si="40"/>
        <v>1251031.1639999971</v>
      </c>
      <c r="AR59" s="324">
        <v>2899400</v>
      </c>
      <c r="AS59" s="162">
        <v>1259002.3700000001</v>
      </c>
      <c r="AT59" s="339">
        <f>AS59-AR59</f>
        <v>-1640397.63</v>
      </c>
      <c r="AU59" s="540"/>
      <c r="AV59" s="324"/>
      <c r="AW59" s="162">
        <v>389366.47</v>
      </c>
      <c r="AX59" s="339">
        <f>AW59-AV59</f>
        <v>389366.47</v>
      </c>
      <c r="BG59" s="617"/>
      <c r="BH59" s="621">
        <f>AE59-BG59</f>
        <v>0</v>
      </c>
      <c r="BI59" s="617">
        <v>6240714.6699999999</v>
      </c>
      <c r="BJ59" s="621">
        <f t="shared" si="42"/>
        <v>-6240714.6699999999</v>
      </c>
      <c r="BM59" s="629">
        <f t="shared" si="18"/>
        <v>19778685.696000002</v>
      </c>
      <c r="BN59" s="629">
        <f t="shared" si="11"/>
        <v>15301417.92</v>
      </c>
      <c r="BO59" s="533">
        <f t="shared" si="14"/>
        <v>4477267.7760000024</v>
      </c>
      <c r="BP59" s="533">
        <f>BN59</f>
        <v>15301417.92</v>
      </c>
      <c r="BQ59" s="617">
        <f>10892760.59-2332057.34+500000</f>
        <v>9060703.25</v>
      </c>
      <c r="BR59" s="621">
        <f>AO59-BQ59</f>
        <v>7818582.4460000023</v>
      </c>
      <c r="BS59" s="617">
        <v>6240714.6699999999</v>
      </c>
      <c r="BT59" s="621">
        <f t="shared" si="44"/>
        <v>-3341314.67</v>
      </c>
      <c r="BV59" s="117">
        <f>2595807.22+2416357.34</f>
        <v>5012164.5600000005</v>
      </c>
    </row>
    <row r="60" spans="1:74" ht="19.5" customHeight="1" x14ac:dyDescent="0.3">
      <c r="A60" s="1417" t="s">
        <v>184</v>
      </c>
      <c r="B60" s="547"/>
      <c r="C60" s="444">
        <v>243</v>
      </c>
      <c r="D60" s="431">
        <v>0</v>
      </c>
      <c r="E60" s="64">
        <f>H60+R60+AL60+AK60</f>
        <v>0</v>
      </c>
      <c r="F60" s="411">
        <f t="shared" si="1"/>
        <v>0</v>
      </c>
      <c r="G60" s="285"/>
      <c r="H60" s="158"/>
      <c r="I60" s="669">
        <f t="shared" si="16"/>
        <v>0</v>
      </c>
      <c r="J60" s="881"/>
      <c r="K60" s="285"/>
      <c r="L60" s="158"/>
      <c r="M60" s="298"/>
      <c r="N60" s="297"/>
      <c r="O60" s="285"/>
      <c r="P60" s="367"/>
      <c r="Q60" s="279"/>
      <c r="R60" s="310">
        <f t="shared" si="47"/>
        <v>0</v>
      </c>
      <c r="S60" s="375"/>
      <c r="T60" s="528"/>
      <c r="U60" s="310">
        <v>0</v>
      </c>
      <c r="V60" s="63">
        <v>0</v>
      </c>
      <c r="W60" s="360">
        <f t="shared" si="2"/>
        <v>0</v>
      </c>
      <c r="X60" s="382">
        <v>0</v>
      </c>
      <c r="Y60" s="63">
        <f t="shared" si="39"/>
        <v>0</v>
      </c>
      <c r="Z60" s="360">
        <f>X60-W60</f>
        <v>0</v>
      </c>
      <c r="AA60" s="310"/>
      <c r="AB60" s="63"/>
      <c r="AC60" s="360"/>
      <c r="AD60" s="279"/>
      <c r="AE60" s="63"/>
      <c r="AF60" s="360"/>
      <c r="AG60" s="279"/>
      <c r="AH60" s="63"/>
      <c r="AI60" s="360"/>
      <c r="AJ60" s="425">
        <v>0</v>
      </c>
      <c r="AK60" s="395">
        <v>0</v>
      </c>
      <c r="AL60" s="338">
        <v>0</v>
      </c>
      <c r="AM60" s="161">
        <f t="shared" si="17"/>
        <v>0</v>
      </c>
      <c r="AN60" s="1013">
        <f t="shared" si="5"/>
        <v>0</v>
      </c>
      <c r="AO60" s="338"/>
      <c r="AP60" s="162"/>
      <c r="AQ60" s="1019">
        <f t="shared" si="40"/>
        <v>0</v>
      </c>
      <c r="AR60" s="324"/>
      <c r="AS60" s="162"/>
      <c r="AT60" s="339"/>
      <c r="AU60" s="540">
        <v>0</v>
      </c>
      <c r="AV60" s="324"/>
      <c r="AW60" s="162"/>
      <c r="AX60" s="339"/>
      <c r="BG60" s="617"/>
      <c r="BH60" s="621">
        <f>AF60-BG60</f>
        <v>0</v>
      </c>
      <c r="BI60" s="617"/>
      <c r="BJ60" s="621">
        <f t="shared" si="42"/>
        <v>0</v>
      </c>
      <c r="BM60" s="629">
        <f t="shared" si="18"/>
        <v>0</v>
      </c>
      <c r="BN60" s="629">
        <f t="shared" si="11"/>
        <v>0</v>
      </c>
      <c r="BO60" s="533">
        <f t="shared" si="14"/>
        <v>0</v>
      </c>
      <c r="BP60" s="533"/>
      <c r="BQ60" s="617"/>
      <c r="BR60" s="621">
        <f>AP60-BQ60</f>
        <v>0</v>
      </c>
      <c r="BS60" s="617"/>
      <c r="BT60" s="621">
        <f t="shared" si="44"/>
        <v>0</v>
      </c>
    </row>
    <row r="61" spans="1:74" ht="16.5" customHeight="1" x14ac:dyDescent="0.3">
      <c r="A61" s="1419"/>
      <c r="B61" s="548"/>
      <c r="C61" s="444">
        <v>244</v>
      </c>
      <c r="D61" s="431">
        <v>1034</v>
      </c>
      <c r="E61" s="64">
        <f>H61+R61+AM61+AK61</f>
        <v>1034</v>
      </c>
      <c r="F61" s="411">
        <f t="shared" si="1"/>
        <v>0</v>
      </c>
      <c r="G61" s="285">
        <v>1034</v>
      </c>
      <c r="H61" s="158">
        <f>J61+L61+O61</f>
        <v>1034</v>
      </c>
      <c r="I61" s="669">
        <f t="shared" si="16"/>
        <v>0</v>
      </c>
      <c r="J61" s="881">
        <f>SUM(J62:J66)</f>
        <v>0</v>
      </c>
      <c r="K61" s="285">
        <v>1034</v>
      </c>
      <c r="L61" s="158">
        <v>1034</v>
      </c>
      <c r="M61" s="298">
        <f>L61-K61</f>
        <v>0</v>
      </c>
      <c r="N61" s="297"/>
      <c r="O61" s="285"/>
      <c r="P61" s="367">
        <f>O61-N61</f>
        <v>0</v>
      </c>
      <c r="Q61" s="279"/>
      <c r="R61" s="310">
        <f t="shared" si="47"/>
        <v>0</v>
      </c>
      <c r="S61" s="375">
        <f>R61-Q61</f>
        <v>0</v>
      </c>
      <c r="T61" s="528"/>
      <c r="U61" s="310"/>
      <c r="V61" s="63"/>
      <c r="W61" s="360">
        <f t="shared" si="2"/>
        <v>0</v>
      </c>
      <c r="X61" s="382"/>
      <c r="Y61" s="63">
        <f t="shared" si="39"/>
        <v>0</v>
      </c>
      <c r="Z61" s="360">
        <f>X61-W61</f>
        <v>0</v>
      </c>
      <c r="AA61" s="310"/>
      <c r="AB61" s="63"/>
      <c r="AC61" s="360">
        <f>AB61-AA61</f>
        <v>0</v>
      </c>
      <c r="AD61" s="279"/>
      <c r="AE61" s="63"/>
      <c r="AF61" s="360"/>
      <c r="AG61" s="279"/>
      <c r="AH61" s="63"/>
      <c r="AI61" s="360"/>
      <c r="AJ61" s="425">
        <f t="shared" ref="AJ61:AU61" si="49">SUM(AJ62:AJ66)</f>
        <v>0</v>
      </c>
      <c r="AK61" s="395">
        <f t="shared" si="49"/>
        <v>0</v>
      </c>
      <c r="AL61" s="338">
        <v>0</v>
      </c>
      <c r="AM61" s="161">
        <f t="shared" si="17"/>
        <v>0</v>
      </c>
      <c r="AN61" s="1013">
        <f t="shared" si="5"/>
        <v>0</v>
      </c>
      <c r="AO61" s="338"/>
      <c r="AP61" s="324"/>
      <c r="AQ61" s="1019"/>
      <c r="AR61" s="324"/>
      <c r="AS61" s="162"/>
      <c r="AT61" s="339">
        <f>AS61-AR61</f>
        <v>0</v>
      </c>
      <c r="AU61" s="540">
        <f t="shared" si="49"/>
        <v>0</v>
      </c>
      <c r="AV61" s="324"/>
      <c r="AW61" s="162"/>
      <c r="AX61" s="339">
        <f>AW61-AV61</f>
        <v>0</v>
      </c>
      <c r="AZ61" s="1065" t="s">
        <v>237</v>
      </c>
      <c r="BA61" s="1065" t="s">
        <v>197</v>
      </c>
      <c r="BB61" s="1065" t="s">
        <v>197</v>
      </c>
      <c r="BC61" s="1065"/>
      <c r="BD61" s="1065"/>
      <c r="BE61" s="1065"/>
      <c r="BF61" s="1065"/>
      <c r="BG61" s="617"/>
      <c r="BH61" s="621">
        <f>AF61-BG61</f>
        <v>0</v>
      </c>
      <c r="BI61" s="617">
        <v>25587.66</v>
      </c>
      <c r="BJ61" s="621">
        <f t="shared" si="42"/>
        <v>-25587.66</v>
      </c>
      <c r="BK61" s="1065"/>
      <c r="BL61" s="1065"/>
      <c r="BM61" s="629">
        <f t="shared" si="18"/>
        <v>0</v>
      </c>
      <c r="BN61" s="629">
        <f t="shared" si="11"/>
        <v>25587.66</v>
      </c>
      <c r="BO61" s="533">
        <f t="shared" si="14"/>
        <v>-25587.66</v>
      </c>
      <c r="BP61" s="533">
        <f>BN61</f>
        <v>25587.66</v>
      </c>
      <c r="BQ61" s="617"/>
      <c r="BR61" s="621">
        <f>AP61-BQ61</f>
        <v>0</v>
      </c>
      <c r="BS61" s="617">
        <v>25587.66</v>
      </c>
      <c r="BT61" s="621">
        <f t="shared" si="44"/>
        <v>-25587.66</v>
      </c>
    </row>
    <row r="62" spans="1:74" x14ac:dyDescent="0.3">
      <c r="A62" s="1420" t="s">
        <v>185</v>
      </c>
      <c r="B62" s="1422"/>
      <c r="C62" s="1064">
        <v>243</v>
      </c>
      <c r="D62" s="431">
        <v>860103.18</v>
      </c>
      <c r="E62" s="64">
        <f>H62+R62+AL62+AK62</f>
        <v>860103.18</v>
      </c>
      <c r="F62" s="411">
        <f t="shared" si="1"/>
        <v>0</v>
      </c>
      <c r="G62" s="285"/>
      <c r="H62" s="158"/>
      <c r="I62" s="669">
        <f t="shared" si="16"/>
        <v>0</v>
      </c>
      <c r="J62" s="881"/>
      <c r="K62" s="285"/>
      <c r="L62" s="158"/>
      <c r="M62" s="298"/>
      <c r="N62" s="297"/>
      <c r="O62" s="285"/>
      <c r="P62" s="367"/>
      <c r="Q62" s="279">
        <v>860103.18</v>
      </c>
      <c r="R62" s="310">
        <f t="shared" si="47"/>
        <v>860103.18</v>
      </c>
      <c r="S62" s="375">
        <f>R62-Q62</f>
        <v>0</v>
      </c>
      <c r="T62" s="528">
        <f>R104</f>
        <v>860103.18</v>
      </c>
      <c r="U62" s="310"/>
      <c r="V62" s="63"/>
      <c r="W62" s="360">
        <f t="shared" si="2"/>
        <v>0</v>
      </c>
      <c r="X62" s="382"/>
      <c r="Y62" s="63">
        <f t="shared" si="39"/>
        <v>0</v>
      </c>
      <c r="Z62" s="360">
        <f>X62-W62</f>
        <v>0</v>
      </c>
      <c r="AA62" s="310"/>
      <c r="AB62" s="63"/>
      <c r="AC62" s="360"/>
      <c r="AD62" s="279"/>
      <c r="AE62" s="63"/>
      <c r="AF62" s="360"/>
      <c r="AG62" s="279"/>
      <c r="AH62" s="63"/>
      <c r="AI62" s="360"/>
      <c r="AJ62" s="425"/>
      <c r="AK62" s="395"/>
      <c r="AL62" s="334">
        <v>0</v>
      </c>
      <c r="AM62" s="161">
        <f t="shared" si="17"/>
        <v>0</v>
      </c>
      <c r="AN62" s="1013">
        <f t="shared" si="5"/>
        <v>0</v>
      </c>
      <c r="AO62" s="338"/>
      <c r="AP62" s="162"/>
      <c r="AQ62" s="1019">
        <f t="shared" si="40"/>
        <v>0</v>
      </c>
      <c r="AR62" s="324"/>
      <c r="AS62" s="162"/>
      <c r="AT62" s="339"/>
      <c r="AU62" s="540"/>
      <c r="AV62" s="324"/>
      <c r="AW62" s="162"/>
      <c r="AX62" s="339"/>
      <c r="AZ62" s="118"/>
      <c r="BA62" s="146">
        <v>2621361</v>
      </c>
      <c r="BB62" s="611"/>
      <c r="BC62" s="636"/>
      <c r="BD62" s="636"/>
      <c r="BE62" s="636"/>
      <c r="BF62" s="636"/>
      <c r="BG62" s="617"/>
      <c r="BH62" s="621">
        <f>AF62-BG62</f>
        <v>0</v>
      </c>
      <c r="BI62" s="617"/>
      <c r="BJ62" s="621">
        <f>AH62-BI62</f>
        <v>0</v>
      </c>
      <c r="BK62" s="636"/>
      <c r="BL62" s="636"/>
      <c r="BM62" s="629">
        <f t="shared" si="18"/>
        <v>0</v>
      </c>
      <c r="BN62" s="629">
        <f t="shared" si="11"/>
        <v>0</v>
      </c>
      <c r="BO62" s="533">
        <f t="shared" si="14"/>
        <v>0</v>
      </c>
      <c r="BP62" s="533"/>
      <c r="BQ62" s="617"/>
      <c r="BR62" s="621">
        <f>AP62-BQ62</f>
        <v>0</v>
      </c>
      <c r="BS62" s="617"/>
      <c r="BT62" s="621">
        <f>AR62-BS62</f>
        <v>0</v>
      </c>
    </row>
    <row r="63" spans="1:74" x14ac:dyDescent="0.3">
      <c r="A63" s="1421"/>
      <c r="B63" s="1423"/>
      <c r="C63" s="1064">
        <v>244</v>
      </c>
      <c r="D63" s="431">
        <v>230776734.66</v>
      </c>
      <c r="E63" s="64">
        <f>H63+R63+AM63+AK63</f>
        <v>277328236.04499996</v>
      </c>
      <c r="F63" s="411">
        <f t="shared" si="1"/>
        <v>46551501.384999961</v>
      </c>
      <c r="G63" s="285">
        <v>2019992.7</v>
      </c>
      <c r="H63" s="158">
        <f>J63+L63+O63</f>
        <v>2019992.7000000002</v>
      </c>
      <c r="I63" s="669">
        <f t="shared" si="16"/>
        <v>0</v>
      </c>
      <c r="J63" s="881"/>
      <c r="K63" s="285">
        <v>1247751.54</v>
      </c>
      <c r="L63" s="158">
        <v>1247751.54</v>
      </c>
      <c r="M63" s="298">
        <f>L63-K63</f>
        <v>0</v>
      </c>
      <c r="N63" s="367">
        <v>772241.16</v>
      </c>
      <c r="O63" s="158">
        <v>772241.16</v>
      </c>
      <c r="P63" s="367">
        <f>O63-N63</f>
        <v>0</v>
      </c>
      <c r="Q63" s="279">
        <v>226004857.31</v>
      </c>
      <c r="R63" s="310">
        <f>T63+V63+Y63+AB63+AE63+AH63</f>
        <v>272556358.69999999</v>
      </c>
      <c r="S63" s="375">
        <f>R63-Q63</f>
        <v>46551501.389999986</v>
      </c>
      <c r="T63" s="528">
        <f>88525993.1-1033200-36204</f>
        <v>87456589.099999994</v>
      </c>
      <c r="U63" s="310">
        <v>138442000</v>
      </c>
      <c r="V63" s="63">
        <v>184993501.38999999</v>
      </c>
      <c r="W63" s="360">
        <f t="shared" si="2"/>
        <v>46551501.389999986</v>
      </c>
      <c r="X63" s="382">
        <v>106268.21</v>
      </c>
      <c r="Y63" s="63">
        <f>106268.22-0.01</f>
        <v>106268.21</v>
      </c>
      <c r="Z63" s="360"/>
      <c r="AA63" s="310"/>
      <c r="AB63" s="63"/>
      <c r="AC63" s="360"/>
      <c r="AD63" s="279"/>
      <c r="AE63" s="63"/>
      <c r="AF63" s="360"/>
      <c r="AG63" s="279"/>
      <c r="AH63" s="63"/>
      <c r="AI63" s="360"/>
      <c r="AJ63" s="425"/>
      <c r="AK63" s="395"/>
      <c r="AL63" s="334">
        <v>745524.42</v>
      </c>
      <c r="AM63" s="161">
        <f t="shared" si="17"/>
        <v>2751884.645</v>
      </c>
      <c r="AN63" s="1013">
        <f t="shared" si="5"/>
        <v>2006360.2250000001</v>
      </c>
      <c r="AO63" s="338">
        <v>607649</v>
      </c>
      <c r="AP63" s="162">
        <f>2000000-0.005</f>
        <v>1999999.9950000001</v>
      </c>
      <c r="AQ63" s="1019">
        <f t="shared" si="40"/>
        <v>1392350.9950000001</v>
      </c>
      <c r="AR63" s="324">
        <v>137875.42000000001</v>
      </c>
      <c r="AS63" s="162">
        <v>541665.35</v>
      </c>
      <c r="AT63" s="339">
        <f>AS63-AR63</f>
        <v>403789.92999999993</v>
      </c>
      <c r="AU63" s="540"/>
      <c r="AV63" s="324"/>
      <c r="AW63" s="162">
        <v>210219.3</v>
      </c>
      <c r="AX63" s="339">
        <f>AW63-AV63</f>
        <v>210219.3</v>
      </c>
      <c r="AZ63" s="111"/>
      <c r="BA63" s="111">
        <v>487564.3</v>
      </c>
      <c r="BG63" s="617"/>
      <c r="BH63" s="621">
        <f>AE63-BG63</f>
        <v>0</v>
      </c>
      <c r="BI63" s="617">
        <v>2174384</v>
      </c>
      <c r="BJ63" s="621">
        <f t="shared" ref="BJ63:BJ66" si="50">AH63-BI63</f>
        <v>-2174384</v>
      </c>
      <c r="BM63" s="629">
        <f t="shared" si="18"/>
        <v>745524.42</v>
      </c>
      <c r="BN63" s="629">
        <f t="shared" si="11"/>
        <v>3971652.4699999997</v>
      </c>
      <c r="BO63" s="533">
        <f t="shared" si="14"/>
        <v>-3226128.05</v>
      </c>
      <c r="BP63" s="533">
        <f>BM63</f>
        <v>745524.42</v>
      </c>
      <c r="BQ63" s="617">
        <f>1878568.47-81300</f>
        <v>1797268.47</v>
      </c>
      <c r="BR63" s="621">
        <f>AO63-BQ63</f>
        <v>-1189619.47</v>
      </c>
      <c r="BS63" s="617">
        <v>2174384</v>
      </c>
      <c r="BT63" s="621">
        <f t="shared" si="44"/>
        <v>-2036508.58</v>
      </c>
    </row>
    <row r="64" spans="1:74" ht="31.5" x14ac:dyDescent="0.3">
      <c r="A64" s="437" t="s">
        <v>186</v>
      </c>
      <c r="B64" s="1062"/>
      <c r="C64" s="1064">
        <v>244</v>
      </c>
      <c r="D64" s="431">
        <v>0</v>
      </c>
      <c r="E64" s="59">
        <f>H64+R64+AL64+AK64</f>
        <v>0</v>
      </c>
      <c r="F64" s="411">
        <f t="shared" si="1"/>
        <v>0</v>
      </c>
      <c r="G64" s="285"/>
      <c r="H64" s="158"/>
      <c r="I64" s="669">
        <f t="shared" si="16"/>
        <v>0</v>
      </c>
      <c r="J64" s="881"/>
      <c r="K64" s="285"/>
      <c r="L64" s="158"/>
      <c r="M64" s="298"/>
      <c r="N64" s="367"/>
      <c r="O64" s="158"/>
      <c r="P64" s="367"/>
      <c r="Q64" s="279"/>
      <c r="R64" s="310">
        <f t="shared" si="47"/>
        <v>0</v>
      </c>
      <c r="S64" s="375"/>
      <c r="T64" s="528"/>
      <c r="U64" s="310"/>
      <c r="V64" s="63"/>
      <c r="W64" s="360">
        <f t="shared" si="2"/>
        <v>0</v>
      </c>
      <c r="X64" s="382"/>
      <c r="Y64" s="63">
        <f t="shared" si="39"/>
        <v>0</v>
      </c>
      <c r="Z64" s="360">
        <f>X64-W64</f>
        <v>0</v>
      </c>
      <c r="AA64" s="310"/>
      <c r="AB64" s="63"/>
      <c r="AC64" s="360"/>
      <c r="AD64" s="279"/>
      <c r="AE64" s="63"/>
      <c r="AF64" s="360"/>
      <c r="AG64" s="279"/>
      <c r="AH64" s="63"/>
      <c r="AI64" s="360"/>
      <c r="AJ64" s="425"/>
      <c r="AK64" s="395"/>
      <c r="AL64" s="334">
        <v>0</v>
      </c>
      <c r="AM64" s="161">
        <f t="shared" si="17"/>
        <v>0</v>
      </c>
      <c r="AN64" s="1013">
        <f t="shared" si="5"/>
        <v>0</v>
      </c>
      <c r="AO64" s="338"/>
      <c r="AP64" s="162"/>
      <c r="AQ64" s="1019">
        <f t="shared" si="40"/>
        <v>0</v>
      </c>
      <c r="AR64" s="324"/>
      <c r="AS64" s="162"/>
      <c r="AT64" s="339"/>
      <c r="AU64" s="540"/>
      <c r="AV64" s="324"/>
      <c r="AW64" s="162"/>
      <c r="AX64" s="339"/>
      <c r="AZ64" s="1065" t="s">
        <v>237</v>
      </c>
      <c r="BA64" s="1065" t="s">
        <v>197</v>
      </c>
      <c r="BG64" s="617"/>
      <c r="BH64" s="621">
        <f>AF64-BG64</f>
        <v>0</v>
      </c>
      <c r="BI64" s="617"/>
      <c r="BJ64" s="621">
        <f t="shared" si="50"/>
        <v>0</v>
      </c>
      <c r="BM64" s="629">
        <f t="shared" si="18"/>
        <v>0</v>
      </c>
      <c r="BN64" s="629">
        <f t="shared" si="11"/>
        <v>0</v>
      </c>
      <c r="BO64" s="533">
        <f t="shared" si="14"/>
        <v>0</v>
      </c>
      <c r="BP64" s="533"/>
      <c r="BQ64" s="617"/>
      <c r="BR64" s="621">
        <f>AP64-BQ64</f>
        <v>0</v>
      </c>
      <c r="BS64" s="617"/>
      <c r="BT64" s="621">
        <f t="shared" si="44"/>
        <v>0</v>
      </c>
    </row>
    <row r="65" spans="1:72" x14ac:dyDescent="0.3">
      <c r="A65" s="1420" t="s">
        <v>187</v>
      </c>
      <c r="B65" s="1424"/>
      <c r="C65" s="1064">
        <v>243</v>
      </c>
      <c r="D65" s="431">
        <v>0</v>
      </c>
      <c r="E65" s="59">
        <f>H65+R65+AL65+AK65</f>
        <v>0</v>
      </c>
      <c r="F65" s="411">
        <f t="shared" si="1"/>
        <v>0</v>
      </c>
      <c r="G65" s="285"/>
      <c r="H65" s="158"/>
      <c r="I65" s="669">
        <f t="shared" si="16"/>
        <v>0</v>
      </c>
      <c r="J65" s="881"/>
      <c r="K65" s="285"/>
      <c r="L65" s="158"/>
      <c r="M65" s="298"/>
      <c r="N65" s="367"/>
      <c r="O65" s="158"/>
      <c r="P65" s="367"/>
      <c r="Q65" s="279"/>
      <c r="R65" s="310">
        <f t="shared" si="47"/>
        <v>0</v>
      </c>
      <c r="S65" s="375"/>
      <c r="T65" s="528"/>
      <c r="U65" s="310"/>
      <c r="V65" s="63"/>
      <c r="W65" s="360">
        <f t="shared" si="2"/>
        <v>0</v>
      </c>
      <c r="X65" s="382"/>
      <c r="Y65" s="63">
        <f t="shared" si="39"/>
        <v>0</v>
      </c>
      <c r="Z65" s="360">
        <f>X65-W65</f>
        <v>0</v>
      </c>
      <c r="AA65" s="310"/>
      <c r="AB65" s="63"/>
      <c r="AC65" s="360"/>
      <c r="AD65" s="279"/>
      <c r="AE65" s="63"/>
      <c r="AF65" s="360"/>
      <c r="AG65" s="279"/>
      <c r="AH65" s="63"/>
      <c r="AI65" s="360"/>
      <c r="AJ65" s="425"/>
      <c r="AK65" s="395"/>
      <c r="AL65" s="334">
        <v>0</v>
      </c>
      <c r="AM65" s="161">
        <f t="shared" si="17"/>
        <v>0</v>
      </c>
      <c r="AN65" s="1013">
        <f t="shared" si="5"/>
        <v>0</v>
      </c>
      <c r="AO65" s="338"/>
      <c r="AP65" s="162"/>
      <c r="AQ65" s="1019">
        <f t="shared" si="40"/>
        <v>0</v>
      </c>
      <c r="AR65" s="324"/>
      <c r="AS65" s="162"/>
      <c r="AT65" s="339"/>
      <c r="AU65" s="540"/>
      <c r="AV65" s="324"/>
      <c r="AW65" s="162"/>
      <c r="AX65" s="339"/>
      <c r="AZ65" s="118"/>
      <c r="BA65" s="146">
        <v>-260231.34</v>
      </c>
      <c r="BG65" s="617"/>
      <c r="BH65" s="621">
        <f>AF65-BG65</f>
        <v>0</v>
      </c>
      <c r="BI65" s="617"/>
      <c r="BJ65" s="621">
        <f t="shared" si="50"/>
        <v>0</v>
      </c>
      <c r="BM65" s="629">
        <f t="shared" si="18"/>
        <v>0</v>
      </c>
      <c r="BN65" s="629">
        <f t="shared" si="11"/>
        <v>0</v>
      </c>
      <c r="BO65" s="533">
        <f t="shared" si="14"/>
        <v>0</v>
      </c>
      <c r="BP65" s="533"/>
      <c r="BQ65" s="617"/>
      <c r="BR65" s="621">
        <f>AP65-BQ65</f>
        <v>0</v>
      </c>
      <c r="BS65" s="617"/>
      <c r="BT65" s="621">
        <f t="shared" si="44"/>
        <v>0</v>
      </c>
    </row>
    <row r="66" spans="1:72" x14ac:dyDescent="0.3">
      <c r="A66" s="1421"/>
      <c r="B66" s="1423"/>
      <c r="C66" s="1064">
        <v>244</v>
      </c>
      <c r="D66" s="431">
        <v>150393593.84</v>
      </c>
      <c r="E66" s="64">
        <f>H66+R66+AM66+AK66</f>
        <v>214289292.44</v>
      </c>
      <c r="F66" s="411">
        <f t="shared" si="1"/>
        <v>63895698.599999994</v>
      </c>
      <c r="G66" s="285">
        <v>22183509.009999998</v>
      </c>
      <c r="H66" s="158">
        <f>J66+L66+O66</f>
        <v>22183509.009999998</v>
      </c>
      <c r="I66" s="669">
        <f t="shared" si="16"/>
        <v>0</v>
      </c>
      <c r="J66" s="881"/>
      <c r="K66" s="285">
        <v>13818675.92</v>
      </c>
      <c r="L66" s="158">
        <v>13818675.92</v>
      </c>
      <c r="M66" s="298">
        <f>L66-K66</f>
        <v>0</v>
      </c>
      <c r="N66" s="367">
        <v>8364833.0899999999</v>
      </c>
      <c r="O66" s="158">
        <v>8364833.0899999999</v>
      </c>
      <c r="P66" s="367">
        <f>O66-N66</f>
        <v>0</v>
      </c>
      <c r="Q66" s="279">
        <v>34763856.479999997</v>
      </c>
      <c r="R66" s="310">
        <f t="shared" si="47"/>
        <v>98659555.079999998</v>
      </c>
      <c r="S66" s="375">
        <f>R66-Q66</f>
        <v>63895698.600000001</v>
      </c>
      <c r="T66" s="528">
        <f>7077043.25-1435000-109027.16</f>
        <v>5533016.0899999999</v>
      </c>
      <c r="U66" s="310">
        <v>20000000</v>
      </c>
      <c r="V66" s="63">
        <v>83895698.609999999</v>
      </c>
      <c r="W66" s="360">
        <f t="shared" si="2"/>
        <v>63895698.609999999</v>
      </c>
      <c r="X66" s="382">
        <v>6369566.25</v>
      </c>
      <c r="Y66" s="63">
        <f>6369566.26-0.01</f>
        <v>6369566.25</v>
      </c>
      <c r="Z66" s="360"/>
      <c r="AA66" s="310">
        <v>2861274.13</v>
      </c>
      <c r="AB66" s="63">
        <v>2861274.13</v>
      </c>
      <c r="AC66" s="360">
        <f>AB66-AA66</f>
        <v>0</v>
      </c>
      <c r="AD66" s="279"/>
      <c r="AE66" s="63"/>
      <c r="AF66" s="360"/>
      <c r="AG66" s="279"/>
      <c r="AH66" s="63"/>
      <c r="AI66" s="360"/>
      <c r="AJ66" s="425"/>
      <c r="AK66" s="395"/>
      <c r="AL66" s="334">
        <v>95722936.533999994</v>
      </c>
      <c r="AM66" s="161">
        <f t="shared" si="17"/>
        <v>93446228.350000009</v>
      </c>
      <c r="AN66" s="1013">
        <f t="shared" si="5"/>
        <v>-2276708.1839999855</v>
      </c>
      <c r="AO66" s="338">
        <v>72017548.733999997</v>
      </c>
      <c r="AP66" s="162">
        <f>76818434.87</f>
        <v>76818434.870000005</v>
      </c>
      <c r="AQ66" s="1019">
        <f t="shared" si="40"/>
        <v>4800886.1360000074</v>
      </c>
      <c r="AR66" s="324">
        <f>23705387.8</f>
        <v>23705387.800000001</v>
      </c>
      <c r="AS66" s="162">
        <v>14350719.92</v>
      </c>
      <c r="AT66" s="339">
        <f>AS66-AR66</f>
        <v>-9354667.8800000008</v>
      </c>
      <c r="AU66" s="540"/>
      <c r="AV66" s="324"/>
      <c r="AW66" s="162">
        <v>2277073.56</v>
      </c>
      <c r="AX66" s="339">
        <f>AW66-AV66</f>
        <v>2277073.56</v>
      </c>
      <c r="AZ66" s="111">
        <v>74638998.689999998</v>
      </c>
      <c r="BA66" s="111">
        <v>25190635.949999999</v>
      </c>
      <c r="BG66" s="617"/>
      <c r="BH66" s="621">
        <f>AE66-BG66</f>
        <v>0</v>
      </c>
      <c r="BI66" s="617">
        <v>14782649</v>
      </c>
      <c r="BJ66" s="621">
        <f t="shared" si="50"/>
        <v>-14782649</v>
      </c>
      <c r="BM66" s="629">
        <f t="shared" si="18"/>
        <v>95722936.533999994</v>
      </c>
      <c r="BN66" s="629">
        <f t="shared" si="11"/>
        <v>81371069.319999993</v>
      </c>
      <c r="BO66" s="533">
        <f t="shared" si="14"/>
        <v>14351867.214000002</v>
      </c>
      <c r="BP66" s="533">
        <f>BN66</f>
        <v>81371069.319999993</v>
      </c>
      <c r="BQ66" s="617">
        <f>64959183.81-3000+1195603.28+500000-63366.77</f>
        <v>66588420.32</v>
      </c>
      <c r="BR66" s="621">
        <f>AO66-BQ66</f>
        <v>5429128.4139999971</v>
      </c>
      <c r="BS66" s="617">
        <v>14782649</v>
      </c>
      <c r="BT66" s="621">
        <f t="shared" si="44"/>
        <v>8922738.8000000007</v>
      </c>
    </row>
    <row r="67" spans="1:72" s="115" customFormat="1" ht="21.75" customHeight="1" x14ac:dyDescent="0.3">
      <c r="A67" s="435" t="s">
        <v>188</v>
      </c>
      <c r="B67" s="1063">
        <v>300</v>
      </c>
      <c r="C67" s="436" t="s">
        <v>149</v>
      </c>
      <c r="D67" s="430">
        <v>0</v>
      </c>
      <c r="E67" s="59">
        <f t="shared" ref="E67:E74" si="51">H67+R67+AL67+AK67</f>
        <v>0</v>
      </c>
      <c r="F67" s="411">
        <f t="shared" si="1"/>
        <v>0</v>
      </c>
      <c r="G67" s="283"/>
      <c r="H67" s="157"/>
      <c r="I67" s="669">
        <f t="shared" si="16"/>
        <v>0</v>
      </c>
      <c r="J67" s="882"/>
      <c r="K67" s="283"/>
      <c r="L67" s="157"/>
      <c r="M67" s="294"/>
      <c r="N67" s="521"/>
      <c r="O67" s="157"/>
      <c r="P67" s="365"/>
      <c r="Q67" s="276"/>
      <c r="R67" s="307"/>
      <c r="S67" s="372"/>
      <c r="T67" s="525"/>
      <c r="U67" s="307">
        <v>0</v>
      </c>
      <c r="V67" s="153">
        <v>0</v>
      </c>
      <c r="W67" s="357">
        <f t="shared" si="2"/>
        <v>0</v>
      </c>
      <c r="X67" s="379">
        <v>0</v>
      </c>
      <c r="Y67" s="153">
        <f t="shared" ref="Y67:Y74" si="52">X67-W67</f>
        <v>0</v>
      </c>
      <c r="Z67" s="357">
        <f t="shared" ref="Z67:Z74" si="53">X67-W67</f>
        <v>0</v>
      </c>
      <c r="AA67" s="307"/>
      <c r="AB67" s="153"/>
      <c r="AC67" s="357"/>
      <c r="AD67" s="276"/>
      <c r="AE67" s="153"/>
      <c r="AF67" s="357"/>
      <c r="AG67" s="276"/>
      <c r="AH67" s="153"/>
      <c r="AI67" s="357"/>
      <c r="AJ67" s="422">
        <f>AJ69+AJ70</f>
        <v>0</v>
      </c>
      <c r="AK67" s="396">
        <f>SUM(AK69:AK70)</f>
        <v>0</v>
      </c>
      <c r="AL67" s="334">
        <v>0</v>
      </c>
      <c r="AM67" s="161">
        <f t="shared" si="17"/>
        <v>0</v>
      </c>
      <c r="AN67" s="1013">
        <f t="shared" si="5"/>
        <v>0</v>
      </c>
      <c r="AO67" s="334"/>
      <c r="AP67" s="161"/>
      <c r="AQ67" s="1019">
        <f t="shared" si="40"/>
        <v>0</v>
      </c>
      <c r="AR67" s="323"/>
      <c r="AS67" s="161"/>
      <c r="AT67" s="335"/>
      <c r="AU67" s="539">
        <f>SUM(AU69:AU70)</f>
        <v>0</v>
      </c>
      <c r="AV67" s="323"/>
      <c r="AW67" s="161"/>
      <c r="AX67" s="335"/>
      <c r="BG67" s="617"/>
      <c r="BH67" s="621">
        <f t="shared" ref="BH67:BH74" si="54">AF67-BG67</f>
        <v>0</v>
      </c>
      <c r="BI67" s="617"/>
      <c r="BJ67" s="621">
        <f>AH67-BI67</f>
        <v>0</v>
      </c>
      <c r="BM67" s="628">
        <f t="shared" si="18"/>
        <v>0</v>
      </c>
      <c r="BN67" s="628">
        <f t="shared" si="11"/>
        <v>0</v>
      </c>
      <c r="BO67" s="535">
        <f t="shared" si="14"/>
        <v>0</v>
      </c>
      <c r="BP67" s="533"/>
      <c r="BQ67" s="617"/>
      <c r="BR67" s="621">
        <f t="shared" ref="BR67:BR74" si="55">AP67-BQ67</f>
        <v>0</v>
      </c>
      <c r="BS67" s="617"/>
      <c r="BT67" s="621">
        <f>AR67-BS67</f>
        <v>0</v>
      </c>
    </row>
    <row r="68" spans="1:72" x14ac:dyDescent="0.3">
      <c r="A68" s="437" t="s">
        <v>92</v>
      </c>
      <c r="B68" s="133"/>
      <c r="C68" s="438"/>
      <c r="D68" s="431">
        <v>0</v>
      </c>
      <c r="E68" s="59">
        <f t="shared" si="51"/>
        <v>0</v>
      </c>
      <c r="F68" s="410">
        <f t="shared" si="1"/>
        <v>0</v>
      </c>
      <c r="G68" s="285"/>
      <c r="H68" s="158"/>
      <c r="I68" s="669">
        <f t="shared" si="16"/>
        <v>0</v>
      </c>
      <c r="J68" s="881"/>
      <c r="K68" s="285"/>
      <c r="L68" s="158"/>
      <c r="M68" s="298"/>
      <c r="N68" s="297"/>
      <c r="O68" s="285"/>
      <c r="P68" s="367"/>
      <c r="Q68" s="279"/>
      <c r="R68" s="310"/>
      <c r="S68" s="375"/>
      <c r="T68" s="528"/>
      <c r="U68" s="310"/>
      <c r="V68" s="63"/>
      <c r="W68" s="357">
        <f t="shared" si="2"/>
        <v>0</v>
      </c>
      <c r="X68" s="382"/>
      <c r="Y68" s="153">
        <f t="shared" si="52"/>
        <v>0</v>
      </c>
      <c r="Z68" s="357">
        <f t="shared" si="53"/>
        <v>0</v>
      </c>
      <c r="AA68" s="310"/>
      <c r="AB68" s="63"/>
      <c r="AC68" s="360"/>
      <c r="AD68" s="279"/>
      <c r="AE68" s="63"/>
      <c r="AF68" s="360"/>
      <c r="AG68" s="279"/>
      <c r="AH68" s="63"/>
      <c r="AI68" s="360"/>
      <c r="AJ68" s="425"/>
      <c r="AK68" s="395"/>
      <c r="AL68" s="334">
        <v>0</v>
      </c>
      <c r="AM68" s="161">
        <f t="shared" si="17"/>
        <v>0</v>
      </c>
      <c r="AN68" s="1013">
        <f t="shared" si="5"/>
        <v>0</v>
      </c>
      <c r="AO68" s="338"/>
      <c r="AP68" s="162"/>
      <c r="AQ68" s="1019"/>
      <c r="AR68" s="324"/>
      <c r="AS68" s="162"/>
      <c r="AT68" s="339"/>
      <c r="AU68" s="540"/>
      <c r="AV68" s="324"/>
      <c r="AW68" s="162"/>
      <c r="AX68" s="339"/>
      <c r="BG68" s="617"/>
      <c r="BH68" s="621">
        <f t="shared" si="54"/>
        <v>0</v>
      </c>
      <c r="BI68" s="617"/>
      <c r="BJ68" s="621">
        <f t="shared" ref="BJ68:BJ75" si="56">AH68-BI68</f>
        <v>0</v>
      </c>
      <c r="BM68" s="628">
        <f t="shared" si="18"/>
        <v>0</v>
      </c>
      <c r="BN68" s="628">
        <f t="shared" si="11"/>
        <v>0</v>
      </c>
      <c r="BO68" s="535">
        <f t="shared" si="14"/>
        <v>0</v>
      </c>
      <c r="BP68" s="533"/>
      <c r="BQ68" s="617"/>
      <c r="BR68" s="621">
        <f t="shared" si="55"/>
        <v>0</v>
      </c>
      <c r="BS68" s="617"/>
      <c r="BT68" s="621">
        <f t="shared" si="44"/>
        <v>0</v>
      </c>
    </row>
    <row r="69" spans="1:72" x14ac:dyDescent="0.3">
      <c r="A69" s="437" t="s">
        <v>189</v>
      </c>
      <c r="B69" s="1062">
        <v>310</v>
      </c>
      <c r="C69" s="438"/>
      <c r="D69" s="431">
        <v>0</v>
      </c>
      <c r="E69" s="59">
        <f t="shared" si="51"/>
        <v>0</v>
      </c>
      <c r="F69" s="410">
        <f t="shared" si="1"/>
        <v>0</v>
      </c>
      <c r="G69" s="285"/>
      <c r="H69" s="158"/>
      <c r="I69" s="669">
        <f t="shared" si="16"/>
        <v>0</v>
      </c>
      <c r="J69" s="881"/>
      <c r="K69" s="285"/>
      <c r="L69" s="158"/>
      <c r="M69" s="298"/>
      <c r="N69" s="297"/>
      <c r="O69" s="285"/>
      <c r="P69" s="367"/>
      <c r="Q69" s="279"/>
      <c r="R69" s="310"/>
      <c r="S69" s="375"/>
      <c r="T69" s="528"/>
      <c r="U69" s="310"/>
      <c r="V69" s="63"/>
      <c r="W69" s="357">
        <f t="shared" si="2"/>
        <v>0</v>
      </c>
      <c r="X69" s="382"/>
      <c r="Y69" s="153">
        <f t="shared" si="52"/>
        <v>0</v>
      </c>
      <c r="Z69" s="357">
        <f t="shared" si="53"/>
        <v>0</v>
      </c>
      <c r="AA69" s="310"/>
      <c r="AB69" s="63"/>
      <c r="AC69" s="360"/>
      <c r="AD69" s="279"/>
      <c r="AE69" s="63"/>
      <c r="AF69" s="360"/>
      <c r="AG69" s="279"/>
      <c r="AH69" s="63"/>
      <c r="AI69" s="360"/>
      <c r="AJ69" s="425"/>
      <c r="AK69" s="395"/>
      <c r="AL69" s="334">
        <v>0</v>
      </c>
      <c r="AM69" s="161">
        <f t="shared" si="17"/>
        <v>0</v>
      </c>
      <c r="AN69" s="1013">
        <f t="shared" si="5"/>
        <v>0</v>
      </c>
      <c r="AO69" s="338"/>
      <c r="AP69" s="162"/>
      <c r="AQ69" s="1019"/>
      <c r="AR69" s="324"/>
      <c r="AS69" s="162"/>
      <c r="AT69" s="339"/>
      <c r="AU69" s="540"/>
      <c r="AV69" s="324"/>
      <c r="AW69" s="162"/>
      <c r="AX69" s="339"/>
      <c r="BG69" s="617"/>
      <c r="BH69" s="621">
        <f t="shared" si="54"/>
        <v>0</v>
      </c>
      <c r="BI69" s="617"/>
      <c r="BJ69" s="621">
        <f t="shared" si="56"/>
        <v>0</v>
      </c>
      <c r="BM69" s="628">
        <f t="shared" si="18"/>
        <v>0</v>
      </c>
      <c r="BN69" s="628">
        <f t="shared" si="11"/>
        <v>0</v>
      </c>
      <c r="BO69" s="535">
        <f t="shared" si="14"/>
        <v>0</v>
      </c>
      <c r="BP69" s="533"/>
      <c r="BQ69" s="617"/>
      <c r="BR69" s="621">
        <f t="shared" si="55"/>
        <v>0</v>
      </c>
      <c r="BS69" s="617"/>
      <c r="BT69" s="621">
        <f t="shared" si="44"/>
        <v>0</v>
      </c>
    </row>
    <row r="70" spans="1:72" x14ac:dyDescent="0.3">
      <c r="A70" s="437" t="s">
        <v>190</v>
      </c>
      <c r="B70" s="1062">
        <v>320</v>
      </c>
      <c r="C70" s="438"/>
      <c r="D70" s="431">
        <v>0</v>
      </c>
      <c r="E70" s="59">
        <f t="shared" si="51"/>
        <v>0</v>
      </c>
      <c r="F70" s="410">
        <f t="shared" si="1"/>
        <v>0</v>
      </c>
      <c r="G70" s="285"/>
      <c r="H70" s="158"/>
      <c r="I70" s="669">
        <f t="shared" si="16"/>
        <v>0</v>
      </c>
      <c r="J70" s="881"/>
      <c r="K70" s="285"/>
      <c r="L70" s="158"/>
      <c r="M70" s="298"/>
      <c r="N70" s="297"/>
      <c r="O70" s="285"/>
      <c r="P70" s="367"/>
      <c r="Q70" s="279"/>
      <c r="R70" s="310"/>
      <c r="S70" s="375"/>
      <c r="T70" s="528"/>
      <c r="U70" s="310"/>
      <c r="V70" s="63"/>
      <c r="W70" s="357">
        <f t="shared" si="2"/>
        <v>0</v>
      </c>
      <c r="X70" s="382"/>
      <c r="Y70" s="153">
        <f t="shared" si="52"/>
        <v>0</v>
      </c>
      <c r="Z70" s="357">
        <f t="shared" si="53"/>
        <v>0</v>
      </c>
      <c r="AA70" s="310"/>
      <c r="AB70" s="63"/>
      <c r="AC70" s="360"/>
      <c r="AD70" s="279"/>
      <c r="AE70" s="63"/>
      <c r="AF70" s="360"/>
      <c r="AG70" s="279"/>
      <c r="AH70" s="63"/>
      <c r="AI70" s="360"/>
      <c r="AJ70" s="425"/>
      <c r="AK70" s="395"/>
      <c r="AL70" s="334">
        <v>0</v>
      </c>
      <c r="AM70" s="161">
        <f t="shared" si="17"/>
        <v>0</v>
      </c>
      <c r="AN70" s="1013">
        <f t="shared" si="5"/>
        <v>0</v>
      </c>
      <c r="AO70" s="338"/>
      <c r="AP70" s="162"/>
      <c r="AQ70" s="1019"/>
      <c r="AR70" s="324"/>
      <c r="AS70" s="162"/>
      <c r="AT70" s="339"/>
      <c r="AU70" s="540"/>
      <c r="AV70" s="324"/>
      <c r="AW70" s="162"/>
      <c r="AX70" s="339"/>
      <c r="BG70" s="617"/>
      <c r="BH70" s="621">
        <f t="shared" si="54"/>
        <v>0</v>
      </c>
      <c r="BI70" s="617"/>
      <c r="BJ70" s="621">
        <f t="shared" si="56"/>
        <v>0</v>
      </c>
      <c r="BM70" s="628">
        <f t="shared" si="18"/>
        <v>0</v>
      </c>
      <c r="BN70" s="628">
        <f t="shared" si="11"/>
        <v>0</v>
      </c>
      <c r="BO70" s="535">
        <f t="shared" si="14"/>
        <v>0</v>
      </c>
      <c r="BP70" s="533"/>
      <c r="BQ70" s="617"/>
      <c r="BR70" s="621">
        <f t="shared" si="55"/>
        <v>0</v>
      </c>
      <c r="BS70" s="617"/>
      <c r="BT70" s="621">
        <f t="shared" si="44"/>
        <v>0</v>
      </c>
    </row>
    <row r="71" spans="1:72" s="115" customFormat="1" x14ac:dyDescent="0.3">
      <c r="A71" s="435" t="s">
        <v>191</v>
      </c>
      <c r="B71" s="1063">
        <v>400</v>
      </c>
      <c r="C71" s="442"/>
      <c r="D71" s="430">
        <f>D73</f>
        <v>-205614792.37</v>
      </c>
      <c r="E71" s="59">
        <f t="shared" si="51"/>
        <v>-205614792.37</v>
      </c>
      <c r="F71" s="410">
        <f t="shared" si="1"/>
        <v>0</v>
      </c>
      <c r="G71" s="283"/>
      <c r="H71" s="157"/>
      <c r="I71" s="669">
        <f t="shared" si="16"/>
        <v>0</v>
      </c>
      <c r="J71" s="882"/>
      <c r="K71" s="283"/>
      <c r="L71" s="157"/>
      <c r="M71" s="294"/>
      <c r="N71" s="293"/>
      <c r="O71" s="283"/>
      <c r="P71" s="365"/>
      <c r="Q71" s="276">
        <f>Q73</f>
        <v>-205614792.37</v>
      </c>
      <c r="R71" s="307">
        <f>R73</f>
        <v>-205614792.37</v>
      </c>
      <c r="S71" s="372"/>
      <c r="T71" s="525"/>
      <c r="U71" s="307"/>
      <c r="V71" s="153">
        <f>V73</f>
        <v>0</v>
      </c>
      <c r="W71" s="357">
        <f t="shared" si="2"/>
        <v>0</v>
      </c>
      <c r="X71" s="379">
        <v>0</v>
      </c>
      <c r="Y71" s="153">
        <f t="shared" si="52"/>
        <v>0</v>
      </c>
      <c r="Z71" s="357">
        <f t="shared" si="53"/>
        <v>0</v>
      </c>
      <c r="AA71" s="307"/>
      <c r="AB71" s="153"/>
      <c r="AC71" s="357"/>
      <c r="AD71" s="276"/>
      <c r="AE71" s="153"/>
      <c r="AF71" s="357"/>
      <c r="AG71" s="276"/>
      <c r="AH71" s="153"/>
      <c r="AI71" s="357"/>
      <c r="AJ71" s="422">
        <f>AJ73+AJ74</f>
        <v>0</v>
      </c>
      <c r="AK71" s="396">
        <v>0</v>
      </c>
      <c r="AL71" s="334">
        <v>0</v>
      </c>
      <c r="AM71" s="161">
        <f t="shared" si="17"/>
        <v>0</v>
      </c>
      <c r="AN71" s="1013">
        <f t="shared" si="5"/>
        <v>0</v>
      </c>
      <c r="AO71" s="334"/>
      <c r="AP71" s="161"/>
      <c r="AQ71" s="406"/>
      <c r="AR71" s="323"/>
      <c r="AS71" s="161"/>
      <c r="AT71" s="335"/>
      <c r="AU71" s="539">
        <f>AU73+AU74</f>
        <v>0</v>
      </c>
      <c r="AV71" s="323"/>
      <c r="AW71" s="161"/>
      <c r="AX71" s="335"/>
      <c r="BG71" s="617"/>
      <c r="BH71" s="621">
        <f t="shared" si="54"/>
        <v>0</v>
      </c>
      <c r="BI71" s="617"/>
      <c r="BJ71" s="621">
        <f t="shared" si="56"/>
        <v>0</v>
      </c>
      <c r="BM71" s="628">
        <f t="shared" si="18"/>
        <v>0</v>
      </c>
      <c r="BN71" s="628">
        <f t="shared" si="11"/>
        <v>0</v>
      </c>
      <c r="BO71" s="535">
        <f t="shared" si="14"/>
        <v>0</v>
      </c>
      <c r="BP71" s="533"/>
      <c r="BQ71" s="617"/>
      <c r="BR71" s="621">
        <f t="shared" si="55"/>
        <v>0</v>
      </c>
      <c r="BS71" s="617"/>
      <c r="BT71" s="621">
        <f t="shared" si="44"/>
        <v>0</v>
      </c>
    </row>
    <row r="72" spans="1:72" x14ac:dyDescent="0.3">
      <c r="A72" s="437" t="s">
        <v>92</v>
      </c>
      <c r="B72" s="133"/>
      <c r="C72" s="438"/>
      <c r="D72" s="431">
        <v>0</v>
      </c>
      <c r="E72" s="59">
        <f t="shared" si="51"/>
        <v>0</v>
      </c>
      <c r="F72" s="410">
        <f t="shared" si="1"/>
        <v>0</v>
      </c>
      <c r="G72" s="285"/>
      <c r="H72" s="158"/>
      <c r="I72" s="669">
        <f t="shared" si="16"/>
        <v>0</v>
      </c>
      <c r="J72" s="881"/>
      <c r="K72" s="285"/>
      <c r="L72" s="158"/>
      <c r="M72" s="298"/>
      <c r="N72" s="297"/>
      <c r="O72" s="285"/>
      <c r="P72" s="367"/>
      <c r="Q72" s="279"/>
      <c r="R72" s="310"/>
      <c r="S72" s="375"/>
      <c r="T72" s="528"/>
      <c r="U72" s="310"/>
      <c r="V72" s="63"/>
      <c r="W72" s="357">
        <f t="shared" si="2"/>
        <v>0</v>
      </c>
      <c r="X72" s="382"/>
      <c r="Y72" s="153">
        <f t="shared" si="52"/>
        <v>0</v>
      </c>
      <c r="Z72" s="357">
        <f t="shared" si="53"/>
        <v>0</v>
      </c>
      <c r="AA72" s="310"/>
      <c r="AB72" s="63"/>
      <c r="AC72" s="360"/>
      <c r="AD72" s="279"/>
      <c r="AE72" s="63"/>
      <c r="AF72" s="360"/>
      <c r="AG72" s="279"/>
      <c r="AH72" s="63"/>
      <c r="AI72" s="360"/>
      <c r="AJ72" s="425"/>
      <c r="AK72" s="395"/>
      <c r="AL72" s="334">
        <v>0</v>
      </c>
      <c r="AM72" s="161">
        <f t="shared" si="17"/>
        <v>0</v>
      </c>
      <c r="AN72" s="1013">
        <f t="shared" si="5"/>
        <v>0</v>
      </c>
      <c r="AO72" s="338"/>
      <c r="AP72" s="162"/>
      <c r="AQ72" s="1019"/>
      <c r="AR72" s="324"/>
      <c r="AS72" s="162"/>
      <c r="AT72" s="339"/>
      <c r="AU72" s="540"/>
      <c r="AV72" s="324"/>
      <c r="AW72" s="162"/>
      <c r="AX72" s="339"/>
      <c r="BG72" s="617"/>
      <c r="BH72" s="621">
        <f t="shared" si="54"/>
        <v>0</v>
      </c>
      <c r="BI72" s="617"/>
      <c r="BJ72" s="621">
        <f t="shared" si="56"/>
        <v>0</v>
      </c>
      <c r="BM72" s="628">
        <f t="shared" si="18"/>
        <v>0</v>
      </c>
      <c r="BN72" s="628">
        <f t="shared" si="11"/>
        <v>0</v>
      </c>
      <c r="BO72" s="535">
        <f t="shared" si="14"/>
        <v>0</v>
      </c>
      <c r="BP72" s="533"/>
      <c r="BQ72" s="617"/>
      <c r="BR72" s="621">
        <f t="shared" si="55"/>
        <v>0</v>
      </c>
      <c r="BS72" s="617"/>
      <c r="BT72" s="621">
        <f t="shared" si="44"/>
        <v>0</v>
      </c>
    </row>
    <row r="73" spans="1:72" x14ac:dyDescent="0.3">
      <c r="A73" s="437" t="s">
        <v>192</v>
      </c>
      <c r="B73" s="1062">
        <v>410</v>
      </c>
      <c r="C73" s="438"/>
      <c r="D73" s="431">
        <v>-205614792.37</v>
      </c>
      <c r="E73" s="59">
        <f>H73+R73+AL73-AK73</f>
        <v>-205614792.37</v>
      </c>
      <c r="F73" s="410">
        <f t="shared" si="1"/>
        <v>0</v>
      </c>
      <c r="G73" s="285"/>
      <c r="H73" s="158"/>
      <c r="I73" s="669">
        <f t="shared" si="16"/>
        <v>0</v>
      </c>
      <c r="J73" s="881"/>
      <c r="K73" s="285"/>
      <c r="L73" s="158"/>
      <c r="M73" s="298"/>
      <c r="N73" s="297"/>
      <c r="O73" s="285"/>
      <c r="P73" s="367"/>
      <c r="Q73" s="279">
        <v>-205614792.37</v>
      </c>
      <c r="R73" s="63">
        <v>-205614792.37</v>
      </c>
      <c r="S73" s="375"/>
      <c r="T73" s="528"/>
      <c r="U73" s="310"/>
      <c r="V73" s="63"/>
      <c r="W73" s="357">
        <f t="shared" si="2"/>
        <v>0</v>
      </c>
      <c r="X73" s="382"/>
      <c r="Y73" s="153">
        <f t="shared" si="52"/>
        <v>0</v>
      </c>
      <c r="Z73" s="357">
        <f t="shared" si="53"/>
        <v>0</v>
      </c>
      <c r="AA73" s="310"/>
      <c r="AB73" s="63"/>
      <c r="AC73" s="360"/>
      <c r="AD73" s="279"/>
      <c r="AE73" s="63"/>
      <c r="AF73" s="360"/>
      <c r="AG73" s="279"/>
      <c r="AH73" s="63"/>
      <c r="AI73" s="360"/>
      <c r="AJ73" s="425"/>
      <c r="AK73" s="395"/>
      <c r="AL73" s="334">
        <v>0</v>
      </c>
      <c r="AM73" s="161">
        <f t="shared" si="17"/>
        <v>0</v>
      </c>
      <c r="AN73" s="1013">
        <f t="shared" si="5"/>
        <v>0</v>
      </c>
      <c r="AO73" s="338"/>
      <c r="AP73" s="162"/>
      <c r="AQ73" s="1019"/>
      <c r="AR73" s="324"/>
      <c r="AS73" s="162"/>
      <c r="AT73" s="339"/>
      <c r="AU73" s="540"/>
      <c r="AV73" s="324"/>
      <c r="AW73" s="162"/>
      <c r="AX73" s="339"/>
      <c r="BG73" s="617"/>
      <c r="BH73" s="621">
        <f t="shared" si="54"/>
        <v>0</v>
      </c>
      <c r="BI73" s="617"/>
      <c r="BJ73" s="621">
        <f t="shared" si="56"/>
        <v>0</v>
      </c>
      <c r="BM73" s="628">
        <f t="shared" si="18"/>
        <v>0</v>
      </c>
      <c r="BN73" s="628">
        <f t="shared" si="11"/>
        <v>0</v>
      </c>
      <c r="BO73" s="535">
        <f t="shared" si="14"/>
        <v>0</v>
      </c>
      <c r="BP73" s="533"/>
      <c r="BQ73" s="617"/>
      <c r="BR73" s="621">
        <f t="shared" si="55"/>
        <v>0</v>
      </c>
      <c r="BS73" s="617"/>
      <c r="BT73" s="621">
        <f t="shared" si="44"/>
        <v>0</v>
      </c>
    </row>
    <row r="74" spans="1:72" x14ac:dyDescent="0.3">
      <c r="A74" s="437" t="s">
        <v>193</v>
      </c>
      <c r="B74" s="1062">
        <v>420</v>
      </c>
      <c r="C74" s="438"/>
      <c r="D74" s="431">
        <v>0</v>
      </c>
      <c r="E74" s="59">
        <f t="shared" si="51"/>
        <v>0</v>
      </c>
      <c r="F74" s="410">
        <f t="shared" si="1"/>
        <v>0</v>
      </c>
      <c r="G74" s="285"/>
      <c r="H74" s="158"/>
      <c r="I74" s="669">
        <f t="shared" si="16"/>
        <v>0</v>
      </c>
      <c r="J74" s="881"/>
      <c r="K74" s="285"/>
      <c r="L74" s="158"/>
      <c r="M74" s="298"/>
      <c r="N74" s="297"/>
      <c r="O74" s="285"/>
      <c r="P74" s="367"/>
      <c r="Q74" s="279"/>
      <c r="R74" s="310"/>
      <c r="S74" s="375"/>
      <c r="T74" s="528"/>
      <c r="U74" s="310"/>
      <c r="V74" s="63"/>
      <c r="W74" s="357">
        <f t="shared" si="2"/>
        <v>0</v>
      </c>
      <c r="X74" s="382"/>
      <c r="Y74" s="153">
        <f t="shared" si="52"/>
        <v>0</v>
      </c>
      <c r="Z74" s="357">
        <f t="shared" si="53"/>
        <v>0</v>
      </c>
      <c r="AA74" s="310"/>
      <c r="AB74" s="63"/>
      <c r="AC74" s="360"/>
      <c r="AD74" s="279"/>
      <c r="AE74" s="63"/>
      <c r="AF74" s="360"/>
      <c r="AG74" s="279"/>
      <c r="AH74" s="63"/>
      <c r="AI74" s="360"/>
      <c r="AJ74" s="425"/>
      <c r="AK74" s="395"/>
      <c r="AL74" s="334">
        <v>0</v>
      </c>
      <c r="AM74" s="161">
        <f t="shared" si="7"/>
        <v>0</v>
      </c>
      <c r="AN74" s="1013">
        <f t="shared" si="5"/>
        <v>0</v>
      </c>
      <c r="AO74" s="338"/>
      <c r="AP74" s="162"/>
      <c r="AQ74" s="1019"/>
      <c r="AR74" s="324"/>
      <c r="AS74" s="162"/>
      <c r="AT74" s="339"/>
      <c r="AU74" s="540"/>
      <c r="AV74" s="324"/>
      <c r="AW74" s="162"/>
      <c r="AX74" s="339"/>
      <c r="BG74" s="617"/>
      <c r="BH74" s="621">
        <f t="shared" si="54"/>
        <v>0</v>
      </c>
      <c r="BI74" s="617"/>
      <c r="BJ74" s="621">
        <f t="shared" si="56"/>
        <v>0</v>
      </c>
      <c r="BM74" s="628">
        <f t="shared" si="18"/>
        <v>0</v>
      </c>
      <c r="BN74" s="628">
        <f t="shared" si="11"/>
        <v>0</v>
      </c>
      <c r="BO74" s="535">
        <f t="shared" si="14"/>
        <v>0</v>
      </c>
      <c r="BP74" s="533"/>
      <c r="BQ74" s="617"/>
      <c r="BR74" s="621">
        <f t="shared" si="55"/>
        <v>0</v>
      </c>
      <c r="BS74" s="617"/>
      <c r="BT74" s="621">
        <f t="shared" si="44"/>
        <v>0</v>
      </c>
    </row>
    <row r="75" spans="1:72" s="115" customFormat="1" ht="17.25" customHeight="1" x14ac:dyDescent="0.3">
      <c r="A75" s="435" t="s">
        <v>194</v>
      </c>
      <c r="B75" s="1063">
        <v>500</v>
      </c>
      <c r="C75" s="436" t="s">
        <v>149</v>
      </c>
      <c r="D75" s="430">
        <v>625060898.94000006</v>
      </c>
      <c r="E75" s="59">
        <f>H75+R75+AK75+AM75</f>
        <v>625060898.93499994</v>
      </c>
      <c r="F75" s="410">
        <f t="shared" si="1"/>
        <v>-5.0001144409179688E-3</v>
      </c>
      <c r="G75" s="157">
        <f>G23-G11</f>
        <v>21072590.976574481</v>
      </c>
      <c r="H75" s="157">
        <f>H23-H11</f>
        <v>21072590.980000019</v>
      </c>
      <c r="I75" s="669">
        <f t="shared" si="16"/>
        <v>3.4255385398864746E-3</v>
      </c>
      <c r="J75" s="882">
        <f>J23-J11</f>
        <v>16524140.506574497</v>
      </c>
      <c r="K75" s="157">
        <f>K23-K11</f>
        <v>4548450.4600000083</v>
      </c>
      <c r="L75" s="157">
        <f>L23-L11</f>
        <v>4548450.4600000083</v>
      </c>
      <c r="M75" s="298">
        <f>L75-K75</f>
        <v>0</v>
      </c>
      <c r="N75" s="157">
        <f>N23-N11</f>
        <v>9.9999979138374329E-3</v>
      </c>
      <c r="O75" s="157">
        <f>O23-O11</f>
        <v>9.9999979138374329E-3</v>
      </c>
      <c r="P75" s="365"/>
      <c r="Q75" s="1025">
        <v>593808468.51999998</v>
      </c>
      <c r="R75" s="307">
        <v>593808468.51999998</v>
      </c>
      <c r="S75" s="372">
        <f>R75-Q75</f>
        <v>0</v>
      </c>
      <c r="T75" s="525">
        <v>593808468.51999998</v>
      </c>
      <c r="U75" s="307">
        <v>0</v>
      </c>
      <c r="V75" s="63">
        <f>V11-V23</f>
        <v>1.0000228881835938E-2</v>
      </c>
      <c r="W75" s="357">
        <f>V75-U75</f>
        <v>1.0000228881835938E-2</v>
      </c>
      <c r="X75" s="307"/>
      <c r="Y75" s="63"/>
      <c r="Z75" s="357"/>
      <c r="AA75" s="63">
        <f>AA23-AA11</f>
        <v>0</v>
      </c>
      <c r="AB75" s="63">
        <f>AB23-AB11</f>
        <v>0</v>
      </c>
      <c r="AC75" s="63">
        <f>AC23-AC11</f>
        <v>0</v>
      </c>
      <c r="AD75" s="276">
        <v>0</v>
      </c>
      <c r="AE75" s="63">
        <f>AE23-AE11</f>
        <v>0</v>
      </c>
      <c r="AF75" s="357"/>
      <c r="AG75" s="307">
        <f>'расчет норматив'!AQ6+'расчет норматив'!AR6</f>
        <v>0</v>
      </c>
      <c r="AH75" s="63">
        <f>AH11-AH23</f>
        <v>0</v>
      </c>
      <c r="AI75" s="357">
        <f>AH75-AG75</f>
        <v>0</v>
      </c>
      <c r="AJ75" s="422">
        <v>0</v>
      </c>
      <c r="AK75" s="395"/>
      <c r="AL75" s="334">
        <v>10179839.442763567</v>
      </c>
      <c r="AM75" s="161">
        <f t="shared" ref="AM75:AN75" si="57">AM23-AM11</f>
        <v>10179839.435000002</v>
      </c>
      <c r="AN75" s="1013">
        <f t="shared" si="57"/>
        <v>-7.7635645866394043E-3</v>
      </c>
      <c r="AO75" s="334">
        <v>9808185.4527635574</v>
      </c>
      <c r="AP75" s="323">
        <f>AP23-AP11</f>
        <v>9808185.4449999928</v>
      </c>
      <c r="AQ75" s="406">
        <f>AQ23-AQ11</f>
        <v>-7.7635645866394043E-3</v>
      </c>
      <c r="AR75" s="323">
        <f>AR23-AR11</f>
        <v>371653.98999999464</v>
      </c>
      <c r="AS75" s="323">
        <f>AS23-AS11</f>
        <v>371653.99000000209</v>
      </c>
      <c r="AT75" s="406">
        <f t="shared" ref="AT75" si="58">AT23-AT11</f>
        <v>0</v>
      </c>
      <c r="AU75" s="539">
        <v>0</v>
      </c>
      <c r="AV75" s="323"/>
      <c r="AW75" s="323">
        <f t="shared" ref="AW75:AX75" si="59">AW23-AW11</f>
        <v>0</v>
      </c>
      <c r="AX75" s="406">
        <f t="shared" si="59"/>
        <v>0</v>
      </c>
      <c r="BG75" s="619"/>
      <c r="BH75" s="620"/>
      <c r="BI75" s="617">
        <v>1222485.57</v>
      </c>
      <c r="BJ75" s="621">
        <f t="shared" si="56"/>
        <v>-1222485.57</v>
      </c>
      <c r="BM75" s="632">
        <f>BM23-BM11</f>
        <v>10179839.442763567</v>
      </c>
      <c r="BN75" s="632">
        <f>BN23-BN11</f>
        <v>-12791385.120000064</v>
      </c>
      <c r="BO75" s="632"/>
      <c r="BP75" s="632">
        <f t="shared" ref="BP75" si="60">BP23-BP11</f>
        <v>-7266364.0435999632</v>
      </c>
      <c r="BQ75" s="619"/>
      <c r="BR75" s="620"/>
      <c r="BS75" s="617">
        <v>1222485.57</v>
      </c>
      <c r="BT75" s="621">
        <f t="shared" si="44"/>
        <v>-850831.58000000543</v>
      </c>
    </row>
    <row r="76" spans="1:72" s="115" customFormat="1" ht="19.5" hidden="1" thickBot="1" x14ac:dyDescent="0.35">
      <c r="A76" s="446" t="s">
        <v>195</v>
      </c>
      <c r="B76" s="447">
        <v>600</v>
      </c>
      <c r="C76" s="448" t="s">
        <v>149</v>
      </c>
      <c r="D76" s="1069">
        <f>D75+D11-D23+D71</f>
        <v>3.5762786865234375E-7</v>
      </c>
      <c r="E76" s="1056">
        <f>E75+E11-E23+E71</f>
        <v>1.000058650970459E-2</v>
      </c>
      <c r="F76" s="413">
        <f t="shared" ref="F76" si="61">E76-D76</f>
        <v>1.0000228881835938E-2</v>
      </c>
      <c r="G76" s="407">
        <f>G11+G75-G23</f>
        <v>0</v>
      </c>
      <c r="H76" s="304">
        <f>H11+H75-H23</f>
        <v>0</v>
      </c>
      <c r="I76" s="670">
        <f t="shared" ref="I76:AE76" si="62">I11+I75-I23</f>
        <v>0</v>
      </c>
      <c r="J76" s="1031">
        <f t="shared" si="62"/>
        <v>0</v>
      </c>
      <c r="K76" s="407">
        <f t="shared" si="62"/>
        <v>0</v>
      </c>
      <c r="L76" s="304">
        <f t="shared" si="62"/>
        <v>0</v>
      </c>
      <c r="M76" s="304">
        <f t="shared" si="62"/>
        <v>0</v>
      </c>
      <c r="N76" s="303">
        <f t="shared" si="62"/>
        <v>0</v>
      </c>
      <c r="O76" s="304">
        <f t="shared" si="62"/>
        <v>0</v>
      </c>
      <c r="P76" s="370"/>
      <c r="Q76" s="1067">
        <f>Q75+Q11-Q23+Q71</f>
        <v>-3.5762786865234375E-7</v>
      </c>
      <c r="R76" s="1070">
        <f>R75+R11-R23+R71</f>
        <v>1.000058650970459E-2</v>
      </c>
      <c r="S76" s="1066">
        <f t="shared" si="62"/>
        <v>1.0000944137573242E-2</v>
      </c>
      <c r="T76" s="530">
        <f>T11+T75-T23+T71</f>
        <v>205614792.37</v>
      </c>
      <c r="U76" s="388">
        <f t="shared" si="62"/>
        <v>0</v>
      </c>
      <c r="V76" s="388">
        <f>V11+V75-V23</f>
        <v>2.0000457763671875E-2</v>
      </c>
      <c r="W76" s="362">
        <f t="shared" ref="W76" si="63">V76-U76</f>
        <v>2.0000457763671875E-2</v>
      </c>
      <c r="X76" s="376">
        <f t="shared" si="62"/>
        <v>0</v>
      </c>
      <c r="Y76" s="388">
        <f t="shared" si="62"/>
        <v>0</v>
      </c>
      <c r="Z76" s="362">
        <f t="shared" si="62"/>
        <v>0</v>
      </c>
      <c r="AA76" s="388">
        <f t="shared" si="62"/>
        <v>0</v>
      </c>
      <c r="AB76" s="388">
        <f t="shared" si="62"/>
        <v>0</v>
      </c>
      <c r="AC76" s="388">
        <f t="shared" si="62"/>
        <v>0</v>
      </c>
      <c r="AD76" s="281">
        <v>0</v>
      </c>
      <c r="AE76" s="388">
        <f t="shared" si="62"/>
        <v>0</v>
      </c>
      <c r="AF76" s="362">
        <f t="shared" ref="AF76" si="64">AE76-AD76</f>
        <v>0</v>
      </c>
      <c r="AG76" s="281"/>
      <c r="AH76" s="388">
        <f>AH11+AH75-AH23</f>
        <v>0</v>
      </c>
      <c r="AI76" s="362">
        <f t="shared" ref="AI76" si="65">AH76-AG76</f>
        <v>0</v>
      </c>
      <c r="AJ76" s="428">
        <f t="shared" ref="AJ76:AU76" si="66">AJ11+AJ75-AJ23</f>
        <v>0</v>
      </c>
      <c r="AK76" s="399">
        <f t="shared" si="66"/>
        <v>0</v>
      </c>
      <c r="AL76" s="344">
        <v>0</v>
      </c>
      <c r="AM76" s="345">
        <f>AM11+AM75-AM23</f>
        <v>0</v>
      </c>
      <c r="AN76" s="1014">
        <f t="shared" ref="AN76:AS76" si="67">AN11+AN75-AN23</f>
        <v>0</v>
      </c>
      <c r="AO76" s="344">
        <v>0</v>
      </c>
      <c r="AP76" s="345">
        <f t="shared" si="67"/>
        <v>0</v>
      </c>
      <c r="AQ76" s="346">
        <f t="shared" si="67"/>
        <v>0</v>
      </c>
      <c r="AR76" s="390">
        <v>0</v>
      </c>
      <c r="AS76" s="345">
        <f t="shared" si="67"/>
        <v>0</v>
      </c>
      <c r="AT76" s="346"/>
      <c r="AU76" s="545">
        <f t="shared" si="66"/>
        <v>0</v>
      </c>
      <c r="AV76" s="390">
        <v>0</v>
      </c>
      <c r="AW76" s="345">
        <f t="shared" ref="AW76" si="68">AW11+AW75-AW23</f>
        <v>0</v>
      </c>
      <c r="AX76" s="346"/>
      <c r="BG76" s="623">
        <f>BG23</f>
        <v>0</v>
      </c>
      <c r="BH76" s="624">
        <f>SUM(BH26:BH74)</f>
        <v>15071900</v>
      </c>
      <c r="BI76" s="623">
        <f>BI23</f>
        <v>69438047.340000004</v>
      </c>
      <c r="BJ76" s="624">
        <f>SUM(BJ26:BJ74)</f>
        <v>-77779061.369999975</v>
      </c>
      <c r="BM76" s="628">
        <f t="shared" si="18"/>
        <v>0</v>
      </c>
      <c r="BN76" s="628"/>
      <c r="BO76" s="604"/>
      <c r="BP76" s="531"/>
      <c r="BQ76" s="623">
        <f>BQ23</f>
        <v>262223617.94999999</v>
      </c>
      <c r="BR76" s="624">
        <f>SUM(BR26:BR74)</f>
        <v>103077143.47892708</v>
      </c>
      <c r="BS76" s="623">
        <f>BS23</f>
        <v>69438047.340000004</v>
      </c>
      <c r="BT76" s="624">
        <f>SUM(BT26:BT74)</f>
        <v>23912198.940000005</v>
      </c>
    </row>
    <row r="77" spans="1:72" s="115" customFormat="1" ht="19.5" hidden="1" customHeight="1" thickBot="1" x14ac:dyDescent="0.35">
      <c r="A77" s="463"/>
      <c r="B77" s="464"/>
      <c r="C77" s="465"/>
      <c r="D77" s="466"/>
      <c r="E77" s="466"/>
      <c r="F77" s="466"/>
      <c r="G77" s="466"/>
      <c r="H77" s="466"/>
      <c r="I77" s="471"/>
      <c r="J77" s="466"/>
      <c r="K77" s="466"/>
      <c r="L77" s="466"/>
      <c r="M77" s="466"/>
      <c r="N77" s="466"/>
      <c r="O77" s="466"/>
      <c r="P77" s="466"/>
      <c r="Q77" s="466"/>
      <c r="R77" s="466"/>
      <c r="S77" s="466"/>
      <c r="T77" s="466"/>
      <c r="U77" s="466"/>
      <c r="V77" s="466"/>
      <c r="W77" s="466"/>
      <c r="X77" s="466"/>
      <c r="Y77" s="466"/>
      <c r="Z77" s="466"/>
      <c r="AA77" s="466"/>
      <c r="AB77" s="466"/>
      <c r="AC77" s="466"/>
      <c r="AD77" s="466"/>
      <c r="AE77" s="466"/>
      <c r="AF77" s="466"/>
      <c r="AG77" s="466"/>
      <c r="AH77" s="466"/>
      <c r="AI77" s="466"/>
      <c r="AJ77" s="466"/>
      <c r="AK77" s="466"/>
      <c r="AL77" s="466"/>
      <c r="AM77" s="466"/>
      <c r="AN77" s="466"/>
      <c r="AO77" s="466"/>
      <c r="AP77" s="466"/>
      <c r="AQ77" s="466"/>
      <c r="AR77" s="466"/>
      <c r="AS77" s="466"/>
      <c r="AT77" s="466"/>
      <c r="AU77" s="466"/>
      <c r="AV77" s="466"/>
      <c r="AW77" s="466"/>
      <c r="AX77" s="466"/>
      <c r="BM77" s="604"/>
      <c r="BN77" s="604"/>
      <c r="BO77" s="604"/>
      <c r="BP77" s="531"/>
      <c r="BQ77" s="607"/>
    </row>
    <row r="78" spans="1:72" s="115" customFormat="1" hidden="1" x14ac:dyDescent="0.3">
      <c r="A78" s="463"/>
      <c r="B78" s="464"/>
      <c r="C78" s="465"/>
      <c r="D78" s="157">
        <f>D23-D11</f>
        <v>419446106.56999993</v>
      </c>
      <c r="E78" s="157">
        <f t="shared" ref="E78:AU78" si="69">E23-E11</f>
        <v>419446106.55499935</v>
      </c>
      <c r="F78" s="157">
        <f t="shared" si="69"/>
        <v>-1.5000581741333008E-2</v>
      </c>
      <c r="G78" s="157">
        <f t="shared" si="69"/>
        <v>21072590.976574481</v>
      </c>
      <c r="H78" s="157">
        <f t="shared" si="69"/>
        <v>21072590.980000019</v>
      </c>
      <c r="I78" s="157">
        <f t="shared" si="69"/>
        <v>3.4255385398864746E-3</v>
      </c>
      <c r="J78" s="157">
        <f t="shared" si="69"/>
        <v>16524140.506574497</v>
      </c>
      <c r="K78" s="157">
        <f t="shared" si="69"/>
        <v>4548450.4600000083</v>
      </c>
      <c r="L78" s="157">
        <f t="shared" si="69"/>
        <v>4548450.4600000083</v>
      </c>
      <c r="M78" s="157">
        <f t="shared" si="69"/>
        <v>0</v>
      </c>
      <c r="N78" s="157">
        <f t="shared" si="69"/>
        <v>9.9999979138374329E-3</v>
      </c>
      <c r="O78" s="157">
        <f t="shared" si="69"/>
        <v>9.9999979138374329E-3</v>
      </c>
      <c r="P78" s="157">
        <f t="shared" si="69"/>
        <v>0</v>
      </c>
      <c r="Q78" s="157">
        <f t="shared" si="69"/>
        <v>388193676.15000033</v>
      </c>
      <c r="R78" s="157">
        <f t="shared" si="69"/>
        <v>388193676.13999939</v>
      </c>
      <c r="S78" s="157">
        <f t="shared" si="69"/>
        <v>-1.0000944137573242E-2</v>
      </c>
      <c r="T78" s="157">
        <f t="shared" si="69"/>
        <v>388193676.14999998</v>
      </c>
      <c r="U78" s="157">
        <f t="shared" si="69"/>
        <v>0</v>
      </c>
      <c r="V78" s="157">
        <f t="shared" si="69"/>
        <v>-1.0000228881835938E-2</v>
      </c>
      <c r="W78" s="157">
        <f t="shared" si="69"/>
        <v>-1.0000228881835938E-2</v>
      </c>
      <c r="X78" s="157">
        <f t="shared" si="69"/>
        <v>0</v>
      </c>
      <c r="Y78" s="157">
        <f t="shared" si="69"/>
        <v>0</v>
      </c>
      <c r="Z78" s="157">
        <f t="shared" si="69"/>
        <v>0</v>
      </c>
      <c r="AA78" s="157">
        <f t="shared" si="69"/>
        <v>0</v>
      </c>
      <c r="AB78" s="157">
        <f t="shared" si="69"/>
        <v>0</v>
      </c>
      <c r="AC78" s="157">
        <f t="shared" si="69"/>
        <v>0</v>
      </c>
      <c r="AD78" s="157"/>
      <c r="AE78" s="157"/>
      <c r="AF78" s="157"/>
      <c r="AG78" s="157"/>
      <c r="AH78" s="157"/>
      <c r="AI78" s="157"/>
      <c r="AJ78" s="157">
        <f t="shared" si="69"/>
        <v>0</v>
      </c>
      <c r="AK78" s="157">
        <f t="shared" si="69"/>
        <v>0</v>
      </c>
      <c r="AL78" s="157">
        <f t="shared" si="69"/>
        <v>10179839.442763567</v>
      </c>
      <c r="AM78" s="157">
        <f t="shared" si="69"/>
        <v>10179839.435000002</v>
      </c>
      <c r="AN78" s="157">
        <f t="shared" si="69"/>
        <v>-7.7635645866394043E-3</v>
      </c>
      <c r="AO78" s="157">
        <f t="shared" si="69"/>
        <v>9808185.4527635574</v>
      </c>
      <c r="AP78" s="157">
        <f t="shared" si="69"/>
        <v>9808185.4449999928</v>
      </c>
      <c r="AQ78" s="157">
        <f t="shared" si="69"/>
        <v>-7.7635645866394043E-3</v>
      </c>
      <c r="AR78" s="157">
        <f t="shared" si="69"/>
        <v>371653.98999999464</v>
      </c>
      <c r="AS78" s="157">
        <f t="shared" si="69"/>
        <v>371653.99000000209</v>
      </c>
      <c r="AT78" s="157">
        <f t="shared" si="69"/>
        <v>0</v>
      </c>
      <c r="AU78" s="157">
        <f t="shared" si="69"/>
        <v>0</v>
      </c>
      <c r="AV78" s="467"/>
      <c r="AW78" s="467"/>
      <c r="AX78" s="467"/>
      <c r="BM78" s="604"/>
      <c r="BN78" s="604"/>
      <c r="BO78" s="604"/>
      <c r="BP78" s="531"/>
      <c r="BQ78" s="607"/>
    </row>
    <row r="79" spans="1:72" s="115" customFormat="1" hidden="1" x14ac:dyDescent="0.3">
      <c r="A79" s="463"/>
      <c r="B79" s="464"/>
      <c r="C79" s="465"/>
      <c r="D79" s="466">
        <f>D78+D76</f>
        <v>419446106.57000029</v>
      </c>
      <c r="E79" s="466">
        <f t="shared" ref="E79:AU79" si="70">E78+E76</f>
        <v>419446106.56499994</v>
      </c>
      <c r="F79" s="466">
        <f t="shared" si="70"/>
        <v>-5.0003528594970703E-3</v>
      </c>
      <c r="G79" s="466">
        <f t="shared" si="70"/>
        <v>21072590.976574481</v>
      </c>
      <c r="H79" s="466">
        <f t="shared" si="70"/>
        <v>21072590.980000019</v>
      </c>
      <c r="I79" s="466">
        <f t="shared" si="70"/>
        <v>3.4255385398864746E-3</v>
      </c>
      <c r="J79" s="466">
        <f t="shared" si="70"/>
        <v>16524140.506574497</v>
      </c>
      <c r="K79" s="466">
        <f t="shared" si="70"/>
        <v>4548450.4600000083</v>
      </c>
      <c r="L79" s="466">
        <f t="shared" si="70"/>
        <v>4548450.4600000083</v>
      </c>
      <c r="M79" s="466">
        <f t="shared" si="70"/>
        <v>0</v>
      </c>
      <c r="N79" s="466">
        <f t="shared" si="70"/>
        <v>9.9999979138374329E-3</v>
      </c>
      <c r="O79" s="466">
        <f t="shared" si="70"/>
        <v>9.9999979138374329E-3</v>
      </c>
      <c r="P79" s="466">
        <f t="shared" si="70"/>
        <v>0</v>
      </c>
      <c r="Q79" s="466">
        <f t="shared" si="70"/>
        <v>388193676.14999998</v>
      </c>
      <c r="R79" s="466">
        <f t="shared" si="70"/>
        <v>388193676.14999998</v>
      </c>
      <c r="S79" s="466">
        <f t="shared" si="70"/>
        <v>0</v>
      </c>
      <c r="T79" s="466">
        <f t="shared" si="70"/>
        <v>593808468.51999998</v>
      </c>
      <c r="U79" s="466">
        <f t="shared" si="70"/>
        <v>0</v>
      </c>
      <c r="V79" s="466">
        <f t="shared" si="70"/>
        <v>1.0000228881835938E-2</v>
      </c>
      <c r="W79" s="466">
        <f t="shared" si="70"/>
        <v>1.0000228881835938E-2</v>
      </c>
      <c r="X79" s="466">
        <f t="shared" si="70"/>
        <v>0</v>
      </c>
      <c r="Y79" s="466">
        <f t="shared" si="70"/>
        <v>0</v>
      </c>
      <c r="Z79" s="466">
        <f t="shared" si="70"/>
        <v>0</v>
      </c>
      <c r="AA79" s="466">
        <f t="shared" si="70"/>
        <v>0</v>
      </c>
      <c r="AB79" s="466">
        <f t="shared" si="70"/>
        <v>0</v>
      </c>
      <c r="AC79" s="466">
        <f t="shared" si="70"/>
        <v>0</v>
      </c>
      <c r="AD79" s="466"/>
      <c r="AE79" s="466"/>
      <c r="AF79" s="466"/>
      <c r="AG79" s="466"/>
      <c r="AH79" s="466"/>
      <c r="AI79" s="466"/>
      <c r="AJ79" s="466">
        <f t="shared" si="70"/>
        <v>0</v>
      </c>
      <c r="AK79" s="466">
        <f t="shared" si="70"/>
        <v>0</v>
      </c>
      <c r="AL79" s="466">
        <f t="shared" si="70"/>
        <v>10179839.442763567</v>
      </c>
      <c r="AM79" s="466">
        <f t="shared" si="70"/>
        <v>10179839.435000002</v>
      </c>
      <c r="AN79" s="466">
        <f t="shared" si="70"/>
        <v>-7.7635645866394043E-3</v>
      </c>
      <c r="AO79" s="466">
        <f t="shared" si="70"/>
        <v>9808185.4527635574</v>
      </c>
      <c r="AP79" s="466">
        <f t="shared" si="70"/>
        <v>9808185.4449999928</v>
      </c>
      <c r="AQ79" s="466">
        <f t="shared" si="70"/>
        <v>-7.7635645866394043E-3</v>
      </c>
      <c r="AR79" s="466">
        <f t="shared" si="70"/>
        <v>371653.98999999464</v>
      </c>
      <c r="AS79" s="466">
        <f t="shared" si="70"/>
        <v>371653.99000000209</v>
      </c>
      <c r="AT79" s="466">
        <f t="shared" si="70"/>
        <v>0</v>
      </c>
      <c r="AU79" s="466">
        <f t="shared" si="70"/>
        <v>0</v>
      </c>
      <c r="AV79" s="466"/>
      <c r="AW79" s="466"/>
      <c r="AX79" s="466"/>
      <c r="BM79" s="604"/>
      <c r="BN79" s="604"/>
      <c r="BO79" s="604"/>
      <c r="BP79" s="531"/>
      <c r="BQ79" s="607"/>
    </row>
    <row r="80" spans="1:72" s="115" customFormat="1" hidden="1" x14ac:dyDescent="0.3">
      <c r="A80" s="463"/>
      <c r="B80" s="464"/>
      <c r="C80" s="465"/>
      <c r="D80" s="466" t="b">
        <f>D75=D79</f>
        <v>0</v>
      </c>
      <c r="E80" s="466" t="b">
        <f t="shared" ref="E80:AU80" si="71">E75=E79</f>
        <v>0</v>
      </c>
      <c r="F80" s="466" t="b">
        <f t="shared" si="71"/>
        <v>0</v>
      </c>
      <c r="G80" s="466" t="b">
        <f t="shared" si="71"/>
        <v>1</v>
      </c>
      <c r="H80" s="466" t="b">
        <f t="shared" si="71"/>
        <v>1</v>
      </c>
      <c r="I80" s="466" t="b">
        <f t="shared" si="71"/>
        <v>1</v>
      </c>
      <c r="J80" s="466" t="b">
        <f t="shared" si="71"/>
        <v>1</v>
      </c>
      <c r="K80" s="466" t="b">
        <f t="shared" si="71"/>
        <v>1</v>
      </c>
      <c r="L80" s="466" t="b">
        <f t="shared" si="71"/>
        <v>1</v>
      </c>
      <c r="M80" s="466" t="b">
        <f t="shared" si="71"/>
        <v>1</v>
      </c>
      <c r="N80" s="466" t="b">
        <f t="shared" si="71"/>
        <v>1</v>
      </c>
      <c r="O80" s="466" t="b">
        <f t="shared" si="71"/>
        <v>1</v>
      </c>
      <c r="P80" s="466" t="b">
        <f t="shared" si="71"/>
        <v>1</v>
      </c>
      <c r="Q80" s="466" t="b">
        <f t="shared" si="71"/>
        <v>0</v>
      </c>
      <c r="R80" s="466" t="b">
        <f t="shared" si="71"/>
        <v>0</v>
      </c>
      <c r="S80" s="466" t="b">
        <f t="shared" si="71"/>
        <v>1</v>
      </c>
      <c r="T80" s="466" t="b">
        <f t="shared" si="71"/>
        <v>1</v>
      </c>
      <c r="U80" s="466" t="b">
        <f t="shared" si="71"/>
        <v>1</v>
      </c>
      <c r="V80" s="466" t="b">
        <f t="shared" si="71"/>
        <v>1</v>
      </c>
      <c r="W80" s="466" t="b">
        <f t="shared" si="71"/>
        <v>1</v>
      </c>
      <c r="X80" s="466" t="b">
        <f t="shared" si="71"/>
        <v>1</v>
      </c>
      <c r="Y80" s="466" t="b">
        <f t="shared" si="71"/>
        <v>1</v>
      </c>
      <c r="Z80" s="466" t="b">
        <f t="shared" si="71"/>
        <v>1</v>
      </c>
      <c r="AA80" s="466" t="b">
        <f t="shared" si="71"/>
        <v>1</v>
      </c>
      <c r="AB80" s="466" t="b">
        <f t="shared" si="71"/>
        <v>1</v>
      </c>
      <c r="AC80" s="466" t="b">
        <f t="shared" si="71"/>
        <v>1</v>
      </c>
      <c r="AD80" s="466"/>
      <c r="AE80" s="466"/>
      <c r="AF80" s="466"/>
      <c r="AG80" s="466"/>
      <c r="AH80" s="466"/>
      <c r="AI80" s="466"/>
      <c r="AJ80" s="466" t="b">
        <f t="shared" si="71"/>
        <v>1</v>
      </c>
      <c r="AK80" s="466" t="b">
        <f t="shared" si="71"/>
        <v>1</v>
      </c>
      <c r="AL80" s="466" t="b">
        <f t="shared" si="71"/>
        <v>1</v>
      </c>
      <c r="AM80" s="466" t="b">
        <f t="shared" si="71"/>
        <v>1</v>
      </c>
      <c r="AN80" s="466" t="b">
        <f t="shared" si="71"/>
        <v>1</v>
      </c>
      <c r="AO80" s="466" t="b">
        <f t="shared" si="71"/>
        <v>1</v>
      </c>
      <c r="AP80" s="466" t="b">
        <f t="shared" si="71"/>
        <v>1</v>
      </c>
      <c r="AQ80" s="466" t="b">
        <f t="shared" si="71"/>
        <v>1</v>
      </c>
      <c r="AR80" s="466" t="b">
        <f t="shared" si="71"/>
        <v>1</v>
      </c>
      <c r="AS80" s="466" t="b">
        <f t="shared" si="71"/>
        <v>1</v>
      </c>
      <c r="AT80" s="466" t="b">
        <f t="shared" si="71"/>
        <v>1</v>
      </c>
      <c r="AU80" s="466" t="b">
        <f t="shared" si="71"/>
        <v>1</v>
      </c>
      <c r="AV80" s="466"/>
      <c r="AW80" s="466"/>
      <c r="AX80" s="466"/>
      <c r="BM80" s="604"/>
      <c r="BN80" s="604"/>
      <c r="BO80" s="604"/>
      <c r="BP80" s="531"/>
      <c r="BQ80" s="607"/>
    </row>
    <row r="81" spans="1:69" s="115" customFormat="1" hidden="1" x14ac:dyDescent="0.3">
      <c r="A81" s="463"/>
      <c r="B81" s="464"/>
      <c r="C81" s="465"/>
      <c r="D81" s="466"/>
      <c r="E81" s="466">
        <f>E23-E11</f>
        <v>419446106.55499935</v>
      </c>
      <c r="F81" s="466"/>
      <c r="G81" s="466"/>
      <c r="H81" s="466"/>
      <c r="I81" s="466"/>
      <c r="J81" s="466"/>
      <c r="K81" s="466"/>
      <c r="L81" s="466"/>
      <c r="M81" s="466"/>
      <c r="N81" s="466"/>
      <c r="O81" s="466"/>
      <c r="P81" s="466"/>
      <c r="Q81" s="466"/>
      <c r="R81" s="466"/>
      <c r="S81" s="466"/>
      <c r="T81" s="466"/>
      <c r="U81" s="466"/>
      <c r="V81" s="466"/>
      <c r="W81" s="466"/>
      <c r="X81" s="466"/>
      <c r="Y81" s="466"/>
      <c r="Z81" s="466"/>
      <c r="AA81" s="466"/>
      <c r="AB81" s="466"/>
      <c r="AC81" s="466"/>
      <c r="AD81" s="466"/>
      <c r="AE81" s="466"/>
      <c r="AF81" s="466"/>
      <c r="AG81" s="466"/>
      <c r="AH81" s="466"/>
      <c r="AI81" s="466"/>
      <c r="AJ81" s="466"/>
      <c r="AK81" s="466"/>
      <c r="AL81" s="466"/>
      <c r="AM81" s="466"/>
      <c r="AN81" s="466"/>
      <c r="AO81" s="466"/>
      <c r="AP81" s="466"/>
      <c r="AQ81" s="466"/>
      <c r="AR81" s="466"/>
      <c r="AS81" s="466"/>
      <c r="AT81" s="466"/>
      <c r="AU81" s="466"/>
      <c r="AV81" s="466"/>
      <c r="AW81" s="466"/>
      <c r="AX81" s="466"/>
      <c r="BM81" s="604"/>
      <c r="BN81" s="604"/>
      <c r="BO81" s="604"/>
      <c r="BP81" s="531"/>
      <c r="BQ81" s="607"/>
    </row>
    <row r="82" spans="1:69" s="115" customFormat="1" hidden="1" x14ac:dyDescent="0.3">
      <c r="A82" s="463"/>
      <c r="B82" s="464"/>
      <c r="C82" s="465"/>
      <c r="D82" s="466"/>
      <c r="E82" s="466"/>
      <c r="F82" s="466"/>
      <c r="G82" s="466"/>
      <c r="H82" s="466"/>
      <c r="I82" s="466"/>
      <c r="J82" s="466"/>
      <c r="K82" s="466"/>
      <c r="L82" s="466"/>
      <c r="M82" s="466"/>
      <c r="N82" s="466"/>
      <c r="O82" s="466"/>
      <c r="P82" s="466"/>
      <c r="Q82" s="466"/>
      <c r="R82" s="466"/>
      <c r="S82" s="466"/>
      <c r="T82" s="466"/>
      <c r="U82" s="466"/>
      <c r="V82" s="466">
        <v>824053700</v>
      </c>
      <c r="W82" s="466"/>
      <c r="X82" s="466"/>
      <c r="Y82" s="466"/>
      <c r="Z82" s="466"/>
      <c r="AA82" s="466"/>
      <c r="AB82" s="466"/>
      <c r="AC82" s="466"/>
      <c r="AD82" s="466"/>
      <c r="AE82" s="466"/>
      <c r="AF82" s="466"/>
      <c r="AG82" s="466"/>
      <c r="AH82" s="466"/>
      <c r="AI82" s="466"/>
      <c r="AJ82" s="466"/>
      <c r="AK82" s="466"/>
      <c r="AL82" s="466"/>
      <c r="AM82" s="466"/>
      <c r="AN82" s="466"/>
      <c r="AO82" s="466"/>
      <c r="AP82" s="466">
        <f>AO75-AP75</f>
        <v>7.7635645866394043E-3</v>
      </c>
      <c r="AQ82" s="466"/>
      <c r="AR82" s="466"/>
      <c r="AS82" s="466"/>
      <c r="AT82" s="466"/>
      <c r="AU82" s="466"/>
      <c r="AV82" s="466"/>
      <c r="AW82" s="466"/>
      <c r="AX82" s="466"/>
      <c r="BM82" s="604"/>
      <c r="BN82" s="604"/>
      <c r="BO82" s="604"/>
      <c r="BP82" s="531"/>
      <c r="BQ82" s="607"/>
    </row>
    <row r="83" spans="1:69" s="115" customFormat="1" hidden="1" x14ac:dyDescent="0.3">
      <c r="A83" s="463"/>
      <c r="B83" s="464"/>
      <c r="C83" s="465"/>
      <c r="D83" s="466"/>
      <c r="E83" s="466"/>
      <c r="F83" s="466">
        <f>F11-F23</f>
        <v>1.5000581741333008E-2</v>
      </c>
      <c r="G83" s="466"/>
      <c r="H83" s="466"/>
      <c r="I83" s="466"/>
      <c r="J83" s="466"/>
      <c r="K83" s="466"/>
      <c r="L83" s="466"/>
      <c r="M83" s="466"/>
      <c r="N83" s="466"/>
      <c r="O83" s="466"/>
      <c r="P83" s="466"/>
      <c r="Q83" s="466"/>
      <c r="R83" s="466"/>
      <c r="S83" s="466"/>
      <c r="T83" s="466"/>
      <c r="U83" s="466"/>
      <c r="V83" s="466">
        <f>V82-X11-AA11-1896500.82-6372300</f>
        <v>786775320.70999992</v>
      </c>
      <c r="W83" s="466"/>
      <c r="X83" s="466"/>
      <c r="Y83" s="466"/>
      <c r="Z83" s="466"/>
      <c r="AA83" s="466"/>
      <c r="AB83" s="466"/>
      <c r="AC83" s="466"/>
      <c r="AD83" s="466"/>
      <c r="AE83" s="466"/>
      <c r="AF83" s="466"/>
      <c r="AG83" s="466"/>
      <c r="AH83" s="466"/>
      <c r="AI83" s="466"/>
      <c r="AJ83" s="466"/>
      <c r="AK83" s="466"/>
      <c r="AL83" s="466"/>
      <c r="AM83" s="466"/>
      <c r="AN83" s="466"/>
      <c r="AO83" s="466"/>
      <c r="AP83" s="466"/>
      <c r="AQ83" s="466"/>
      <c r="AR83" s="466"/>
      <c r="AS83" s="466"/>
      <c r="AT83" s="466"/>
      <c r="AU83" s="466"/>
      <c r="AV83" s="466"/>
      <c r="AW83" s="466"/>
      <c r="AX83" s="466"/>
      <c r="BM83" s="604"/>
      <c r="BN83" s="604"/>
      <c r="BO83" s="604"/>
      <c r="BP83" s="531"/>
      <c r="BQ83" s="607"/>
    </row>
    <row r="84" spans="1:69" s="115" customFormat="1" hidden="1" x14ac:dyDescent="0.3">
      <c r="A84" s="463"/>
      <c r="B84" s="464"/>
      <c r="C84" s="465"/>
      <c r="D84" s="466"/>
      <c r="E84" s="466"/>
      <c r="F84" s="466" t="b">
        <f>F76=F83</f>
        <v>0</v>
      </c>
      <c r="G84" s="466"/>
      <c r="H84" s="466"/>
      <c r="I84" s="466"/>
      <c r="J84" s="466"/>
      <c r="K84" s="466"/>
      <c r="L84" s="466"/>
      <c r="M84" s="466"/>
      <c r="N84" s="466"/>
      <c r="O84" s="466"/>
      <c r="P84" s="466"/>
      <c r="Q84" s="466"/>
      <c r="R84" s="466"/>
      <c r="S84" s="466"/>
      <c r="T84" s="466"/>
      <c r="U84" s="466"/>
      <c r="V84" s="466"/>
      <c r="W84" s="466"/>
      <c r="X84" s="466"/>
      <c r="Y84" s="466"/>
      <c r="Z84" s="466"/>
      <c r="AA84" s="466"/>
      <c r="AB84" s="466"/>
      <c r="AC84" s="466"/>
      <c r="AD84" s="466"/>
      <c r="AE84" s="466"/>
      <c r="AF84" s="466"/>
      <c r="AG84" s="466"/>
      <c r="AH84" s="466"/>
      <c r="AI84" s="466"/>
      <c r="AJ84" s="466"/>
      <c r="AK84" s="466"/>
      <c r="AL84" s="466"/>
      <c r="AM84" s="466"/>
      <c r="AN84" s="466"/>
      <c r="AO84" s="466"/>
      <c r="AP84" s="466"/>
      <c r="AQ84" s="466"/>
      <c r="AR84" s="466"/>
      <c r="AS84" s="466"/>
      <c r="AT84" s="466"/>
      <c r="AU84" s="466"/>
      <c r="AV84" s="466"/>
      <c r="AW84" s="466"/>
      <c r="AX84" s="466"/>
      <c r="BM84" s="604"/>
      <c r="BN84" s="604"/>
      <c r="BO84" s="604"/>
      <c r="BP84" s="531"/>
      <c r="BQ84" s="607"/>
    </row>
    <row r="85" spans="1:69" s="115" customFormat="1" hidden="1" x14ac:dyDescent="0.3">
      <c r="A85" s="463"/>
      <c r="B85" s="464"/>
      <c r="C85" s="465"/>
      <c r="D85" s="466"/>
      <c r="E85" s="466"/>
      <c r="F85" s="466"/>
      <c r="G85" s="466"/>
      <c r="H85" s="466"/>
      <c r="I85" s="466"/>
      <c r="J85" s="466"/>
      <c r="K85" s="466"/>
      <c r="L85" s="466"/>
      <c r="M85" s="466"/>
      <c r="N85" s="466"/>
      <c r="O85" s="466"/>
      <c r="P85" s="466"/>
      <c r="Q85" s="466"/>
      <c r="R85" s="466"/>
      <c r="S85" s="466"/>
      <c r="T85" s="466"/>
      <c r="U85" s="466"/>
      <c r="V85" s="466"/>
      <c r="W85" s="466"/>
      <c r="X85" s="466"/>
      <c r="Y85" s="466"/>
      <c r="Z85" s="466"/>
      <c r="AA85" s="466"/>
      <c r="AB85" s="466"/>
      <c r="AC85" s="466"/>
      <c r="AD85" s="466"/>
      <c r="AE85" s="466"/>
      <c r="AF85" s="466"/>
      <c r="AG85" s="466"/>
      <c r="AH85" s="466"/>
      <c r="AI85" s="466"/>
      <c r="AJ85" s="466"/>
      <c r="AK85" s="466"/>
      <c r="AL85" s="466"/>
      <c r="AM85" s="466"/>
      <c r="AN85" s="466"/>
      <c r="AO85" s="466"/>
      <c r="AP85" s="466"/>
      <c r="AQ85" s="466"/>
      <c r="AR85" s="466"/>
      <c r="AS85" s="466"/>
      <c r="AT85" s="466"/>
      <c r="AU85" s="466"/>
      <c r="AV85" s="466"/>
      <c r="AW85" s="466"/>
      <c r="AX85" s="466"/>
      <c r="BM85" s="604"/>
      <c r="BN85" s="604"/>
      <c r="BO85" s="604"/>
      <c r="BP85" s="531"/>
      <c r="BQ85" s="607"/>
    </row>
    <row r="86" spans="1:69" s="115" customFormat="1" hidden="1" x14ac:dyDescent="0.3">
      <c r="A86" s="463"/>
      <c r="B86" s="464"/>
      <c r="C86" s="465"/>
      <c r="D86" s="466"/>
      <c r="E86" s="466"/>
      <c r="F86" s="466"/>
      <c r="G86" s="283">
        <v>493797.89</v>
      </c>
      <c r="H86" s="157">
        <v>493797.8900000155</v>
      </c>
      <c r="I86" s="298">
        <v>1.548323780298233E-8</v>
      </c>
      <c r="J86" s="467"/>
      <c r="K86" s="467"/>
      <c r="L86" s="467"/>
      <c r="M86" s="467"/>
      <c r="N86" s="467"/>
      <c r="O86" s="467"/>
      <c r="P86" s="467"/>
      <c r="Q86" s="468"/>
      <c r="R86" s="468"/>
      <c r="S86" s="468"/>
      <c r="T86" s="468"/>
      <c r="U86" s="468"/>
      <c r="V86" s="468"/>
      <c r="W86" s="468"/>
      <c r="X86" s="468"/>
      <c r="Y86" s="468"/>
      <c r="Z86" s="468"/>
      <c r="AA86" s="468"/>
      <c r="AB86" s="468"/>
      <c r="AC86" s="468"/>
      <c r="AD86" s="468"/>
      <c r="AE86" s="468"/>
      <c r="AF86" s="468"/>
      <c r="AG86" s="468"/>
      <c r="AH86" s="468"/>
      <c r="AI86" s="468"/>
      <c r="AJ86" s="469"/>
      <c r="AK86" s="469"/>
      <c r="AL86" s="470"/>
      <c r="AM86" s="470"/>
      <c r="AN86" s="470"/>
      <c r="AO86" s="470"/>
      <c r="AP86" s="470"/>
      <c r="AQ86" s="470"/>
      <c r="AR86" s="470"/>
      <c r="AS86" s="470"/>
      <c r="AT86" s="470"/>
      <c r="AU86" s="470"/>
      <c r="AV86" s="470"/>
      <c r="AW86" s="470"/>
      <c r="AX86" s="470"/>
      <c r="BM86" s="604"/>
      <c r="BN86" s="604"/>
      <c r="BO86" s="604"/>
      <c r="BP86" s="531"/>
      <c r="BQ86" s="607"/>
    </row>
    <row r="87" spans="1:69" ht="19.5" hidden="1" thickBot="1" x14ac:dyDescent="0.35">
      <c r="G87" s="407">
        <v>-2.1200180053710938E-3</v>
      </c>
      <c r="H87" s="304">
        <v>0</v>
      </c>
      <c r="I87" s="377">
        <v>2.1200180053710938E-3</v>
      </c>
      <c r="J87" s="117"/>
      <c r="K87" s="117"/>
      <c r="L87" s="117"/>
      <c r="M87" s="117"/>
      <c r="N87" s="117"/>
      <c r="O87" s="117"/>
      <c r="P87" s="117"/>
      <c r="Q87" s="117"/>
      <c r="R87" s="117"/>
      <c r="S87" s="117"/>
      <c r="T87" s="111">
        <v>49006743.600000001</v>
      </c>
      <c r="U87" s="117" t="s">
        <v>237</v>
      </c>
      <c r="V87" s="117"/>
      <c r="W87" s="117"/>
      <c r="X87" s="117"/>
      <c r="Y87" s="117"/>
      <c r="Z87" s="117"/>
      <c r="AA87" s="117"/>
      <c r="AB87" s="117"/>
      <c r="AC87" s="117"/>
      <c r="AD87" s="117"/>
      <c r="AE87" s="117"/>
      <c r="AF87" s="117"/>
      <c r="AG87" s="117"/>
      <c r="AH87" s="117"/>
      <c r="AI87" s="117"/>
      <c r="AL87" s="137">
        <f>AL23-AL11</f>
        <v>10179839.442763567</v>
      </c>
      <c r="AM87" s="137">
        <f>AM23-AM11</f>
        <v>10179839.435000002</v>
      </c>
      <c r="AO87" s="137">
        <f>AO23-AO11</f>
        <v>9808185.4527635574</v>
      </c>
      <c r="AP87" s="137">
        <f>AP23-AP11</f>
        <v>9808185.4449999928</v>
      </c>
      <c r="AQ87" s="137"/>
      <c r="AR87" s="137">
        <f t="shared" ref="AR87:AS87" si="72">AR23-AR11</f>
        <v>371653.98999999464</v>
      </c>
      <c r="AS87" s="137">
        <f t="shared" si="72"/>
        <v>371653.99000000209</v>
      </c>
    </row>
    <row r="88" spans="1:69" hidden="1" x14ac:dyDescent="0.3">
      <c r="D88" s="111">
        <f>D23-D11</f>
        <v>419446106.56999993</v>
      </c>
      <c r="G88" s="466"/>
      <c r="H88" s="466"/>
      <c r="I88" s="471"/>
      <c r="J88" s="117"/>
      <c r="K88" s="111"/>
      <c r="L88" s="111"/>
      <c r="M88" s="111"/>
      <c r="N88" s="117"/>
      <c r="O88" s="117"/>
      <c r="P88" s="117"/>
      <c r="Q88" s="117"/>
      <c r="R88" s="117"/>
      <c r="S88" s="117"/>
      <c r="T88" s="111">
        <f>T76-T87</f>
        <v>156608048.77000001</v>
      </c>
      <c r="U88" s="117" t="s">
        <v>197</v>
      </c>
      <c r="V88" s="117"/>
      <c r="W88" s="117"/>
      <c r="X88" s="117"/>
      <c r="Y88" s="117"/>
      <c r="Z88" s="117"/>
      <c r="AA88" s="117"/>
      <c r="AB88" s="117"/>
      <c r="AC88" s="117"/>
      <c r="AD88" s="117"/>
      <c r="AE88" s="117"/>
      <c r="AF88" s="117"/>
      <c r="AG88" s="117"/>
      <c r="AH88" s="117"/>
      <c r="AI88" s="117"/>
    </row>
    <row r="89" spans="1:69" hidden="1" x14ac:dyDescent="0.3">
      <c r="G89" s="157">
        <v>493797.8921200037</v>
      </c>
      <c r="H89" s="157">
        <v>493797.8900000155</v>
      </c>
      <c r="I89" s="157">
        <v>-2.1199882030487061E-3</v>
      </c>
      <c r="J89" s="117">
        <v>211</v>
      </c>
      <c r="K89" s="111">
        <v>170582.06</v>
      </c>
      <c r="L89" s="111"/>
      <c r="M89" s="111"/>
      <c r="N89" s="117"/>
      <c r="O89" s="117"/>
      <c r="P89" s="117"/>
      <c r="Q89" s="117"/>
      <c r="R89" s="117"/>
      <c r="S89" s="117"/>
      <c r="T89" s="117"/>
      <c r="U89" s="117"/>
      <c r="V89" s="117"/>
      <c r="W89" s="117"/>
      <c r="X89" s="117"/>
      <c r="Y89" s="117"/>
      <c r="Z89" s="117"/>
      <c r="AA89" s="117"/>
      <c r="AB89" s="117"/>
      <c r="AC89" s="117"/>
      <c r="AD89" s="117"/>
      <c r="AE89" s="117"/>
      <c r="AF89" s="117"/>
      <c r="AG89" s="117"/>
      <c r="AH89" s="117"/>
      <c r="AI89" s="117"/>
      <c r="AJ89" s="117">
        <v>211</v>
      </c>
      <c r="AK89" s="137">
        <v>109680.99846390169</v>
      </c>
      <c r="AO89" s="263"/>
      <c r="AP89" s="263"/>
      <c r="AQ89" s="263"/>
      <c r="AR89" s="137">
        <v>2818.05</v>
      </c>
      <c r="AS89" s="137"/>
      <c r="AT89" s="137"/>
      <c r="AU89" s="151">
        <v>221</v>
      </c>
      <c r="AV89" s="151"/>
      <c r="AW89" s="151"/>
      <c r="AX89" s="151"/>
    </row>
    <row r="90" spans="1:69" hidden="1" x14ac:dyDescent="0.3">
      <c r="G90" s="466">
        <v>493797.88999998569</v>
      </c>
      <c r="H90" s="466">
        <v>493797.8900000155</v>
      </c>
      <c r="I90" s="466">
        <v>2.9802322387695313E-8</v>
      </c>
      <c r="J90" s="117">
        <v>213</v>
      </c>
      <c r="K90" s="111">
        <f>K89*30.2%+0.01</f>
        <v>51515.792119999998</v>
      </c>
      <c r="L90" s="111"/>
      <c r="M90" s="111"/>
      <c r="N90" s="117"/>
      <c r="O90" s="117"/>
      <c r="P90" s="117"/>
      <c r="Q90" s="117"/>
      <c r="R90" s="117"/>
      <c r="S90" s="117"/>
      <c r="T90" s="117"/>
      <c r="U90" s="117"/>
      <c r="V90" s="117"/>
      <c r="W90" s="117"/>
      <c r="X90" s="117"/>
      <c r="Y90" s="117"/>
      <c r="Z90" s="117"/>
      <c r="AA90" s="117"/>
      <c r="AB90" s="117"/>
      <c r="AC90" s="117"/>
      <c r="AD90" s="117"/>
      <c r="AE90" s="117"/>
      <c r="AF90" s="117"/>
      <c r="AG90" s="117"/>
      <c r="AH90" s="117"/>
      <c r="AI90" s="117"/>
      <c r="AJ90" s="117">
        <v>213</v>
      </c>
      <c r="AK90" s="137">
        <v>33123.660000000003</v>
      </c>
      <c r="AO90" s="263"/>
      <c r="AP90" s="263"/>
      <c r="AQ90" s="263"/>
      <c r="AR90" s="137">
        <v>63920</v>
      </c>
      <c r="AS90" s="137"/>
      <c r="AT90" s="137"/>
      <c r="AU90" s="151">
        <v>310</v>
      </c>
      <c r="AV90" s="151"/>
      <c r="AW90" s="151"/>
      <c r="AX90" s="151"/>
    </row>
    <row r="91" spans="1:69" hidden="1" x14ac:dyDescent="0.3">
      <c r="G91" s="466" t="b">
        <v>0</v>
      </c>
      <c r="H91" s="466" t="b">
        <v>1</v>
      </c>
      <c r="I91" s="466" t="b">
        <v>0</v>
      </c>
      <c r="J91" s="117">
        <v>226</v>
      </c>
      <c r="K91" s="111">
        <v>176906.04</v>
      </c>
      <c r="L91" s="111"/>
      <c r="M91" s="111"/>
      <c r="N91" s="117"/>
      <c r="O91" s="117"/>
      <c r="P91" s="117"/>
      <c r="Q91" s="111"/>
      <c r="R91" s="111"/>
      <c r="S91" s="111"/>
      <c r="T91" s="111"/>
      <c r="U91" s="117"/>
      <c r="V91" s="117"/>
      <c r="W91" s="117"/>
      <c r="X91" s="117"/>
      <c r="Y91" s="117"/>
      <c r="Z91" s="117"/>
      <c r="AA91" s="117"/>
      <c r="AB91" s="117"/>
      <c r="AC91" s="117"/>
      <c r="AD91" s="117"/>
      <c r="AE91" s="117"/>
      <c r="AF91" s="117"/>
      <c r="AG91" s="117"/>
      <c r="AH91" s="117"/>
      <c r="AI91" s="117"/>
      <c r="AK91" s="137">
        <f>SUM(AK89:AK90)</f>
        <v>142804.65846390169</v>
      </c>
      <c r="AO91" s="264">
        <f>AO75</f>
        <v>9808185.4527635574</v>
      </c>
      <c r="AP91" s="264"/>
      <c r="AQ91" s="264"/>
      <c r="AR91" s="137">
        <v>1155747.52</v>
      </c>
      <c r="AS91" s="137"/>
      <c r="AT91" s="137"/>
      <c r="AU91" s="151">
        <v>340</v>
      </c>
      <c r="AV91" s="151"/>
      <c r="AW91" s="151"/>
      <c r="AX91" s="151"/>
    </row>
    <row r="92" spans="1:69" hidden="1" x14ac:dyDescent="0.3">
      <c r="G92" s="117"/>
      <c r="H92" s="117"/>
      <c r="I92" s="117"/>
      <c r="J92" s="117">
        <v>340</v>
      </c>
      <c r="K92" s="111">
        <v>94794</v>
      </c>
      <c r="L92" s="111"/>
      <c r="M92" s="111"/>
      <c r="N92" s="117"/>
      <c r="O92" s="117"/>
      <c r="P92" s="117"/>
      <c r="Q92" s="117"/>
      <c r="R92" s="117"/>
      <c r="S92" s="117"/>
      <c r="T92" s="117"/>
      <c r="U92" s="117"/>
      <c r="V92" s="117"/>
      <c r="W92" s="117"/>
      <c r="X92" s="117"/>
      <c r="Y92" s="117"/>
      <c r="Z92" s="117"/>
      <c r="AA92" s="117"/>
      <c r="AB92" s="117"/>
      <c r="AC92" s="117"/>
      <c r="AD92" s="117"/>
      <c r="AE92" s="117"/>
      <c r="AF92" s="117"/>
      <c r="AG92" s="117"/>
      <c r="AH92" s="117"/>
      <c r="AI92" s="117"/>
    </row>
    <row r="93" spans="1:69" s="531" customFormat="1" hidden="1" x14ac:dyDescent="0.3">
      <c r="C93" s="532"/>
      <c r="H93" s="535">
        <f>H23-H86</f>
        <v>239248393.09</v>
      </c>
      <c r="K93" s="533">
        <f>SUM(K89:K92)</f>
        <v>493797.89211999997</v>
      </c>
      <c r="L93" s="533"/>
      <c r="M93" s="533"/>
      <c r="AK93" s="534"/>
      <c r="AL93" s="534"/>
      <c r="AM93" s="534"/>
      <c r="AN93" s="534"/>
      <c r="BQ93" s="602"/>
    </row>
    <row r="94" spans="1:69" s="531" customFormat="1" hidden="1" x14ac:dyDescent="0.3">
      <c r="C94" s="532"/>
      <c r="G94" s="531" t="s">
        <v>450</v>
      </c>
      <c r="H94" s="535">
        <f>212239200+57300000</f>
        <v>269539200</v>
      </c>
      <c r="I94" s="533">
        <f>H94+H86</f>
        <v>270032997.88999999</v>
      </c>
      <c r="K94" s="533"/>
      <c r="L94" s="533"/>
      <c r="M94" s="533"/>
      <c r="AK94" s="534"/>
      <c r="AL94" s="534"/>
      <c r="AM94" s="534"/>
      <c r="AN94" s="534"/>
      <c r="BQ94" s="602"/>
    </row>
    <row r="95" spans="1:69" hidden="1" x14ac:dyDescent="0.3">
      <c r="G95" s="117"/>
      <c r="H95" s="111">
        <f>H94-H93</f>
        <v>30290806.909999996</v>
      </c>
      <c r="I95" s="117"/>
      <c r="J95" s="117"/>
      <c r="K95" s="111"/>
      <c r="L95" s="111"/>
      <c r="M95" s="111"/>
      <c r="N95" s="117"/>
      <c r="O95" s="117"/>
      <c r="P95" s="117"/>
      <c r="Q95" s="117"/>
      <c r="R95" s="117"/>
      <c r="S95" s="117"/>
      <c r="T95" s="117"/>
      <c r="U95" s="117"/>
      <c r="V95" s="117"/>
      <c r="W95" s="117"/>
      <c r="X95" s="117"/>
      <c r="Y95" s="117"/>
      <c r="Z95" s="117"/>
      <c r="AA95" s="117"/>
      <c r="AB95" s="117"/>
      <c r="AC95" s="117"/>
      <c r="AD95" s="117"/>
      <c r="AE95" s="117"/>
      <c r="AF95" s="117"/>
      <c r="AG95" s="117"/>
      <c r="AH95" s="117"/>
      <c r="AI95" s="117"/>
    </row>
    <row r="96" spans="1:69" hidden="1" x14ac:dyDescent="0.3">
      <c r="G96" s="117"/>
      <c r="H96" s="117"/>
      <c r="I96" s="117"/>
      <c r="J96" s="117"/>
      <c r="K96" s="117"/>
      <c r="L96" s="117"/>
      <c r="M96" s="117"/>
      <c r="N96" s="117"/>
      <c r="O96" s="117"/>
      <c r="P96" s="117"/>
      <c r="Q96" s="117"/>
      <c r="R96" s="117"/>
      <c r="S96" s="117"/>
      <c r="T96" s="117"/>
      <c r="U96" s="117"/>
      <c r="V96" s="117"/>
      <c r="W96" s="117"/>
      <c r="X96" s="117"/>
      <c r="Y96" s="117"/>
      <c r="Z96" s="117"/>
      <c r="AA96" s="117"/>
      <c r="AB96" s="117"/>
      <c r="AC96" s="117"/>
      <c r="AD96" s="117"/>
      <c r="AE96" s="117"/>
      <c r="AF96" s="117"/>
      <c r="AG96" s="117"/>
      <c r="AH96" s="117"/>
      <c r="AI96" s="117"/>
    </row>
    <row r="97" spans="5:69" hidden="1" x14ac:dyDescent="0.3">
      <c r="E97" s="111">
        <f>E45-T45-AM45</f>
        <v>2294985709.3699994</v>
      </c>
      <c r="G97" s="117"/>
      <c r="H97" s="117"/>
      <c r="I97" s="117"/>
      <c r="J97" s="117"/>
      <c r="K97" s="117"/>
      <c r="L97" s="117"/>
      <c r="M97" s="117"/>
      <c r="N97" s="117"/>
      <c r="O97" s="117"/>
      <c r="P97" s="117"/>
      <c r="Q97" s="117"/>
      <c r="R97" s="117"/>
      <c r="S97" s="117"/>
      <c r="T97" s="117"/>
      <c r="U97" s="117"/>
      <c r="V97" s="117"/>
      <c r="W97" s="117"/>
      <c r="X97" s="117"/>
      <c r="Y97" s="117"/>
      <c r="Z97" s="117"/>
      <c r="AA97" s="117"/>
      <c r="AB97" s="117"/>
      <c r="AC97" s="117"/>
      <c r="AD97" s="117"/>
      <c r="AE97" s="117"/>
      <c r="AF97" s="117"/>
      <c r="AG97" s="117"/>
      <c r="AH97" s="117"/>
      <c r="AI97" s="117"/>
    </row>
    <row r="98" spans="5:69" hidden="1" x14ac:dyDescent="0.3">
      <c r="G98" s="117"/>
      <c r="H98" s="117"/>
      <c r="I98" s="117"/>
      <c r="J98" s="117"/>
      <c r="K98" s="117"/>
      <c r="L98" s="117"/>
      <c r="M98" s="117"/>
      <c r="N98" s="117"/>
      <c r="O98" s="117"/>
      <c r="P98" s="117"/>
      <c r="Q98" s="117"/>
      <c r="R98" s="117"/>
      <c r="S98" s="117"/>
      <c r="T98" s="117"/>
      <c r="U98" s="117"/>
      <c r="V98" s="117"/>
      <c r="W98" s="117"/>
      <c r="X98" s="117"/>
      <c r="Y98" s="117"/>
      <c r="Z98" s="117"/>
      <c r="AA98" s="117"/>
      <c r="AB98" s="117"/>
      <c r="AC98" s="117"/>
      <c r="AD98" s="117"/>
      <c r="AE98" s="117"/>
      <c r="AF98" s="117"/>
      <c r="AG98" s="117"/>
      <c r="AH98" s="117"/>
      <c r="AI98" s="117"/>
    </row>
    <row r="99" spans="5:69" hidden="1" x14ac:dyDescent="0.3">
      <c r="G99" s="117"/>
      <c r="H99" s="117"/>
      <c r="I99" s="117"/>
      <c r="J99" s="117"/>
      <c r="K99" s="117"/>
      <c r="L99" s="117"/>
      <c r="M99" s="117"/>
      <c r="N99" s="117"/>
      <c r="O99" s="117"/>
      <c r="P99" s="117"/>
      <c r="Q99" s="117"/>
      <c r="R99" s="1030" t="s">
        <v>908</v>
      </c>
      <c r="S99" s="117"/>
      <c r="T99" s="117"/>
      <c r="U99" s="117"/>
      <c r="V99" s="602" t="s">
        <v>905</v>
      </c>
      <c r="W99" s="111">
        <f>SUM(W51:W98)</f>
        <v>1005000000.0300007</v>
      </c>
      <c r="X99" s="602" t="s">
        <v>906</v>
      </c>
      <c r="Y99" s="117"/>
      <c r="Z99" s="117"/>
      <c r="AA99" s="117"/>
      <c r="AB99" s="602" t="s">
        <v>907</v>
      </c>
      <c r="AC99" s="117"/>
      <c r="AD99" s="117"/>
      <c r="AE99" s="117"/>
      <c r="AF99" s="117"/>
      <c r="AG99" s="117"/>
      <c r="AH99" s="117"/>
      <c r="AI99" s="117"/>
      <c r="BQ99" s="605"/>
    </row>
    <row r="100" spans="5:69" hidden="1" x14ac:dyDescent="0.3">
      <c r="E100" s="111"/>
      <c r="G100" s="117"/>
      <c r="H100" s="111">
        <f>H24-L100-L101-L102</f>
        <v>170782400.00000003</v>
      </c>
      <c r="I100" s="117"/>
      <c r="J100" s="117"/>
      <c r="K100" s="117">
        <v>211</v>
      </c>
      <c r="L100" s="111">
        <f>Санкционирование!AV25</f>
        <v>12712935.3365745</v>
      </c>
      <c r="M100" s="111">
        <f>L100</f>
        <v>12712935.3365745</v>
      </c>
      <c r="N100" s="117"/>
      <c r="O100" s="117"/>
      <c r="P100" s="117"/>
      <c r="Q100" s="880" t="s">
        <v>917</v>
      </c>
      <c r="R100" s="111">
        <v>146375908.19999999</v>
      </c>
      <c r="S100" s="117"/>
      <c r="T100" s="117"/>
      <c r="U100" s="117"/>
      <c r="V100" s="117">
        <v>211</v>
      </c>
      <c r="W100" s="117"/>
      <c r="X100" s="111">
        <f>'расчет норматив'!AC10</f>
        <v>130723623.19</v>
      </c>
      <c r="Y100" s="117"/>
      <c r="Z100" s="117"/>
      <c r="AA100" s="117"/>
      <c r="AB100" s="111">
        <f>115806600+15362600</f>
        <v>131169200</v>
      </c>
      <c r="AC100" s="117"/>
      <c r="AD100" s="117"/>
      <c r="AE100" s="117"/>
      <c r="AF100" s="117"/>
      <c r="AG100" s="117"/>
      <c r="AH100" s="117"/>
      <c r="AI100" s="117"/>
      <c r="AK100" s="1032">
        <v>530061.06000000006</v>
      </c>
      <c r="AP100" s="970">
        <v>9808185.4700000044</v>
      </c>
      <c r="AS100" s="111">
        <f>AS75-AR75</f>
        <v>7.4505805969238281E-9</v>
      </c>
      <c r="BP100" s="533">
        <f>BP75-AL75</f>
        <v>-17446203.48636353</v>
      </c>
      <c r="BQ100" s="605">
        <v>261252050.31999999</v>
      </c>
    </row>
    <row r="101" spans="5:69" hidden="1" x14ac:dyDescent="0.3">
      <c r="E101" s="117">
        <v>205614792.37</v>
      </c>
      <c r="G101" s="117"/>
      <c r="H101" s="111">
        <f>AB103-H100</f>
        <v>0</v>
      </c>
      <c r="I101" s="117"/>
      <c r="J101" s="117"/>
      <c r="K101" s="117">
        <v>213</v>
      </c>
      <c r="L101" s="111">
        <f>Санкционирование!AV26</f>
        <v>4311035.7434254978</v>
      </c>
      <c r="M101" s="111">
        <f>'Лист2 (2)'!F13</f>
        <v>3811205.169999999</v>
      </c>
      <c r="N101" s="111">
        <f>L101-M101</f>
        <v>499830.57342549879</v>
      </c>
      <c r="O101" s="111">
        <f>'расчет норматив'!AC8+L100+L101</f>
        <v>187806371.08477378</v>
      </c>
      <c r="P101" s="117"/>
      <c r="Q101" s="880" t="s">
        <v>919</v>
      </c>
      <c r="R101" s="111">
        <v>429259.19</v>
      </c>
      <c r="S101" s="117"/>
      <c r="T101" s="117">
        <v>205614792.37</v>
      </c>
      <c r="U101" s="117"/>
      <c r="V101" s="117">
        <v>213</v>
      </c>
      <c r="W101" s="117"/>
      <c r="X101" s="111">
        <f>'расчет норматив'!AC11</f>
        <v>39613200</v>
      </c>
      <c r="Y101" s="117"/>
      <c r="Z101" s="117"/>
      <c r="AA101" s="117"/>
      <c r="AB101" s="111">
        <f>34973700+4639500</f>
        <v>39613200</v>
      </c>
      <c r="AC101" s="117"/>
      <c r="AD101" s="117"/>
      <c r="AE101" s="117"/>
      <c r="AF101" s="117"/>
      <c r="AG101" s="117"/>
      <c r="AH101" s="117"/>
      <c r="AI101" s="117"/>
      <c r="AJ101" s="117">
        <v>211</v>
      </c>
      <c r="AK101" s="1032">
        <f>AK100/1.302</f>
        <v>407112.94930875581</v>
      </c>
      <c r="BQ101" s="605">
        <f>BQ100-BQ76</f>
        <v>-971567.62999999523</v>
      </c>
    </row>
    <row r="102" spans="5:69" hidden="1" x14ac:dyDescent="0.3">
      <c r="E102" s="111">
        <f>E11+E75-E23</f>
        <v>205614792.38000059</v>
      </c>
      <c r="G102" s="117"/>
      <c r="H102" s="117"/>
      <c r="I102" s="117"/>
      <c r="J102" s="117"/>
      <c r="K102" s="117">
        <v>212</v>
      </c>
      <c r="L102" s="111">
        <f>Санкционирование!AV27</f>
        <v>79091.530000000028</v>
      </c>
      <c r="M102" s="117"/>
      <c r="N102" s="111">
        <f>L102</f>
        <v>79091.530000000028</v>
      </c>
      <c r="O102" s="111">
        <f>H24</f>
        <v>187885462.61000001</v>
      </c>
      <c r="P102" s="117"/>
      <c r="Q102" s="880" t="s">
        <v>918</v>
      </c>
      <c r="R102" s="111">
        <v>4389110</v>
      </c>
      <c r="S102" s="117"/>
      <c r="T102" s="117">
        <v>203001361.21000001</v>
      </c>
      <c r="U102" s="117"/>
      <c r="V102" s="117">
        <v>212</v>
      </c>
      <c r="W102" s="117"/>
      <c r="X102" s="111">
        <f>'расчет норматив'!AC12</f>
        <v>445576.81477379624</v>
      </c>
      <c r="Y102" s="117"/>
      <c r="Z102" s="117"/>
      <c r="AA102" s="117"/>
      <c r="AB102" s="117"/>
      <c r="AC102" s="117"/>
      <c r="AD102" s="117"/>
      <c r="AE102" s="117"/>
      <c r="AF102" s="117"/>
      <c r="AG102" s="117"/>
      <c r="AH102" s="117"/>
      <c r="AI102" s="117"/>
      <c r="AJ102" s="117">
        <v>213</v>
      </c>
      <c r="AK102" s="1032">
        <f>AK101*0.302</f>
        <v>122948.11069124425</v>
      </c>
    </row>
    <row r="103" spans="5:69" hidden="1" x14ac:dyDescent="0.3">
      <c r="G103" s="117"/>
      <c r="H103" s="117"/>
      <c r="I103" s="117"/>
      <c r="J103" s="117"/>
      <c r="K103" s="117">
        <v>221</v>
      </c>
      <c r="L103" s="111">
        <f>Санкционирование!AV47</f>
        <v>385393.10000000003</v>
      </c>
      <c r="M103" s="117"/>
      <c r="N103" s="111">
        <f t="shared" ref="N103:N113" si="73">L103</f>
        <v>385393.10000000003</v>
      </c>
      <c r="O103" s="117"/>
      <c r="P103" s="117"/>
      <c r="Q103" s="880" t="s">
        <v>920</v>
      </c>
      <c r="R103" s="111">
        <v>137961180.06</v>
      </c>
      <c r="S103" s="117"/>
      <c r="T103" s="117">
        <f>T101-T102</f>
        <v>2613431.1599999964</v>
      </c>
      <c r="U103" s="117"/>
      <c r="V103" s="117"/>
      <c r="W103" s="117"/>
      <c r="X103" s="111">
        <f>SUM(X100:X102)</f>
        <v>170782400.0047738</v>
      </c>
      <c r="Y103" s="117"/>
      <c r="Z103" s="117"/>
      <c r="AA103" s="117"/>
      <c r="AB103" s="111">
        <f>SUM(AB100:AB102)</f>
        <v>170782400</v>
      </c>
      <c r="AC103" s="117"/>
      <c r="AD103" s="117"/>
      <c r="AE103" s="137">
        <f>X103-AB103</f>
        <v>4.7737956047058105E-3</v>
      </c>
      <c r="AF103" s="117"/>
      <c r="AG103" s="117"/>
      <c r="AH103" s="117"/>
      <c r="AI103" s="117"/>
      <c r="AK103" s="1032">
        <f>AK101+AK102</f>
        <v>530061.06000000006</v>
      </c>
    </row>
    <row r="104" spans="5:69" hidden="1" x14ac:dyDescent="0.3">
      <c r="E104" s="111">
        <f>E75-D75</f>
        <v>-5.0001144409179688E-3</v>
      </c>
      <c r="G104" s="117"/>
      <c r="H104" s="117"/>
      <c r="I104" s="117"/>
      <c r="J104" s="117"/>
      <c r="K104" s="117">
        <v>222</v>
      </c>
      <c r="L104" s="111">
        <f>Санкционирование!AV48</f>
        <v>0</v>
      </c>
      <c r="M104" s="117"/>
      <c r="N104" s="111">
        <f t="shared" si="73"/>
        <v>0</v>
      </c>
      <c r="O104" s="117"/>
      <c r="P104" s="117"/>
      <c r="Q104" s="880" t="s">
        <v>922</v>
      </c>
      <c r="R104" s="111">
        <v>860103.18</v>
      </c>
      <c r="S104" s="117"/>
      <c r="T104" s="117"/>
      <c r="U104" s="117"/>
      <c r="V104" s="117"/>
      <c r="W104" s="117"/>
      <c r="X104" s="117"/>
      <c r="Y104" s="117"/>
      <c r="Z104" s="117"/>
      <c r="AA104" s="117"/>
      <c r="AB104" s="602" t="s">
        <v>908</v>
      </c>
      <c r="AC104" s="117"/>
      <c r="AD104" s="117"/>
      <c r="AE104" s="117"/>
      <c r="AF104" s="117"/>
      <c r="AG104" s="117"/>
      <c r="AH104" s="117"/>
      <c r="AI104" s="117"/>
    </row>
    <row r="105" spans="5:69" hidden="1" x14ac:dyDescent="0.3">
      <c r="G105" s="117"/>
      <c r="H105" s="117"/>
      <c r="I105" s="117"/>
      <c r="J105" s="117"/>
      <c r="K105" s="117">
        <v>223</v>
      </c>
      <c r="L105" s="111">
        <f>Санкционирование!AV49</f>
        <v>804094.59999999963</v>
      </c>
      <c r="M105" s="117"/>
      <c r="N105" s="111">
        <f t="shared" si="73"/>
        <v>804094.59999999963</v>
      </c>
      <c r="O105" s="117"/>
      <c r="P105" s="117"/>
      <c r="Q105" s="880" t="s">
        <v>921</v>
      </c>
      <c r="R105" s="111">
        <v>87456589.090000004</v>
      </c>
      <c r="S105" s="117"/>
      <c r="T105" s="117"/>
      <c r="U105" s="117"/>
      <c r="V105" s="117">
        <v>211</v>
      </c>
      <c r="W105" s="117"/>
      <c r="X105" s="111">
        <f>L100</f>
        <v>12712935.3365745</v>
      </c>
      <c r="Y105" s="117"/>
      <c r="Z105" s="117"/>
      <c r="AA105" s="117"/>
      <c r="AB105" s="111">
        <f>L100</f>
        <v>12712935.3365745</v>
      </c>
      <c r="AC105" s="117"/>
      <c r="AD105" s="117"/>
      <c r="AE105" s="117"/>
      <c r="AF105" s="117"/>
      <c r="AG105" s="117"/>
      <c r="AH105" s="117"/>
      <c r="AI105" s="117"/>
    </row>
    <row r="106" spans="5:69" hidden="1" x14ac:dyDescent="0.3">
      <c r="G106" s="117"/>
      <c r="H106" s="117"/>
      <c r="I106" s="117"/>
      <c r="J106" s="117"/>
      <c r="K106" s="117">
        <v>225</v>
      </c>
      <c r="L106" s="111">
        <f>Санкционирование!AV54</f>
        <v>9226.5200000004843</v>
      </c>
      <c r="M106" s="117"/>
      <c r="N106" s="111">
        <f t="shared" si="73"/>
        <v>9226.5200000004843</v>
      </c>
      <c r="O106" s="117"/>
      <c r="P106" s="117"/>
      <c r="Q106" s="880" t="s">
        <v>923</v>
      </c>
      <c r="R106" s="111">
        <v>5533016.0999999996</v>
      </c>
      <c r="S106" s="117"/>
      <c r="T106" s="117"/>
      <c r="U106" s="117"/>
      <c r="V106" s="117">
        <v>213</v>
      </c>
      <c r="W106" s="117"/>
      <c r="X106" s="111">
        <f>L101</f>
        <v>4311035.7434254978</v>
      </c>
      <c r="Y106" s="117"/>
      <c r="Z106" s="117"/>
      <c r="AA106" s="117"/>
      <c r="AB106" s="111">
        <f>L101</f>
        <v>4311035.7434254978</v>
      </c>
      <c r="AC106" s="117"/>
      <c r="AD106" s="117"/>
      <c r="AE106" s="117"/>
      <c r="AF106" s="117"/>
      <c r="AG106" s="117"/>
      <c r="AH106" s="117"/>
      <c r="AI106" s="117"/>
    </row>
    <row r="107" spans="5:69" hidden="1" x14ac:dyDescent="0.3">
      <c r="G107" s="117"/>
      <c r="H107" s="117"/>
      <c r="I107" s="117"/>
      <c r="J107" s="117"/>
      <c r="K107" s="117">
        <v>226</v>
      </c>
      <c r="L107" s="111">
        <f>Санкционирование!AV58</f>
        <v>213871.7200000002</v>
      </c>
      <c r="M107" s="117"/>
      <c r="N107" s="111">
        <f t="shared" si="73"/>
        <v>213871.7200000002</v>
      </c>
      <c r="O107" s="117"/>
      <c r="P107" s="117"/>
      <c r="Q107" s="880"/>
      <c r="R107" s="111"/>
      <c r="S107" s="117"/>
      <c r="T107" s="117"/>
      <c r="U107" s="117"/>
      <c r="V107" s="117">
        <v>212</v>
      </c>
      <c r="W107" s="117"/>
      <c r="X107" s="111">
        <f>L102</f>
        <v>79091.530000000028</v>
      </c>
      <c r="Y107" s="117"/>
      <c r="Z107" s="117"/>
      <c r="AA107" s="117"/>
      <c r="AB107" s="111">
        <f>L102</f>
        <v>79091.530000000028</v>
      </c>
      <c r="AC107" s="117"/>
      <c r="AD107" s="117"/>
      <c r="AE107" s="117"/>
      <c r="AF107" s="117"/>
      <c r="AG107" s="117"/>
      <c r="AH107" s="117"/>
      <c r="AI107" s="117"/>
    </row>
    <row r="108" spans="5:69" hidden="1" x14ac:dyDescent="0.3">
      <c r="G108" s="117"/>
      <c r="H108" s="117"/>
      <c r="I108" s="117"/>
      <c r="J108" s="117"/>
      <c r="K108" s="117">
        <v>290</v>
      </c>
      <c r="L108" s="111">
        <f>Санкционирование!AV60</f>
        <v>1034</v>
      </c>
      <c r="M108" s="117"/>
      <c r="N108" s="111">
        <f t="shared" si="73"/>
        <v>1034</v>
      </c>
      <c r="O108" s="117"/>
      <c r="P108" s="111">
        <v>3814919.6568</v>
      </c>
      <c r="Q108" s="880"/>
      <c r="R108" s="111"/>
      <c r="S108" s="117"/>
      <c r="T108" s="117"/>
      <c r="U108" s="117"/>
      <c r="V108" s="117"/>
      <c r="W108" s="117"/>
      <c r="X108" s="117"/>
      <c r="Y108" s="117"/>
      <c r="Z108" s="117"/>
      <c r="AA108" s="117"/>
      <c r="AB108" s="117"/>
      <c r="AC108" s="117"/>
      <c r="AD108" s="117"/>
      <c r="AE108" s="117"/>
      <c r="AF108" s="117"/>
      <c r="AG108" s="117"/>
      <c r="AH108" s="117"/>
      <c r="AI108" s="117"/>
    </row>
    <row r="109" spans="5:69" hidden="1" x14ac:dyDescent="0.3">
      <c r="G109" s="117"/>
      <c r="H109" s="117"/>
      <c r="I109" s="117"/>
      <c r="J109" s="117"/>
      <c r="K109" s="117">
        <v>310</v>
      </c>
      <c r="L109" s="111">
        <f>Санкционирование!AV62</f>
        <v>73247.479999999981</v>
      </c>
      <c r="M109" s="117"/>
      <c r="N109" s="111">
        <f t="shared" si="73"/>
        <v>73247.479999999981</v>
      </c>
      <c r="O109" s="117"/>
      <c r="P109" s="111">
        <f>P108+L111+L112+L113</f>
        <v>5201006.3068000004</v>
      </c>
      <c r="Q109" s="880"/>
      <c r="R109" s="111"/>
      <c r="S109" s="117"/>
      <c r="T109" s="117"/>
      <c r="U109" s="117"/>
      <c r="V109" s="117"/>
      <c r="W109" s="117"/>
      <c r="X109" s="111">
        <f>X100+X101+X102+X106+X105+X107</f>
        <v>187885462.61477378</v>
      </c>
      <c r="Y109" s="117"/>
      <c r="Z109" s="117"/>
      <c r="AA109" s="117"/>
      <c r="AB109" s="111">
        <f>AB100+AB101+AB105+AB106+AB107</f>
        <v>187885462.60999998</v>
      </c>
      <c r="AC109" s="117"/>
      <c r="AD109" s="117"/>
      <c r="AE109" s="137">
        <f>X109-AB109</f>
        <v>4.7737956047058105E-3</v>
      </c>
      <c r="AF109" s="117"/>
      <c r="AG109" s="117"/>
      <c r="AH109" s="117"/>
      <c r="AI109" s="117"/>
    </row>
    <row r="110" spans="5:69" hidden="1" x14ac:dyDescent="0.3">
      <c r="G110" s="117"/>
      <c r="H110" s="117"/>
      <c r="I110" s="117"/>
      <c r="J110" s="117"/>
      <c r="K110" s="117">
        <v>340</v>
      </c>
      <c r="L110" s="111">
        <f>Санкционирование!AV65</f>
        <v>1096574.299999997</v>
      </c>
      <c r="M110" s="117"/>
      <c r="N110" s="111">
        <f t="shared" si="73"/>
        <v>1096574.299999997</v>
      </c>
      <c r="O110" s="117"/>
      <c r="P110" s="117"/>
      <c r="Q110" s="880"/>
      <c r="R110" s="111"/>
      <c r="S110" s="117"/>
      <c r="T110" s="117"/>
      <c r="U110" s="117"/>
      <c r="V110" s="117"/>
      <c r="W110" s="117"/>
      <c r="X110" s="117"/>
      <c r="Y110" s="117"/>
      <c r="Z110" s="117"/>
      <c r="AA110" s="117"/>
      <c r="AB110" s="117"/>
      <c r="AC110" s="117"/>
      <c r="AD110" s="117"/>
      <c r="AE110" s="117"/>
      <c r="AF110" s="117"/>
      <c r="AG110" s="117"/>
      <c r="AH110" s="117"/>
      <c r="AI110" s="117"/>
    </row>
    <row r="111" spans="5:69" hidden="1" x14ac:dyDescent="0.3">
      <c r="G111" s="117"/>
      <c r="H111" s="117"/>
      <c r="I111" s="117"/>
      <c r="J111" s="117"/>
      <c r="K111" s="117">
        <v>851</v>
      </c>
      <c r="L111" s="111">
        <f>Санкционирование!AV37</f>
        <v>1075176.6200000001</v>
      </c>
      <c r="M111" s="117"/>
      <c r="N111" s="111">
        <f t="shared" si="73"/>
        <v>1075176.6200000001</v>
      </c>
      <c r="O111" s="117"/>
      <c r="P111" s="117"/>
      <c r="Q111" s="880"/>
      <c r="R111" s="111">
        <f>R75-S75</f>
        <v>593808468.51999998</v>
      </c>
      <c r="S111" s="117"/>
      <c r="T111" s="117"/>
      <c r="U111" s="117"/>
      <c r="V111" s="117"/>
      <c r="W111" s="117"/>
      <c r="X111" s="117"/>
      <c r="Y111" s="117"/>
      <c r="Z111" s="117"/>
      <c r="AA111" s="117"/>
      <c r="AB111" s="117"/>
      <c r="AC111" s="117"/>
      <c r="AD111" s="117"/>
      <c r="AE111" s="117"/>
      <c r="AF111" s="117"/>
      <c r="AG111" s="117"/>
      <c r="AH111" s="117"/>
      <c r="AI111" s="117"/>
    </row>
    <row r="112" spans="5:69" hidden="1" x14ac:dyDescent="0.3">
      <c r="G112" s="117"/>
      <c r="H112" s="117"/>
      <c r="I112" s="117"/>
      <c r="J112" s="117"/>
      <c r="K112" s="117">
        <v>852</v>
      </c>
      <c r="L112" s="111">
        <f>Санкционирование!AV38</f>
        <v>209267.46000000002</v>
      </c>
      <c r="M112" s="117"/>
      <c r="N112" s="111">
        <f t="shared" si="73"/>
        <v>209267.46000000002</v>
      </c>
      <c r="O112" s="117"/>
      <c r="P112" s="117"/>
      <c r="Q112" s="880"/>
      <c r="R112" s="111"/>
      <c r="S112" s="117"/>
      <c r="T112" s="117"/>
      <c r="U112" s="117"/>
      <c r="V112" s="117"/>
      <c r="W112" s="117"/>
      <c r="X112" s="117"/>
      <c r="Y112" s="117"/>
      <c r="Z112" s="117"/>
      <c r="AA112" s="117"/>
      <c r="AB112" s="117"/>
      <c r="AC112" s="117"/>
      <c r="AD112" s="117"/>
      <c r="AE112" s="117"/>
      <c r="AF112" s="117"/>
      <c r="AG112" s="117"/>
      <c r="AH112" s="117"/>
      <c r="AI112" s="117"/>
    </row>
    <row r="113" spans="7:35" hidden="1" x14ac:dyDescent="0.3">
      <c r="G113" s="117"/>
      <c r="H113" s="117"/>
      <c r="I113" s="117"/>
      <c r="J113" s="117"/>
      <c r="K113" s="117">
        <v>853</v>
      </c>
      <c r="L113" s="111">
        <f>Санкционирование!AV39</f>
        <v>101642.56999999999</v>
      </c>
      <c r="M113" s="117"/>
      <c r="N113" s="111">
        <f t="shared" si="73"/>
        <v>101642.56999999999</v>
      </c>
      <c r="O113" s="117"/>
      <c r="P113" s="117"/>
      <c r="Q113" s="880"/>
      <c r="R113" s="111"/>
      <c r="S113" s="117"/>
      <c r="T113" s="117"/>
      <c r="U113" s="111">
        <f>1216891000.01-V11</f>
        <v>-1005000000.0000002</v>
      </c>
      <c r="V113" s="117"/>
      <c r="W113" s="117"/>
      <c r="X113" s="117"/>
      <c r="Y113" s="117"/>
      <c r="Z113" s="117"/>
      <c r="AA113" s="117"/>
      <c r="AB113" s="117"/>
      <c r="AC113" s="117"/>
      <c r="AD113" s="117"/>
      <c r="AE113" s="117"/>
      <c r="AF113" s="117"/>
      <c r="AG113" s="117"/>
      <c r="AH113" s="117"/>
      <c r="AI113" s="117"/>
    </row>
    <row r="114" spans="7:35" hidden="1" x14ac:dyDescent="0.3">
      <c r="G114" s="117"/>
      <c r="H114" s="117"/>
      <c r="I114" s="117"/>
      <c r="J114" s="117"/>
      <c r="K114" s="880" t="s">
        <v>293</v>
      </c>
      <c r="L114" s="111">
        <f>SUM(L100:L113)</f>
        <v>21072590.98</v>
      </c>
      <c r="M114" s="117"/>
      <c r="N114" s="111">
        <f>SUM(N100:N113)</f>
        <v>4548450.4734254964</v>
      </c>
      <c r="O114" s="117"/>
      <c r="P114" s="117"/>
      <c r="Q114" s="880"/>
      <c r="R114" s="111"/>
      <c r="S114" s="117"/>
      <c r="T114" s="117"/>
      <c r="U114" s="117"/>
      <c r="V114" s="117"/>
      <c r="W114" s="117"/>
      <c r="X114" s="117"/>
      <c r="Y114" s="117"/>
      <c r="Z114" s="117"/>
      <c r="AA114" s="117"/>
      <c r="AB114" s="117"/>
      <c r="AC114" s="117"/>
      <c r="AD114" s="117"/>
      <c r="AE114" s="117"/>
      <c r="AF114" s="117"/>
      <c r="AG114" s="117"/>
      <c r="AH114" s="117"/>
      <c r="AI114" s="117"/>
    </row>
    <row r="115" spans="7:35" hidden="1" x14ac:dyDescent="0.3">
      <c r="G115" s="117"/>
      <c r="H115" s="117"/>
      <c r="I115" s="117"/>
      <c r="J115" s="117"/>
      <c r="K115" s="117"/>
      <c r="L115" s="111" t="b">
        <f>L114=Санкционирование!AV22</f>
        <v>1</v>
      </c>
      <c r="M115" s="117"/>
      <c r="N115" s="117"/>
      <c r="O115" s="117"/>
      <c r="P115" s="117"/>
      <c r="Q115" s="880"/>
      <c r="R115" s="117"/>
      <c r="S115" s="117"/>
      <c r="T115" s="117"/>
      <c r="U115" s="117"/>
      <c r="V115" s="117"/>
      <c r="W115" s="117"/>
      <c r="X115" s="117"/>
      <c r="Y115" s="117"/>
      <c r="Z115" s="117"/>
      <c r="AA115" s="117"/>
      <c r="AB115" s="117"/>
      <c r="AC115" s="117"/>
      <c r="AD115" s="117"/>
      <c r="AE115" s="117"/>
      <c r="AF115" s="117"/>
      <c r="AG115" s="117"/>
      <c r="AH115" s="117"/>
      <c r="AI115" s="117"/>
    </row>
    <row r="116" spans="7:35" hidden="1" x14ac:dyDescent="0.3">
      <c r="G116" s="117"/>
      <c r="H116" s="117"/>
      <c r="I116" s="117"/>
      <c r="J116" s="117"/>
      <c r="K116" s="117"/>
      <c r="L116" s="111">
        <f>'[2]декабрь 2018'!$M$39</f>
        <v>21072590.979999892</v>
      </c>
      <c r="M116" s="117"/>
      <c r="N116" s="117"/>
      <c r="O116" s="117"/>
      <c r="P116" s="117"/>
      <c r="Q116" s="880"/>
      <c r="R116" s="117"/>
      <c r="S116" s="117"/>
      <c r="T116" s="117"/>
      <c r="U116" s="117"/>
      <c r="V116" s="117"/>
      <c r="W116" s="117"/>
      <c r="X116" s="117"/>
      <c r="Y116" s="117"/>
      <c r="Z116" s="117"/>
      <c r="AA116" s="117"/>
      <c r="AB116" s="117"/>
      <c r="AC116" s="117"/>
      <c r="AD116" s="117"/>
      <c r="AE116" s="117"/>
      <c r="AF116" s="117"/>
      <c r="AG116" s="117"/>
      <c r="AH116" s="117"/>
      <c r="AI116" s="117"/>
    </row>
    <row r="117" spans="7:35" hidden="1" x14ac:dyDescent="0.3">
      <c r="G117" s="117"/>
      <c r="H117" s="117"/>
      <c r="I117" s="117"/>
      <c r="J117" s="117"/>
      <c r="K117" s="117"/>
      <c r="L117" s="111">
        <f>H75-L114</f>
        <v>0</v>
      </c>
      <c r="M117" s="117"/>
      <c r="N117" s="117"/>
      <c r="O117" s="117"/>
      <c r="P117" s="117"/>
      <c r="Q117" s="880"/>
      <c r="R117" s="117"/>
      <c r="S117" s="117"/>
      <c r="T117" s="117"/>
      <c r="U117" s="117"/>
      <c r="V117" s="117"/>
      <c r="W117" s="117"/>
      <c r="X117" s="117"/>
      <c r="Y117" s="117"/>
      <c r="Z117" s="117"/>
      <c r="AA117" s="117"/>
      <c r="AB117" s="117"/>
      <c r="AC117" s="117"/>
      <c r="AD117" s="117"/>
      <c r="AE117" s="117"/>
      <c r="AF117" s="117"/>
      <c r="AG117" s="117"/>
      <c r="AH117" s="117"/>
      <c r="AI117" s="117"/>
    </row>
    <row r="118" spans="7:35" hidden="1" x14ac:dyDescent="0.3">
      <c r="G118" s="117"/>
      <c r="H118" s="117"/>
      <c r="I118" s="117"/>
      <c r="J118" s="117"/>
      <c r="K118" s="117"/>
      <c r="L118" s="117"/>
      <c r="M118" s="117"/>
      <c r="N118" s="117"/>
      <c r="O118" s="117"/>
      <c r="P118" s="117"/>
      <c r="Q118" s="117"/>
      <c r="R118" s="117"/>
      <c r="S118" s="117"/>
      <c r="T118" s="117"/>
      <c r="U118" s="117"/>
      <c r="V118" s="117"/>
      <c r="W118" s="117"/>
      <c r="X118" s="117"/>
      <c r="Y118" s="117"/>
      <c r="Z118" s="117"/>
      <c r="AA118" s="117"/>
      <c r="AB118" s="117"/>
      <c r="AC118" s="117"/>
      <c r="AD118" s="117"/>
      <c r="AE118" s="117"/>
      <c r="AF118" s="117"/>
      <c r="AG118" s="117"/>
      <c r="AH118" s="117"/>
      <c r="AI118" s="117"/>
    </row>
    <row r="119" spans="7:35" hidden="1" x14ac:dyDescent="0.3">
      <c r="G119" s="117"/>
      <c r="H119" s="117"/>
      <c r="I119" s="117"/>
      <c r="J119" s="117"/>
      <c r="K119" s="117"/>
      <c r="L119" s="117"/>
      <c r="M119" s="117"/>
      <c r="N119" s="117"/>
      <c r="O119" s="117"/>
      <c r="P119" s="117"/>
      <c r="Q119" s="117"/>
      <c r="R119" s="117"/>
      <c r="S119" s="117"/>
      <c r="T119" s="117"/>
      <c r="U119" s="117"/>
      <c r="V119" s="117"/>
      <c r="W119" s="117"/>
      <c r="X119" s="117"/>
      <c r="Y119" s="117"/>
      <c r="Z119" s="117"/>
      <c r="AA119" s="117"/>
      <c r="AB119" s="117"/>
      <c r="AC119" s="117"/>
      <c r="AD119" s="117"/>
      <c r="AE119" s="117"/>
      <c r="AF119" s="117"/>
      <c r="AG119" s="117"/>
      <c r="AH119" s="117"/>
      <c r="AI119" s="117"/>
    </row>
    <row r="120" spans="7:35" hidden="1" x14ac:dyDescent="0.3">
      <c r="G120" s="117"/>
      <c r="H120" s="117"/>
      <c r="I120" s="117"/>
      <c r="J120" s="117"/>
      <c r="K120" s="117"/>
      <c r="L120" s="117"/>
      <c r="M120" s="117"/>
      <c r="N120" s="117"/>
      <c r="O120" s="117"/>
      <c r="P120" s="117"/>
      <c r="Q120" s="117"/>
      <c r="R120" s="117"/>
      <c r="S120" s="117"/>
      <c r="T120" s="117"/>
      <c r="U120" s="117"/>
      <c r="V120" s="117"/>
      <c r="W120" s="117"/>
      <c r="X120" s="117"/>
      <c r="Y120" s="117"/>
      <c r="Z120" s="117"/>
      <c r="AA120" s="117"/>
      <c r="AB120" s="117"/>
      <c r="AC120" s="117"/>
      <c r="AD120" s="117"/>
      <c r="AE120" s="117"/>
      <c r="AF120" s="117"/>
      <c r="AG120" s="117"/>
      <c r="AH120" s="117"/>
      <c r="AI120" s="117"/>
    </row>
    <row r="121" spans="7:35" hidden="1" x14ac:dyDescent="0.3">
      <c r="G121" s="117"/>
      <c r="H121" s="117"/>
      <c r="I121" s="117"/>
      <c r="J121" s="117"/>
      <c r="K121" s="117"/>
      <c r="L121" s="117"/>
      <c r="M121" s="117"/>
      <c r="N121" s="117"/>
      <c r="O121" s="117"/>
      <c r="P121" s="117"/>
      <c r="Q121" s="117"/>
      <c r="R121" s="117"/>
      <c r="S121" s="117"/>
      <c r="T121" s="117"/>
      <c r="U121" s="117"/>
      <c r="V121" s="117"/>
      <c r="W121" s="117"/>
      <c r="X121" s="117"/>
      <c r="Y121" s="117"/>
      <c r="Z121" s="117"/>
      <c r="AA121" s="117"/>
      <c r="AB121" s="117"/>
      <c r="AC121" s="117"/>
      <c r="AD121" s="117"/>
      <c r="AE121" s="117"/>
      <c r="AF121" s="117"/>
      <c r="AG121" s="117"/>
      <c r="AH121" s="117"/>
      <c r="AI121" s="117"/>
    </row>
    <row r="122" spans="7:35" hidden="1" x14ac:dyDescent="0.3">
      <c r="G122" s="117"/>
      <c r="H122" s="117"/>
      <c r="I122" s="117"/>
      <c r="J122" s="117"/>
      <c r="K122" s="117"/>
      <c r="L122" s="117"/>
      <c r="M122" s="117"/>
      <c r="N122" s="117"/>
      <c r="O122" s="117"/>
      <c r="P122" s="117"/>
      <c r="Q122" s="117"/>
      <c r="R122" s="117"/>
      <c r="S122" s="117"/>
      <c r="T122" s="117"/>
      <c r="U122" s="117"/>
      <c r="V122" s="117"/>
      <c r="W122" s="117"/>
      <c r="X122" s="117"/>
      <c r="Y122" s="117"/>
      <c r="Z122" s="117"/>
      <c r="AA122" s="117"/>
      <c r="AB122" s="117"/>
      <c r="AC122" s="117"/>
      <c r="AD122" s="117"/>
      <c r="AE122" s="117"/>
      <c r="AF122" s="117"/>
      <c r="AG122" s="117"/>
      <c r="AH122" s="117"/>
      <c r="AI122" s="117"/>
    </row>
  </sheetData>
  <mergeCells count="53">
    <mergeCell ref="A6:A9"/>
    <mergeCell ref="B6:B9"/>
    <mergeCell ref="C6:C9"/>
    <mergeCell ref="D6:AX6"/>
    <mergeCell ref="D7:D9"/>
    <mergeCell ref="E7:E9"/>
    <mergeCell ref="F7:F9"/>
    <mergeCell ref="G7:AX7"/>
    <mergeCell ref="G8:G9"/>
    <mergeCell ref="H8:H9"/>
    <mergeCell ref="B26:B28"/>
    <mergeCell ref="B29:B32"/>
    <mergeCell ref="AG8:AG9"/>
    <mergeCell ref="AH8:AH9"/>
    <mergeCell ref="AI8:AI9"/>
    <mergeCell ref="AA8:AA9"/>
    <mergeCell ref="AB8:AB9"/>
    <mergeCell ref="AC8:AC9"/>
    <mergeCell ref="AD8:AD9"/>
    <mergeCell ref="AE8:AE9"/>
    <mergeCell ref="AF8:AF9"/>
    <mergeCell ref="U8:U9"/>
    <mergeCell ref="V8:V9"/>
    <mergeCell ref="W8:W9"/>
    <mergeCell ref="X8:X9"/>
    <mergeCell ref="Y8:Y9"/>
    <mergeCell ref="C52:C54"/>
    <mergeCell ref="BG8:BH8"/>
    <mergeCell ref="BI8:BJ8"/>
    <mergeCell ref="BQ8:BR8"/>
    <mergeCell ref="BS8:BT8"/>
    <mergeCell ref="AJ8:AJ9"/>
    <mergeCell ref="AK8:AK9"/>
    <mergeCell ref="AL8:AX8"/>
    <mergeCell ref="Z8:Z9"/>
    <mergeCell ref="I8:I9"/>
    <mergeCell ref="J8:P8"/>
    <mergeCell ref="Q8:Q9"/>
    <mergeCell ref="R8:R9"/>
    <mergeCell ref="S8:S9"/>
    <mergeCell ref="T8:T9"/>
    <mergeCell ref="A31:A32"/>
    <mergeCell ref="B36:B40"/>
    <mergeCell ref="B42:B44"/>
    <mergeCell ref="B45:B46"/>
    <mergeCell ref="A52:A55"/>
    <mergeCell ref="C56:C58"/>
    <mergeCell ref="A60:A61"/>
    <mergeCell ref="A62:A63"/>
    <mergeCell ref="B62:B63"/>
    <mergeCell ref="A65:A66"/>
    <mergeCell ref="B65:B66"/>
    <mergeCell ref="A56:A59"/>
  </mergeCells>
  <pageMargins left="0" right="0" top="0.31496062992125984" bottom="0.15748031496062992" header="0.19685039370078741" footer="0.15748031496062992"/>
  <pageSetup paperSize="8" scale="70" fitToWidth="0" orientation="portrait" r:id="rId1"/>
  <rowBreaks count="1" manualBreakCount="1">
    <brk id="35" max="38" man="1"/>
  </rowBreaks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  <pageSetUpPr fitToPage="1"/>
  </sheetPr>
  <dimension ref="A1:AR105"/>
  <sheetViews>
    <sheetView topLeftCell="B1" zoomScale="85" zoomScaleNormal="85" zoomScaleSheetLayoutView="115" workbookViewId="0">
      <pane xSplit="1" ySplit="8" topLeftCell="C74" activePane="bottomRight" state="frozen"/>
      <selection activeCell="B1" sqref="B1"/>
      <selection pane="topRight" activeCell="C1" sqref="C1"/>
      <selection pane="bottomLeft" activeCell="B9" sqref="B9"/>
      <selection pane="bottomRight" activeCell="D81" sqref="D81"/>
    </sheetView>
  </sheetViews>
  <sheetFormatPr defaultColWidth="9.140625" defaultRowHeight="18.75" x14ac:dyDescent="0.3"/>
  <cols>
    <col min="1" max="1" width="5.5703125" style="1077" hidden="1" customWidth="1"/>
    <col min="2" max="2" width="43.5703125" style="1143" customWidth="1"/>
    <col min="3" max="3" width="17.5703125" style="1079" customWidth="1"/>
    <col min="4" max="4" width="19.7109375" style="1079" customWidth="1"/>
    <col min="5" max="5" width="21.140625" style="1079" customWidth="1"/>
    <col min="6" max="6" width="15.5703125" style="1150" customWidth="1"/>
    <col min="7" max="7" width="21" style="1150" customWidth="1"/>
    <col min="8" max="8" width="18.85546875" style="1151" customWidth="1"/>
    <col min="9" max="9" width="18.140625" style="1151" customWidth="1"/>
    <col min="10" max="10" width="6.85546875" style="1076" customWidth="1"/>
    <col min="11" max="11" width="55.5703125" style="1076" customWidth="1"/>
    <col min="12" max="12" width="17.7109375" style="1076" customWidth="1"/>
    <col min="13" max="13" width="18.5703125" style="1076" customWidth="1"/>
    <col min="14" max="14" width="13.7109375" style="1076" customWidth="1"/>
    <col min="15" max="15" width="9.140625" style="1076"/>
    <col min="16" max="18" width="18.85546875" style="1151" customWidth="1"/>
    <col min="19" max="19" width="6.85546875" style="1076" customWidth="1"/>
    <col min="20" max="20" width="55.5703125" style="1076" customWidth="1"/>
    <col min="21" max="21" width="17.7109375" style="1076" customWidth="1"/>
    <col min="22" max="22" width="18.5703125" style="1076" customWidth="1"/>
    <col min="23" max="23" width="13.7109375" style="1076" customWidth="1"/>
    <col min="24" max="24" width="9.140625" style="1150"/>
    <col min="25" max="25" width="19.140625" style="1150" customWidth="1"/>
    <col min="26" max="26" width="17.42578125" style="1150" customWidth="1"/>
    <col min="27" max="27" width="15.42578125" style="1150" customWidth="1"/>
    <col min="28" max="28" width="12.5703125" style="1076" customWidth="1"/>
    <col min="29" max="29" width="40.42578125" style="1076" customWidth="1"/>
    <col min="30" max="32" width="23.28515625" style="1076" customWidth="1"/>
    <col min="33" max="33" width="18.85546875" style="1150" customWidth="1"/>
    <col min="34" max="35" width="23.28515625" style="1150" customWidth="1"/>
    <col min="36" max="36" width="18.28515625" style="1150" customWidth="1"/>
    <col min="37" max="37" width="17.140625" style="1149" customWidth="1"/>
    <col min="38" max="38" width="7" style="1150" customWidth="1"/>
    <col min="39" max="41" width="23.28515625" style="1150" customWidth="1"/>
    <col min="42" max="43" width="26" style="1150" customWidth="1"/>
    <col min="44" max="44" width="24.140625" style="1150" customWidth="1"/>
    <col min="45" max="16384" width="9.140625" style="1076"/>
  </cols>
  <sheetData>
    <row r="1" spans="1:44" ht="33" customHeight="1" x14ac:dyDescent="0.3">
      <c r="A1" s="1486" t="s">
        <v>975</v>
      </c>
      <c r="B1" s="1486"/>
      <c r="C1" s="1486"/>
      <c r="D1" s="1486"/>
      <c r="E1" s="1486"/>
      <c r="J1" s="1486" t="s">
        <v>975</v>
      </c>
      <c r="K1" s="1486"/>
      <c r="L1" s="1486"/>
      <c r="M1" s="1486"/>
      <c r="N1" s="1486"/>
      <c r="S1" s="1486" t="s">
        <v>975</v>
      </c>
      <c r="T1" s="1486"/>
      <c r="U1" s="1486"/>
      <c r="V1" s="1486"/>
      <c r="W1" s="1486"/>
      <c r="AB1" s="1486" t="s">
        <v>975</v>
      </c>
      <c r="AC1" s="1486"/>
      <c r="AD1" s="1486"/>
      <c r="AE1" s="1486"/>
      <c r="AF1" s="1486"/>
    </row>
    <row r="2" spans="1:44" ht="20.25" x14ac:dyDescent="0.3">
      <c r="B2" s="1078"/>
      <c r="J2" s="1487" t="s">
        <v>365</v>
      </c>
      <c r="K2" s="1487"/>
      <c r="L2" s="1487"/>
      <c r="M2" s="1487"/>
      <c r="N2" s="1487"/>
      <c r="S2" s="1487" t="s">
        <v>984</v>
      </c>
      <c r="T2" s="1487"/>
      <c r="U2" s="1487"/>
      <c r="V2" s="1487"/>
      <c r="W2" s="1487"/>
      <c r="AB2" s="1487" t="s">
        <v>197</v>
      </c>
      <c r="AC2" s="1487"/>
      <c r="AD2" s="1487"/>
      <c r="AE2" s="1487"/>
      <c r="AF2" s="1487"/>
    </row>
    <row r="3" spans="1:44" x14ac:dyDescent="0.3">
      <c r="A3" s="1488" t="s">
        <v>255</v>
      </c>
      <c r="B3" s="1491" t="s">
        <v>256</v>
      </c>
      <c r="C3" s="1494" t="s">
        <v>259</v>
      </c>
      <c r="D3" s="1494"/>
      <c r="E3" s="1494"/>
      <c r="J3" s="1488" t="s">
        <v>255</v>
      </c>
      <c r="K3" s="1491" t="s">
        <v>256</v>
      </c>
      <c r="L3" s="1494" t="s">
        <v>259</v>
      </c>
      <c r="M3" s="1494"/>
      <c r="N3" s="1494"/>
      <c r="S3" s="1488" t="s">
        <v>255</v>
      </c>
      <c r="T3" s="1491" t="s">
        <v>256</v>
      </c>
      <c r="U3" s="1494" t="s">
        <v>259</v>
      </c>
      <c r="V3" s="1494"/>
      <c r="W3" s="1494"/>
      <c r="AB3" s="1488" t="s">
        <v>255</v>
      </c>
      <c r="AC3" s="1491" t="s">
        <v>256</v>
      </c>
      <c r="AD3" s="1494" t="s">
        <v>259</v>
      </c>
      <c r="AE3" s="1494"/>
      <c r="AF3" s="1494"/>
    </row>
    <row r="4" spans="1:44" ht="15" customHeight="1" x14ac:dyDescent="0.3">
      <c r="A4" s="1489"/>
      <c r="B4" s="1492"/>
      <c r="C4" s="1495" t="s">
        <v>261</v>
      </c>
      <c r="D4" s="1495"/>
      <c r="E4" s="1495"/>
      <c r="J4" s="1489"/>
      <c r="K4" s="1492"/>
      <c r="L4" s="1495" t="s">
        <v>261</v>
      </c>
      <c r="M4" s="1495"/>
      <c r="N4" s="1495"/>
      <c r="S4" s="1489"/>
      <c r="T4" s="1492"/>
      <c r="U4" s="1495" t="s">
        <v>261</v>
      </c>
      <c r="V4" s="1495"/>
      <c r="W4" s="1495"/>
      <c r="AB4" s="1489"/>
      <c r="AC4" s="1492"/>
      <c r="AD4" s="1495" t="s">
        <v>261</v>
      </c>
      <c r="AE4" s="1495"/>
      <c r="AF4" s="1495"/>
    </row>
    <row r="5" spans="1:44" s="1081" customFormat="1" x14ac:dyDescent="0.3">
      <c r="A5" s="1489"/>
      <c r="B5" s="1492"/>
      <c r="C5" s="1080" t="s">
        <v>262</v>
      </c>
      <c r="D5" s="1496">
        <v>55150</v>
      </c>
      <c r="E5" s="1496"/>
      <c r="F5" s="1151"/>
      <c r="G5" s="1151"/>
      <c r="H5" s="1151"/>
      <c r="I5" s="1151"/>
      <c r="J5" s="1489"/>
      <c r="K5" s="1492"/>
      <c r="L5" s="1080" t="s">
        <v>262</v>
      </c>
      <c r="M5" s="1496">
        <v>41150</v>
      </c>
      <c r="N5" s="1496"/>
      <c r="P5" s="1151"/>
      <c r="Q5" s="1151"/>
      <c r="R5" s="1151"/>
      <c r="S5" s="1489"/>
      <c r="T5" s="1492"/>
      <c r="U5" s="1080" t="s">
        <v>262</v>
      </c>
      <c r="V5" s="1496">
        <v>2000</v>
      </c>
      <c r="W5" s="1496"/>
      <c r="X5" s="1151"/>
      <c r="Y5" s="1151"/>
      <c r="Z5" s="1151"/>
      <c r="AA5" s="1151"/>
      <c r="AB5" s="1489"/>
      <c r="AC5" s="1492"/>
      <c r="AD5" s="1080" t="s">
        <v>262</v>
      </c>
      <c r="AE5" s="1496">
        <v>12000</v>
      </c>
      <c r="AF5" s="1496"/>
      <c r="AG5" s="1151"/>
      <c r="AH5" s="1151"/>
      <c r="AI5" s="1151"/>
      <c r="AJ5" s="1151"/>
      <c r="AK5" s="1149"/>
      <c r="AL5" s="1151"/>
      <c r="AM5" s="1151"/>
      <c r="AN5" s="1151"/>
      <c r="AO5" s="1151"/>
      <c r="AP5" s="1151"/>
      <c r="AQ5" s="1151"/>
      <c r="AR5" s="1151"/>
    </row>
    <row r="6" spans="1:44" s="1161" customFormat="1" ht="24" customHeight="1" x14ac:dyDescent="0.3">
      <c r="A6" s="1498"/>
      <c r="B6" s="1493"/>
      <c r="C6" s="1497" t="s">
        <v>263</v>
      </c>
      <c r="D6" s="1497"/>
      <c r="E6" s="1162" t="s">
        <v>264</v>
      </c>
      <c r="F6" s="1186"/>
      <c r="G6" s="1186"/>
      <c r="H6" s="1479" t="s">
        <v>988</v>
      </c>
      <c r="I6" s="1479"/>
      <c r="J6" s="1490"/>
      <c r="K6" s="1493"/>
      <c r="L6" s="1497" t="s">
        <v>263</v>
      </c>
      <c r="M6" s="1497"/>
      <c r="N6" s="1159" t="s">
        <v>264</v>
      </c>
      <c r="P6" s="1186"/>
      <c r="Q6" s="1479" t="s">
        <v>365</v>
      </c>
      <c r="R6" s="1479"/>
      <c r="S6" s="1490"/>
      <c r="T6" s="1493"/>
      <c r="U6" s="1497" t="s">
        <v>263</v>
      </c>
      <c r="V6" s="1497"/>
      <c r="W6" s="1159" t="s">
        <v>264</v>
      </c>
      <c r="X6" s="1160"/>
      <c r="Y6" s="1186"/>
      <c r="Z6" s="1479" t="s">
        <v>984</v>
      </c>
      <c r="AA6" s="1479"/>
      <c r="AB6" s="1490"/>
      <c r="AC6" s="1493"/>
      <c r="AD6" s="1497" t="s">
        <v>263</v>
      </c>
      <c r="AE6" s="1497"/>
      <c r="AF6" s="1159" t="s">
        <v>264</v>
      </c>
      <c r="AG6" s="1160"/>
      <c r="AH6" s="1186"/>
      <c r="AI6" s="1479" t="s">
        <v>197</v>
      </c>
      <c r="AJ6" s="1479"/>
      <c r="AK6" s="1221"/>
      <c r="AL6" s="1160"/>
      <c r="AM6" s="1500" t="s">
        <v>991</v>
      </c>
      <c r="AN6" s="1501"/>
      <c r="AO6" s="1501"/>
      <c r="AP6" s="1501"/>
      <c r="AQ6" s="1501"/>
      <c r="AR6" s="1502"/>
    </row>
    <row r="7" spans="1:44" ht="46.5" customHeight="1" x14ac:dyDescent="0.3">
      <c r="A7" s="1082">
        <v>1</v>
      </c>
      <c r="B7" s="1482" t="s">
        <v>265</v>
      </c>
      <c r="C7" s="1482"/>
      <c r="D7" s="1482"/>
      <c r="E7" s="1473"/>
      <c r="F7" s="1188"/>
      <c r="G7" s="1188" t="s">
        <v>989</v>
      </c>
      <c r="H7" s="1189" t="s">
        <v>985</v>
      </c>
      <c r="I7" s="1189" t="s">
        <v>986</v>
      </c>
      <c r="J7" s="1176">
        <v>1</v>
      </c>
      <c r="K7" s="1482" t="s">
        <v>265</v>
      </c>
      <c r="L7" s="1482"/>
      <c r="M7" s="1482"/>
      <c r="N7" s="1482"/>
      <c r="P7" s="1188" t="s">
        <v>989</v>
      </c>
      <c r="Q7" s="1189" t="s">
        <v>985</v>
      </c>
      <c r="R7" s="1189" t="s">
        <v>986</v>
      </c>
      <c r="S7" s="1176">
        <v>1</v>
      </c>
      <c r="T7" s="1482" t="s">
        <v>265</v>
      </c>
      <c r="U7" s="1482"/>
      <c r="V7" s="1482"/>
      <c r="W7" s="1482"/>
      <c r="Y7" s="1188" t="s">
        <v>989</v>
      </c>
      <c r="Z7" s="1189" t="s">
        <v>985</v>
      </c>
      <c r="AA7" s="1189" t="s">
        <v>986</v>
      </c>
      <c r="AB7" s="1176">
        <v>1</v>
      </c>
      <c r="AC7" s="1482" t="s">
        <v>265</v>
      </c>
      <c r="AD7" s="1482"/>
      <c r="AE7" s="1482"/>
      <c r="AF7" s="1482"/>
      <c r="AH7" s="1188" t="s">
        <v>989</v>
      </c>
      <c r="AI7" s="1189" t="s">
        <v>985</v>
      </c>
      <c r="AJ7" s="1189" t="s">
        <v>986</v>
      </c>
      <c r="AM7" s="1189" t="s">
        <v>356</v>
      </c>
      <c r="AN7" s="1188" t="s">
        <v>989</v>
      </c>
      <c r="AO7" s="1189" t="s">
        <v>356</v>
      </c>
      <c r="AP7" s="1189" t="s">
        <v>985</v>
      </c>
      <c r="AQ7" s="1189" t="s">
        <v>356</v>
      </c>
      <c r="AR7" s="1189" t="s">
        <v>986</v>
      </c>
    </row>
    <row r="8" spans="1:44" ht="36.75" customHeight="1" x14ac:dyDescent="0.3">
      <c r="A8" s="1083" t="s">
        <v>266</v>
      </c>
      <c r="B8" s="1483" t="s">
        <v>267</v>
      </c>
      <c r="C8" s="1483"/>
      <c r="D8" s="1483"/>
      <c r="E8" s="1477"/>
      <c r="F8" s="1188"/>
      <c r="G8" s="1188"/>
      <c r="H8" s="1189"/>
      <c r="I8" s="1189"/>
      <c r="J8" s="1177" t="s">
        <v>266</v>
      </c>
      <c r="K8" s="1483" t="s">
        <v>267</v>
      </c>
      <c r="L8" s="1483"/>
      <c r="M8" s="1483"/>
      <c r="N8" s="1483"/>
      <c r="P8" s="1189"/>
      <c r="Q8" s="1189"/>
      <c r="R8" s="1189"/>
      <c r="S8" s="1177" t="s">
        <v>266</v>
      </c>
      <c r="T8" s="1483" t="s">
        <v>267</v>
      </c>
      <c r="U8" s="1483"/>
      <c r="V8" s="1483"/>
      <c r="W8" s="1483"/>
      <c r="Y8" s="1188"/>
      <c r="Z8" s="1188"/>
      <c r="AA8" s="1188"/>
      <c r="AB8" s="1177" t="s">
        <v>266</v>
      </c>
      <c r="AC8" s="1483" t="s">
        <v>267</v>
      </c>
      <c r="AD8" s="1483"/>
      <c r="AE8" s="1483"/>
      <c r="AF8" s="1483"/>
      <c r="AH8" s="1188"/>
      <c r="AI8" s="1188"/>
      <c r="AJ8" s="1188"/>
      <c r="AM8" s="1188"/>
      <c r="AN8" s="1188"/>
      <c r="AO8" s="1188"/>
      <c r="AP8" s="1188"/>
      <c r="AQ8" s="1188"/>
      <c r="AR8" s="1188"/>
    </row>
    <row r="9" spans="1:44" ht="48" customHeight="1" x14ac:dyDescent="0.3">
      <c r="A9" s="1084" t="s">
        <v>270</v>
      </c>
      <c r="B9" s="1085" t="s">
        <v>271</v>
      </c>
      <c r="C9" s="1086">
        <v>899.35509999999999</v>
      </c>
      <c r="D9" s="1087">
        <f>C9*$D$5</f>
        <v>49599433.765000001</v>
      </c>
      <c r="E9" s="1163">
        <f>D9/1000</f>
        <v>49599.433765000002</v>
      </c>
      <c r="F9" s="1188">
        <v>211</v>
      </c>
      <c r="G9" s="1190">
        <f>D9+D70</f>
        <v>71282583.4297387</v>
      </c>
      <c r="H9" s="1190">
        <f>30201086.87+19857336.32</f>
        <v>50058423.189999998</v>
      </c>
      <c r="I9" s="1191">
        <f>G9-H9</f>
        <v>21224160.239738703</v>
      </c>
      <c r="J9" s="1178" t="s">
        <v>270</v>
      </c>
      <c r="K9" s="1085" t="s">
        <v>271</v>
      </c>
      <c r="L9" s="1086">
        <v>899.35509999999999</v>
      </c>
      <c r="M9" s="1087">
        <f t="shared" ref="M9:M15" si="0">L9*$M$5</f>
        <v>37008462.365000002</v>
      </c>
      <c r="N9" s="1087">
        <f>M9/1000</f>
        <v>37008.462364999999</v>
      </c>
      <c r="O9" s="1076">
        <v>211</v>
      </c>
      <c r="P9" s="1191">
        <f>M9+M70</f>
        <v>53187276.666069768</v>
      </c>
      <c r="Q9" s="1191">
        <f>30201086.87-Z9</f>
        <v>21663713.620000001</v>
      </c>
      <c r="R9" s="1191"/>
      <c r="S9" s="1178" t="s">
        <v>270</v>
      </c>
      <c r="T9" s="1085" t="s">
        <v>271</v>
      </c>
      <c r="U9" s="1086">
        <v>899.35509999999999</v>
      </c>
      <c r="V9" s="1087">
        <f>U9*$V$5</f>
        <v>1798710.2</v>
      </c>
      <c r="W9" s="1087">
        <f>V9/1000</f>
        <v>1798.7102</v>
      </c>
      <c r="X9" s="1150">
        <v>211</v>
      </c>
      <c r="Y9" s="1190">
        <f>V9+V70</f>
        <v>2585043.8233812763</v>
      </c>
      <c r="Z9" s="1190">
        <v>8537373.25</v>
      </c>
      <c r="AA9" s="1190"/>
      <c r="AB9" s="1178" t="s">
        <v>270</v>
      </c>
      <c r="AC9" s="1085" t="s">
        <v>271</v>
      </c>
      <c r="AD9" s="1086">
        <v>899.35509999999999</v>
      </c>
      <c r="AE9" s="1087">
        <f>AD9*$AE$5</f>
        <v>10792261.199999999</v>
      </c>
      <c r="AF9" s="1087">
        <f>AE9/1000</f>
        <v>10792.261199999999</v>
      </c>
      <c r="AG9" s="1150">
        <v>211</v>
      </c>
      <c r="AH9" s="1190">
        <f>AE9+AE70</f>
        <v>15510262.940287659</v>
      </c>
      <c r="AI9" s="1190">
        <v>19857336.32</v>
      </c>
      <c r="AJ9" s="1188"/>
      <c r="AK9" s="1149" t="b">
        <f>AM9=G10</f>
        <v>0</v>
      </c>
      <c r="AL9" s="1150">
        <v>211</v>
      </c>
      <c r="AM9" s="1190">
        <f>P10+Y10+AH10</f>
        <v>109723997.41</v>
      </c>
      <c r="AN9" s="1190">
        <f>P9+Y9+AH9</f>
        <v>71282583.4297387</v>
      </c>
      <c r="AO9" s="1190">
        <f>H10</f>
        <v>93378135.340000004</v>
      </c>
      <c r="AP9" s="1190">
        <f>Q9+Z9+AI9</f>
        <v>50058423.189999998</v>
      </c>
      <c r="AQ9" s="1190"/>
      <c r="AR9" s="1188"/>
    </row>
    <row r="10" spans="1:44" ht="29.25" customHeight="1" x14ac:dyDescent="0.3">
      <c r="A10" s="1084" t="s">
        <v>272</v>
      </c>
      <c r="B10" s="1085" t="s">
        <v>235</v>
      </c>
      <c r="C10" s="1086">
        <v>1090.4974999999999</v>
      </c>
      <c r="D10" s="1087">
        <f t="shared" ref="D10:D15" si="1">C10*$D$5</f>
        <v>60140937.125</v>
      </c>
      <c r="E10" s="1163">
        <f t="shared" ref="E10:E24" si="2">D10/1000</f>
        <v>60140.937124999997</v>
      </c>
      <c r="F10" s="1192" t="s">
        <v>982</v>
      </c>
      <c r="G10" s="1190">
        <f>D10+D11+D12+D13+D14+D15</f>
        <v>113852840.21000001</v>
      </c>
      <c r="H10" s="1190">
        <v>93378135.340000004</v>
      </c>
      <c r="I10" s="1191">
        <f>G10-H10</f>
        <v>20474704.870000005</v>
      </c>
      <c r="J10" s="1178" t="s">
        <v>272</v>
      </c>
      <c r="K10" s="1085" t="s">
        <v>235</v>
      </c>
      <c r="L10" s="1086">
        <v>1090.4974999999999</v>
      </c>
      <c r="M10" s="1087">
        <f t="shared" si="0"/>
        <v>44873972.125</v>
      </c>
      <c r="N10" s="1087">
        <f t="shared" ref="N10:N15" si="3">M10/1000</f>
        <v>44873.972125</v>
      </c>
      <c r="O10" s="1149" t="s">
        <v>982</v>
      </c>
      <c r="P10" s="1191">
        <f>M10+M11+M12+M13+M14+M15</f>
        <v>84950940.609999999</v>
      </c>
      <c r="Q10" s="1191">
        <v>93378135.340000004</v>
      </c>
      <c r="R10" s="1189"/>
      <c r="S10" s="1178" t="s">
        <v>272</v>
      </c>
      <c r="T10" s="1085" t="s">
        <v>235</v>
      </c>
      <c r="U10" s="1086">
        <v>1090.4974999999999</v>
      </c>
      <c r="V10" s="1087">
        <f t="shared" ref="V10:V15" si="4">U10*$V$5</f>
        <v>2180995</v>
      </c>
      <c r="W10" s="1087">
        <f t="shared" ref="W10:W15" si="5">V10/1000</f>
        <v>2180.9949999999999</v>
      </c>
      <c r="X10" s="1157" t="s">
        <v>982</v>
      </c>
      <c r="Y10" s="1190"/>
      <c r="Z10" s="1188"/>
      <c r="AA10" s="1188"/>
      <c r="AB10" s="1178" t="s">
        <v>272</v>
      </c>
      <c r="AC10" s="1085" t="s">
        <v>235</v>
      </c>
      <c r="AD10" s="1086">
        <v>1090.4974999999999</v>
      </c>
      <c r="AE10" s="1087">
        <f t="shared" ref="AE10:AE15" si="6">AD10*$AE$5</f>
        <v>13085970</v>
      </c>
      <c r="AF10" s="1087">
        <f t="shared" ref="AF10:AF15" si="7">AE10/1000</f>
        <v>13085.97</v>
      </c>
      <c r="AG10" s="1157" t="s">
        <v>982</v>
      </c>
      <c r="AH10" s="1190">
        <f>AE10+AE11+AE12+AE13+AE14+AE15</f>
        <v>24773056.800000001</v>
      </c>
      <c r="AI10" s="1188"/>
      <c r="AJ10" s="1188"/>
      <c r="AK10" s="1149" t="b">
        <f>AN9=G9</f>
        <v>1</v>
      </c>
      <c r="AL10" s="1157"/>
      <c r="AM10" s="1190"/>
      <c r="AN10" s="1190"/>
      <c r="AO10" s="1190"/>
      <c r="AP10" s="1188"/>
      <c r="AQ10" s="1188"/>
      <c r="AR10" s="1188"/>
    </row>
    <row r="11" spans="1:44" ht="29.25" customHeight="1" x14ac:dyDescent="0.3">
      <c r="A11" s="1084"/>
      <c r="B11" s="1085" t="s">
        <v>630</v>
      </c>
      <c r="C11" s="1086">
        <v>155.37700000000001</v>
      </c>
      <c r="D11" s="1087">
        <f t="shared" si="1"/>
        <v>8569041.5500000007</v>
      </c>
      <c r="E11" s="1163">
        <f t="shared" si="2"/>
        <v>8569.0415499999999</v>
      </c>
      <c r="F11" s="1188">
        <v>212</v>
      </c>
      <c r="G11" s="1190">
        <f>H11</f>
        <v>524668.34</v>
      </c>
      <c r="H11" s="1190">
        <v>524668.34</v>
      </c>
      <c r="I11" s="1191">
        <f>G11-H11</f>
        <v>0</v>
      </c>
      <c r="J11" s="1178"/>
      <c r="K11" s="1085" t="s">
        <v>630</v>
      </c>
      <c r="L11" s="1086">
        <v>155.37700000000001</v>
      </c>
      <c r="M11" s="1087">
        <f t="shared" si="0"/>
        <v>6393763.5500000007</v>
      </c>
      <c r="N11" s="1087">
        <f t="shared" si="3"/>
        <v>6393.7635500000006</v>
      </c>
      <c r="P11" s="1189"/>
      <c r="Q11" s="1191">
        <f>347915.5-Z11</f>
        <v>271923.18</v>
      </c>
      <c r="R11" s="1189"/>
      <c r="S11" s="1178"/>
      <c r="T11" s="1085" t="s">
        <v>630</v>
      </c>
      <c r="U11" s="1086">
        <v>155.37700000000001</v>
      </c>
      <c r="V11" s="1087">
        <f t="shared" si="4"/>
        <v>310754</v>
      </c>
      <c r="W11" s="1087">
        <f t="shared" si="5"/>
        <v>310.75400000000002</v>
      </c>
      <c r="Y11" s="1188"/>
      <c r="Z11" s="1199">
        <v>75992.320000000007</v>
      </c>
      <c r="AA11" s="1188"/>
      <c r="AB11" s="1178"/>
      <c r="AC11" s="1085" t="s">
        <v>630</v>
      </c>
      <c r="AD11" s="1086">
        <v>155.37700000000001</v>
      </c>
      <c r="AE11" s="1087">
        <f t="shared" si="6"/>
        <v>1864524</v>
      </c>
      <c r="AF11" s="1087">
        <f t="shared" si="7"/>
        <v>1864.5239999999999</v>
      </c>
      <c r="AH11" s="1188"/>
      <c r="AI11" s="1190">
        <v>176752.84</v>
      </c>
      <c r="AJ11" s="1188"/>
      <c r="AK11" s="1149" t="b">
        <f>AN11=G11</f>
        <v>1</v>
      </c>
      <c r="AL11" s="1150">
        <v>212</v>
      </c>
      <c r="AM11" s="1188"/>
      <c r="AN11" s="1190">
        <f>Q11+Z11+AI11</f>
        <v>524668.34</v>
      </c>
      <c r="AO11" s="1188"/>
      <c r="AP11" s="1190">
        <f>Q11+Z11+AI11</f>
        <v>524668.34</v>
      </c>
      <c r="AQ11" s="1188"/>
      <c r="AR11" s="1188"/>
    </row>
    <row r="12" spans="1:44" ht="29.25" customHeight="1" x14ac:dyDescent="0.3">
      <c r="A12" s="1084"/>
      <c r="B12" s="1085" t="s">
        <v>631</v>
      </c>
      <c r="C12" s="1086">
        <v>0</v>
      </c>
      <c r="D12" s="1087">
        <f t="shared" si="1"/>
        <v>0</v>
      </c>
      <c r="E12" s="1163">
        <f t="shared" si="2"/>
        <v>0</v>
      </c>
      <c r="F12" s="1188"/>
      <c r="G12" s="1188"/>
      <c r="H12" s="1190"/>
      <c r="I12" s="1189"/>
      <c r="J12" s="1178"/>
      <c r="K12" s="1085" t="s">
        <v>631</v>
      </c>
      <c r="L12" s="1086">
        <v>0</v>
      </c>
      <c r="M12" s="1087">
        <f t="shared" si="0"/>
        <v>0</v>
      </c>
      <c r="N12" s="1087">
        <f t="shared" si="3"/>
        <v>0</v>
      </c>
      <c r="P12" s="1189"/>
      <c r="Q12" s="1191"/>
      <c r="R12" s="1189"/>
      <c r="S12" s="1178"/>
      <c r="T12" s="1085" t="s">
        <v>631</v>
      </c>
      <c r="U12" s="1086">
        <v>0</v>
      </c>
      <c r="V12" s="1087">
        <f t="shared" si="4"/>
        <v>0</v>
      </c>
      <c r="W12" s="1087">
        <f t="shared" si="5"/>
        <v>0</v>
      </c>
      <c r="Y12" s="1188"/>
      <c r="Z12" s="1199"/>
      <c r="AA12" s="1188"/>
      <c r="AB12" s="1178"/>
      <c r="AC12" s="1085" t="s">
        <v>631</v>
      </c>
      <c r="AD12" s="1086">
        <v>0</v>
      </c>
      <c r="AE12" s="1087">
        <f t="shared" si="6"/>
        <v>0</v>
      </c>
      <c r="AF12" s="1087">
        <f t="shared" si="7"/>
        <v>0</v>
      </c>
      <c r="AH12" s="1188"/>
      <c r="AI12" s="1188"/>
      <c r="AJ12" s="1188"/>
      <c r="AM12" s="1188"/>
      <c r="AN12" s="1188"/>
      <c r="AO12" s="1188"/>
      <c r="AP12" s="1188"/>
      <c r="AQ12" s="1188"/>
      <c r="AR12" s="1188"/>
    </row>
    <row r="13" spans="1:44" ht="29.25" customHeight="1" x14ac:dyDescent="0.3">
      <c r="A13" s="1084"/>
      <c r="B13" s="1085" t="s">
        <v>632</v>
      </c>
      <c r="C13" s="1086">
        <v>504.40449999999998</v>
      </c>
      <c r="D13" s="1087">
        <f t="shared" si="1"/>
        <v>27817908.175000001</v>
      </c>
      <c r="E13" s="1163">
        <f t="shared" si="2"/>
        <v>27817.908175</v>
      </c>
      <c r="F13" s="1188"/>
      <c r="G13" s="1188"/>
      <c r="H13" s="1190"/>
      <c r="I13" s="1189"/>
      <c r="J13" s="1178"/>
      <c r="K13" s="1085" t="s">
        <v>632</v>
      </c>
      <c r="L13" s="1086">
        <v>504.40449999999998</v>
      </c>
      <c r="M13" s="1087">
        <f t="shared" si="0"/>
        <v>20756245.175000001</v>
      </c>
      <c r="N13" s="1087">
        <f t="shared" si="3"/>
        <v>20756.245175</v>
      </c>
      <c r="P13" s="1189"/>
      <c r="Q13" s="1191"/>
      <c r="R13" s="1189"/>
      <c r="S13" s="1178"/>
      <c r="T13" s="1085" t="s">
        <v>632</v>
      </c>
      <c r="U13" s="1086">
        <v>504.40449999999998</v>
      </c>
      <c r="V13" s="1087">
        <f t="shared" si="4"/>
        <v>1008809</v>
      </c>
      <c r="W13" s="1087">
        <f t="shared" si="5"/>
        <v>1008.809</v>
      </c>
      <c r="Y13" s="1188"/>
      <c r="Z13" s="1199"/>
      <c r="AA13" s="1188"/>
      <c r="AB13" s="1178"/>
      <c r="AC13" s="1085" t="s">
        <v>632</v>
      </c>
      <c r="AD13" s="1086">
        <v>504.40449999999998</v>
      </c>
      <c r="AE13" s="1087">
        <f t="shared" si="6"/>
        <v>6052854</v>
      </c>
      <c r="AF13" s="1087">
        <f t="shared" si="7"/>
        <v>6052.8540000000003</v>
      </c>
      <c r="AH13" s="1188"/>
      <c r="AI13" s="1188"/>
      <c r="AJ13" s="1188"/>
      <c r="AM13" s="1188"/>
      <c r="AN13" s="1188"/>
      <c r="AO13" s="1188"/>
      <c r="AP13" s="1188"/>
      <c r="AQ13" s="1188"/>
      <c r="AR13" s="1188"/>
    </row>
    <row r="14" spans="1:44" ht="29.25" customHeight="1" x14ac:dyDescent="0.3">
      <c r="A14" s="1084"/>
      <c r="B14" s="1085" t="s">
        <v>633</v>
      </c>
      <c r="C14" s="1086">
        <v>45.723500000000001</v>
      </c>
      <c r="D14" s="1087">
        <f t="shared" si="1"/>
        <v>2521651.0249999999</v>
      </c>
      <c r="E14" s="1163">
        <f t="shared" si="2"/>
        <v>2521.6510250000001</v>
      </c>
      <c r="F14" s="1188"/>
      <c r="G14" s="1188"/>
      <c r="H14" s="1190"/>
      <c r="I14" s="1189"/>
      <c r="J14" s="1178"/>
      <c r="K14" s="1085" t="s">
        <v>633</v>
      </c>
      <c r="L14" s="1086">
        <v>45.723500000000001</v>
      </c>
      <c r="M14" s="1087">
        <f t="shared" si="0"/>
        <v>1881522.0250000001</v>
      </c>
      <c r="N14" s="1087">
        <f t="shared" si="3"/>
        <v>1881.5220250000002</v>
      </c>
      <c r="P14" s="1189"/>
      <c r="Q14" s="1191"/>
      <c r="R14" s="1189"/>
      <c r="S14" s="1178"/>
      <c r="T14" s="1085" t="s">
        <v>633</v>
      </c>
      <c r="U14" s="1086">
        <v>45.723500000000001</v>
      </c>
      <c r="V14" s="1087">
        <f t="shared" si="4"/>
        <v>91447</v>
      </c>
      <c r="W14" s="1087">
        <f t="shared" si="5"/>
        <v>91.447000000000003</v>
      </c>
      <c r="Y14" s="1188"/>
      <c r="Z14" s="1199"/>
      <c r="AA14" s="1188"/>
      <c r="AB14" s="1178"/>
      <c r="AC14" s="1085" t="s">
        <v>633</v>
      </c>
      <c r="AD14" s="1086">
        <v>45.723500000000001</v>
      </c>
      <c r="AE14" s="1087">
        <f t="shared" si="6"/>
        <v>548682</v>
      </c>
      <c r="AF14" s="1087">
        <f t="shared" si="7"/>
        <v>548.68200000000002</v>
      </c>
      <c r="AH14" s="1188"/>
      <c r="AI14" s="1188"/>
      <c r="AJ14" s="1188"/>
      <c r="AM14" s="1188"/>
      <c r="AN14" s="1188"/>
      <c r="AO14" s="1188"/>
      <c r="AP14" s="1188"/>
      <c r="AQ14" s="1188"/>
      <c r="AR14" s="1188"/>
    </row>
    <row r="15" spans="1:44" ht="29.25" customHeight="1" x14ac:dyDescent="0.3">
      <c r="A15" s="1084"/>
      <c r="B15" s="1085" t="s">
        <v>634</v>
      </c>
      <c r="C15" s="1086">
        <v>268.41890000000001</v>
      </c>
      <c r="D15" s="1087">
        <f t="shared" si="1"/>
        <v>14803302.335000001</v>
      </c>
      <c r="E15" s="1163">
        <f t="shared" si="2"/>
        <v>14803.302335</v>
      </c>
      <c r="F15" s="1188"/>
      <c r="G15" s="1188"/>
      <c r="H15" s="1190"/>
      <c r="I15" s="1189"/>
      <c r="J15" s="1178"/>
      <c r="K15" s="1085" t="s">
        <v>634</v>
      </c>
      <c r="L15" s="1086">
        <v>268.41890000000001</v>
      </c>
      <c r="M15" s="1087">
        <f t="shared" si="0"/>
        <v>11045437.734999999</v>
      </c>
      <c r="N15" s="1087">
        <f t="shared" si="3"/>
        <v>11045.437735</v>
      </c>
      <c r="P15" s="1189"/>
      <c r="Q15" s="1191"/>
      <c r="R15" s="1189"/>
      <c r="S15" s="1178"/>
      <c r="T15" s="1085" t="s">
        <v>634</v>
      </c>
      <c r="U15" s="1086">
        <v>268.41890000000001</v>
      </c>
      <c r="V15" s="1087">
        <f t="shared" si="4"/>
        <v>536837.80000000005</v>
      </c>
      <c r="W15" s="1087">
        <f t="shared" si="5"/>
        <v>536.83780000000002</v>
      </c>
      <c r="Y15" s="1188"/>
      <c r="Z15" s="1199"/>
      <c r="AA15" s="1188"/>
      <c r="AB15" s="1178"/>
      <c r="AC15" s="1085" t="s">
        <v>634</v>
      </c>
      <c r="AD15" s="1086">
        <v>268.41890000000001</v>
      </c>
      <c r="AE15" s="1087">
        <f t="shared" si="6"/>
        <v>3221026.8000000003</v>
      </c>
      <c r="AF15" s="1087">
        <f t="shared" si="7"/>
        <v>3221.0268000000001</v>
      </c>
      <c r="AH15" s="1188"/>
      <c r="AI15" s="1188"/>
      <c r="AJ15" s="1188"/>
      <c r="AM15" s="1188"/>
      <c r="AN15" s="1188"/>
      <c r="AO15" s="1188"/>
      <c r="AP15" s="1188"/>
      <c r="AQ15" s="1188"/>
      <c r="AR15" s="1188"/>
    </row>
    <row r="16" spans="1:44" ht="29.25" customHeight="1" x14ac:dyDescent="0.3">
      <c r="A16" s="1084"/>
      <c r="B16" s="1085"/>
      <c r="C16" s="1086"/>
      <c r="D16" s="1087"/>
      <c r="E16" s="1163"/>
      <c r="F16" s="1188"/>
      <c r="G16" s="1188"/>
      <c r="H16" s="1190"/>
      <c r="I16" s="1189"/>
      <c r="J16" s="1178"/>
      <c r="K16" s="1085"/>
      <c r="L16" s="1086"/>
      <c r="M16" s="1087"/>
      <c r="N16" s="1087"/>
      <c r="P16" s="1189"/>
      <c r="Q16" s="1191"/>
      <c r="R16" s="1189"/>
      <c r="S16" s="1178"/>
      <c r="T16" s="1085"/>
      <c r="U16" s="1086"/>
      <c r="V16" s="1087"/>
      <c r="W16" s="1087"/>
      <c r="Y16" s="1188"/>
      <c r="Z16" s="1199"/>
      <c r="AA16" s="1188"/>
      <c r="AB16" s="1178"/>
      <c r="AC16" s="1085"/>
      <c r="AD16" s="1086"/>
      <c r="AE16" s="1087"/>
      <c r="AF16" s="1087"/>
      <c r="AH16" s="1188"/>
      <c r="AI16" s="1188"/>
      <c r="AJ16" s="1188"/>
      <c r="AM16" s="1188"/>
      <c r="AN16" s="1188"/>
      <c r="AO16" s="1188"/>
      <c r="AP16" s="1188"/>
      <c r="AQ16" s="1188"/>
      <c r="AR16" s="1188"/>
    </row>
    <row r="17" spans="1:44" s="1091" customFormat="1" ht="29.25" customHeight="1" x14ac:dyDescent="0.3">
      <c r="A17" s="1088"/>
      <c r="B17" s="1089" t="s">
        <v>273</v>
      </c>
      <c r="C17" s="1090">
        <f t="shared" ref="C17:E17" si="8">SUM(C9:C15)</f>
        <v>2963.7765000000004</v>
      </c>
      <c r="D17" s="1090">
        <f t="shared" si="8"/>
        <v>163452273.97500002</v>
      </c>
      <c r="E17" s="1164">
        <f t="shared" si="8"/>
        <v>163452.27397499996</v>
      </c>
      <c r="F17" s="1193"/>
      <c r="G17" s="1193"/>
      <c r="H17" s="1190"/>
      <c r="I17" s="1194"/>
      <c r="J17" s="1179"/>
      <c r="K17" s="1089" t="s">
        <v>273</v>
      </c>
      <c r="L17" s="1090">
        <f t="shared" ref="L17:N17" si="9">SUM(L9:L15)</f>
        <v>2963.7765000000004</v>
      </c>
      <c r="M17" s="1090">
        <f t="shared" si="9"/>
        <v>121959402.97500001</v>
      </c>
      <c r="N17" s="1090">
        <f t="shared" si="9"/>
        <v>121959.402975</v>
      </c>
      <c r="P17" s="1194"/>
      <c r="Q17" s="1191"/>
      <c r="R17" s="1194"/>
      <c r="S17" s="1179"/>
      <c r="T17" s="1089" t="s">
        <v>273</v>
      </c>
      <c r="U17" s="1090">
        <f t="shared" ref="U17:W17" si="10">SUM(U9:U15)</f>
        <v>2963.7765000000004</v>
      </c>
      <c r="V17" s="1090">
        <f t="shared" si="10"/>
        <v>5927553</v>
      </c>
      <c r="W17" s="1090">
        <f t="shared" si="10"/>
        <v>5927.5530000000008</v>
      </c>
      <c r="X17" s="1152"/>
      <c r="Y17" s="1193"/>
      <c r="Z17" s="1199"/>
      <c r="AA17" s="1193"/>
      <c r="AB17" s="1179"/>
      <c r="AC17" s="1089" t="s">
        <v>273</v>
      </c>
      <c r="AD17" s="1090">
        <f t="shared" ref="AD17:AF17" si="11">SUM(AD9:AD15)</f>
        <v>2963.7765000000004</v>
      </c>
      <c r="AE17" s="1090">
        <f t="shared" si="11"/>
        <v>35565318</v>
      </c>
      <c r="AF17" s="1090">
        <f t="shared" si="11"/>
        <v>35565.317999999999</v>
      </c>
      <c r="AG17" s="1152"/>
      <c r="AH17" s="1193"/>
      <c r="AI17" s="1193"/>
      <c r="AJ17" s="1193"/>
      <c r="AK17" s="1222"/>
      <c r="AL17" s="1152"/>
      <c r="AM17" s="1193"/>
      <c r="AN17" s="1193"/>
      <c r="AO17" s="1193"/>
      <c r="AP17" s="1193"/>
      <c r="AQ17" s="1193"/>
      <c r="AR17" s="1193"/>
    </row>
    <row r="18" spans="1:44" ht="29.25" customHeight="1" x14ac:dyDescent="0.3">
      <c r="A18" s="1084" t="s">
        <v>274</v>
      </c>
      <c r="B18" s="1085" t="s">
        <v>275</v>
      </c>
      <c r="C18" s="1086">
        <v>271.60770000000002</v>
      </c>
      <c r="D18" s="1087">
        <f t="shared" ref="D18:D24" si="12">C18*$D$5</f>
        <v>14979164.655000001</v>
      </c>
      <c r="E18" s="1163">
        <f t="shared" si="2"/>
        <v>14979.164655</v>
      </c>
      <c r="F18" s="1188">
        <v>213</v>
      </c>
      <c r="G18" s="1190">
        <f>D18+D71-H11</f>
        <v>21002803.260000002</v>
      </c>
      <c r="H18" s="1190">
        <f>9701799.15+6050331.42</f>
        <v>15752130.57</v>
      </c>
      <c r="I18" s="1191">
        <f>G18-H18</f>
        <v>5250672.6900000013</v>
      </c>
      <c r="J18" s="1178" t="s">
        <v>274</v>
      </c>
      <c r="K18" s="1085" t="s">
        <v>275</v>
      </c>
      <c r="L18" s="1086">
        <v>271.60770000000002</v>
      </c>
      <c r="M18" s="1087">
        <f>L18*$M$5</f>
        <v>11176656.855</v>
      </c>
      <c r="N18" s="1087">
        <f t="shared" ref="N18:N24" si="13">M18/1000</f>
        <v>11176.656855000001</v>
      </c>
      <c r="O18" s="1076">
        <v>213</v>
      </c>
      <c r="P18" s="1191">
        <f>M18+M71</f>
        <v>16062655.600000001</v>
      </c>
      <c r="Q18" s="1191">
        <f>9701799.15-Z18</f>
        <v>7100546.7300000004</v>
      </c>
      <c r="R18" s="1191"/>
      <c r="S18" s="1178" t="s">
        <v>274</v>
      </c>
      <c r="T18" s="1085" t="s">
        <v>275</v>
      </c>
      <c r="U18" s="1086">
        <v>271.60770000000002</v>
      </c>
      <c r="V18" s="1087">
        <f>U18*$V$5</f>
        <v>543215.4</v>
      </c>
      <c r="W18" s="1087">
        <f t="shared" ref="W18:W24" si="14">V18/1000</f>
        <v>543.21540000000005</v>
      </c>
      <c r="X18" s="1150">
        <v>213</v>
      </c>
      <c r="Y18" s="1190">
        <f>V18+V71</f>
        <v>780688</v>
      </c>
      <c r="Z18" s="1199">
        <v>2601252.42</v>
      </c>
      <c r="AA18" s="1190"/>
      <c r="AB18" s="1178" t="s">
        <v>274</v>
      </c>
      <c r="AC18" s="1085" t="s">
        <v>275</v>
      </c>
      <c r="AD18" s="1086">
        <v>271.60770000000002</v>
      </c>
      <c r="AE18" s="1087">
        <f>AD18*$AE$5</f>
        <v>3259292.4000000004</v>
      </c>
      <c r="AF18" s="1087">
        <f t="shared" ref="AF18:AF24" si="15">AE18/1000</f>
        <v>3259.2924000000003</v>
      </c>
      <c r="AG18" s="1150">
        <v>213</v>
      </c>
      <c r="AH18" s="1190">
        <f>AE18+AE71</f>
        <v>4684128</v>
      </c>
      <c r="AI18" s="1190">
        <v>6050331.4199999999</v>
      </c>
      <c r="AJ18" s="1188"/>
      <c r="AK18" s="1226" t="b">
        <f>G19=AM18</f>
        <v>0</v>
      </c>
      <c r="AL18" s="1150">
        <v>213</v>
      </c>
      <c r="AM18" s="1190">
        <f>P19+Y19+AH19</f>
        <v>33136659.824999999</v>
      </c>
      <c r="AN18" s="1190">
        <f>P18+Y18+AH18</f>
        <v>21527471.600000001</v>
      </c>
      <c r="AO18" s="1190">
        <f>H19</f>
        <v>28172105.170000002</v>
      </c>
      <c r="AP18" s="1190">
        <f>Q18+Z18+AI18</f>
        <v>15752130.57</v>
      </c>
      <c r="AQ18" s="1190"/>
      <c r="AR18" s="1188"/>
    </row>
    <row r="19" spans="1:44" ht="29.25" customHeight="1" x14ac:dyDescent="0.3">
      <c r="A19" s="1084" t="s">
        <v>276</v>
      </c>
      <c r="B19" s="1085" t="s">
        <v>277</v>
      </c>
      <c r="C19" s="1086">
        <v>329.32900000000001</v>
      </c>
      <c r="D19" s="1087">
        <f t="shared" si="12"/>
        <v>18162494.350000001</v>
      </c>
      <c r="E19" s="1163">
        <f t="shared" si="2"/>
        <v>18162.494350000001</v>
      </c>
      <c r="F19" s="1192" t="s">
        <v>983</v>
      </c>
      <c r="G19" s="1190">
        <f>D19+D20+D22+D23+D24</f>
        <v>34383570.825000003</v>
      </c>
      <c r="H19" s="1190">
        <v>28172105.170000002</v>
      </c>
      <c r="I19" s="1191">
        <f>G19-H19</f>
        <v>6211465.6550000012</v>
      </c>
      <c r="J19" s="1178" t="s">
        <v>276</v>
      </c>
      <c r="K19" s="1085" t="s">
        <v>277</v>
      </c>
      <c r="L19" s="1086">
        <v>329.32900000000001</v>
      </c>
      <c r="M19" s="1087">
        <f t="shared" ref="M19:M24" si="16">L19*$M$5</f>
        <v>13551888.35</v>
      </c>
      <c r="N19" s="1087">
        <f t="shared" si="13"/>
        <v>13551.888349999999</v>
      </c>
      <c r="O19" s="1149" t="s">
        <v>983</v>
      </c>
      <c r="P19" s="1191">
        <f>M19+M20+M22+M23+M24</f>
        <v>25655193.824999999</v>
      </c>
      <c r="Q19" s="1191">
        <v>28172105.170000002</v>
      </c>
      <c r="R19" s="1189"/>
      <c r="S19" s="1178" t="s">
        <v>276</v>
      </c>
      <c r="T19" s="1085" t="s">
        <v>277</v>
      </c>
      <c r="U19" s="1086">
        <v>329.32900000000001</v>
      </c>
      <c r="V19" s="1087">
        <f t="shared" ref="V19:V24" si="17">U19*$V$5</f>
        <v>658658</v>
      </c>
      <c r="W19" s="1087">
        <f t="shared" si="14"/>
        <v>658.65800000000002</v>
      </c>
      <c r="X19" s="1157" t="s">
        <v>983</v>
      </c>
      <c r="Y19" s="1190"/>
      <c r="Z19" s="1199"/>
      <c r="AA19" s="1188"/>
      <c r="AB19" s="1178" t="s">
        <v>276</v>
      </c>
      <c r="AC19" s="1085" t="s">
        <v>277</v>
      </c>
      <c r="AD19" s="1086">
        <v>329.32900000000001</v>
      </c>
      <c r="AE19" s="1087">
        <f t="shared" ref="AE19:AE24" si="18">AD19*$AE$5</f>
        <v>3951948</v>
      </c>
      <c r="AF19" s="1087">
        <f t="shared" si="15"/>
        <v>3951.9479999999999</v>
      </c>
      <c r="AG19" s="1157" t="s">
        <v>983</v>
      </c>
      <c r="AH19" s="1190">
        <f>AE19+AE20+AE22+AE23+AE24</f>
        <v>7481466</v>
      </c>
      <c r="AI19" s="1188"/>
      <c r="AJ19" s="1188"/>
      <c r="AK19" s="1149" t="b">
        <f>AN18-AN11=G18</f>
        <v>1</v>
      </c>
      <c r="AL19" s="1157"/>
      <c r="AM19" s="1190"/>
      <c r="AN19" s="1190"/>
      <c r="AO19" s="1190"/>
      <c r="AP19" s="1188"/>
      <c r="AQ19" s="1188"/>
      <c r="AR19" s="1188"/>
    </row>
    <row r="20" spans="1:44" ht="29.25" customHeight="1" x14ac:dyDescent="0.3">
      <c r="A20" s="1084"/>
      <c r="B20" s="1085" t="s">
        <v>630</v>
      </c>
      <c r="C20" s="1086">
        <v>46.9238</v>
      </c>
      <c r="D20" s="1087">
        <f t="shared" si="12"/>
        <v>2587847.5699999998</v>
      </c>
      <c r="E20" s="1163">
        <f t="shared" si="2"/>
        <v>2587.8475699999999</v>
      </c>
      <c r="F20" s="1188"/>
      <c r="G20" s="1188"/>
      <c r="H20" s="1190"/>
      <c r="I20" s="1189"/>
      <c r="J20" s="1178"/>
      <c r="K20" s="1085" t="s">
        <v>630</v>
      </c>
      <c r="L20" s="1086">
        <v>46.9238</v>
      </c>
      <c r="M20" s="1087">
        <f t="shared" si="16"/>
        <v>1930914.37</v>
      </c>
      <c r="N20" s="1087">
        <f t="shared" si="13"/>
        <v>1930.9143700000002</v>
      </c>
      <c r="P20" s="1189"/>
      <c r="Q20" s="1191"/>
      <c r="R20" s="1189"/>
      <c r="S20" s="1178"/>
      <c r="T20" s="1085" t="s">
        <v>630</v>
      </c>
      <c r="U20" s="1086">
        <v>46.9238</v>
      </c>
      <c r="V20" s="1087">
        <f t="shared" si="17"/>
        <v>93847.6</v>
      </c>
      <c r="W20" s="1087">
        <f t="shared" si="14"/>
        <v>93.8476</v>
      </c>
      <c r="Y20" s="1188"/>
      <c r="Z20" s="1199"/>
      <c r="AA20" s="1188"/>
      <c r="AB20" s="1178"/>
      <c r="AC20" s="1085" t="s">
        <v>630</v>
      </c>
      <c r="AD20" s="1086">
        <v>46.9238</v>
      </c>
      <c r="AE20" s="1087">
        <f t="shared" si="18"/>
        <v>563085.6</v>
      </c>
      <c r="AF20" s="1087">
        <f t="shared" si="15"/>
        <v>563.0856</v>
      </c>
      <c r="AH20" s="1188"/>
      <c r="AI20" s="1188"/>
      <c r="AJ20" s="1188"/>
      <c r="AM20" s="1188"/>
      <c r="AN20" s="1188"/>
      <c r="AO20" s="1188"/>
      <c r="AP20" s="1188"/>
      <c r="AQ20" s="1188"/>
      <c r="AR20" s="1188"/>
    </row>
    <row r="21" spans="1:44" ht="29.25" customHeight="1" x14ac:dyDescent="0.3">
      <c r="A21" s="1084"/>
      <c r="B21" s="1092" t="s">
        <v>635</v>
      </c>
      <c r="C21" s="1086">
        <v>0</v>
      </c>
      <c r="D21" s="1087">
        <f t="shared" si="12"/>
        <v>0</v>
      </c>
      <c r="E21" s="1163">
        <f t="shared" si="2"/>
        <v>0</v>
      </c>
      <c r="F21" s="1188"/>
      <c r="G21" s="1188"/>
      <c r="H21" s="1190"/>
      <c r="I21" s="1189"/>
      <c r="J21" s="1178"/>
      <c r="K21" s="1092" t="s">
        <v>635</v>
      </c>
      <c r="L21" s="1086">
        <v>0</v>
      </c>
      <c r="M21" s="1087">
        <f t="shared" si="16"/>
        <v>0</v>
      </c>
      <c r="N21" s="1087">
        <f t="shared" si="13"/>
        <v>0</v>
      </c>
      <c r="P21" s="1189"/>
      <c r="Q21" s="1191"/>
      <c r="R21" s="1189"/>
      <c r="S21" s="1178"/>
      <c r="T21" s="1092" t="s">
        <v>635</v>
      </c>
      <c r="U21" s="1086">
        <v>0</v>
      </c>
      <c r="V21" s="1087">
        <f t="shared" si="17"/>
        <v>0</v>
      </c>
      <c r="W21" s="1087">
        <f t="shared" si="14"/>
        <v>0</v>
      </c>
      <c r="Y21" s="1188"/>
      <c r="Z21" s="1199"/>
      <c r="AA21" s="1188"/>
      <c r="AB21" s="1178"/>
      <c r="AC21" s="1092" t="s">
        <v>635</v>
      </c>
      <c r="AD21" s="1086">
        <v>0</v>
      </c>
      <c r="AE21" s="1087">
        <f t="shared" si="18"/>
        <v>0</v>
      </c>
      <c r="AF21" s="1087">
        <f t="shared" si="15"/>
        <v>0</v>
      </c>
      <c r="AH21" s="1188"/>
      <c r="AI21" s="1188"/>
      <c r="AJ21" s="1188"/>
      <c r="AM21" s="1188"/>
      <c r="AN21" s="1188"/>
      <c r="AO21" s="1188"/>
      <c r="AP21" s="1188"/>
      <c r="AQ21" s="1188"/>
      <c r="AR21" s="1188"/>
    </row>
    <row r="22" spans="1:44" ht="29.25" customHeight="1" x14ac:dyDescent="0.3">
      <c r="A22" s="1084"/>
      <c r="B22" s="1092" t="s">
        <v>636</v>
      </c>
      <c r="C22" s="1086">
        <v>152.3289</v>
      </c>
      <c r="D22" s="1087">
        <f t="shared" si="12"/>
        <v>8400938.8350000009</v>
      </c>
      <c r="E22" s="1163">
        <f t="shared" si="2"/>
        <v>8400.9388350000008</v>
      </c>
      <c r="F22" s="1188"/>
      <c r="G22" s="1188"/>
      <c r="H22" s="1190"/>
      <c r="I22" s="1189"/>
      <c r="J22" s="1178"/>
      <c r="K22" s="1092" t="s">
        <v>636</v>
      </c>
      <c r="L22" s="1086">
        <v>152.3289</v>
      </c>
      <c r="M22" s="1087">
        <f t="shared" si="16"/>
        <v>6268334.2350000003</v>
      </c>
      <c r="N22" s="1087">
        <f t="shared" si="13"/>
        <v>6268.3342350000003</v>
      </c>
      <c r="P22" s="1189"/>
      <c r="Q22" s="1191"/>
      <c r="R22" s="1189"/>
      <c r="S22" s="1178"/>
      <c r="T22" s="1092" t="s">
        <v>636</v>
      </c>
      <c r="U22" s="1086">
        <v>152.3289</v>
      </c>
      <c r="V22" s="1087">
        <f t="shared" si="17"/>
        <v>304657.8</v>
      </c>
      <c r="W22" s="1087">
        <f t="shared" si="14"/>
        <v>304.65780000000001</v>
      </c>
      <c r="Y22" s="1188"/>
      <c r="Z22" s="1199"/>
      <c r="AA22" s="1188"/>
      <c r="AB22" s="1178"/>
      <c r="AC22" s="1092" t="s">
        <v>636</v>
      </c>
      <c r="AD22" s="1086">
        <v>152.3289</v>
      </c>
      <c r="AE22" s="1087">
        <f t="shared" si="18"/>
        <v>1827946.8</v>
      </c>
      <c r="AF22" s="1087">
        <f t="shared" si="15"/>
        <v>1827.9467999999999</v>
      </c>
      <c r="AH22" s="1188"/>
      <c r="AI22" s="1188"/>
      <c r="AJ22" s="1188"/>
      <c r="AM22" s="1188"/>
      <c r="AN22" s="1188"/>
      <c r="AO22" s="1188"/>
      <c r="AP22" s="1188"/>
      <c r="AQ22" s="1188"/>
      <c r="AR22" s="1188"/>
    </row>
    <row r="23" spans="1:44" ht="29.25" customHeight="1" x14ac:dyDescent="0.3">
      <c r="A23" s="1084"/>
      <c r="B23" s="1085" t="s">
        <v>633</v>
      </c>
      <c r="C23" s="1086">
        <v>13.809699999999999</v>
      </c>
      <c r="D23" s="1087">
        <f t="shared" si="12"/>
        <v>761604.95499999996</v>
      </c>
      <c r="E23" s="1163">
        <f t="shared" si="2"/>
        <v>761.6049549999999</v>
      </c>
      <c r="F23" s="1188"/>
      <c r="G23" s="1188"/>
      <c r="H23" s="1190"/>
      <c r="I23" s="1189"/>
      <c r="J23" s="1178"/>
      <c r="K23" s="1085" t="s">
        <v>633</v>
      </c>
      <c r="L23" s="1086">
        <v>13.809699999999999</v>
      </c>
      <c r="M23" s="1087">
        <f t="shared" si="16"/>
        <v>568269.15500000003</v>
      </c>
      <c r="N23" s="1087">
        <f t="shared" si="13"/>
        <v>568.26915500000007</v>
      </c>
      <c r="P23" s="1189"/>
      <c r="Q23" s="1191"/>
      <c r="R23" s="1189"/>
      <c r="S23" s="1178"/>
      <c r="T23" s="1085" t="s">
        <v>633</v>
      </c>
      <c r="U23" s="1086">
        <v>13.809699999999999</v>
      </c>
      <c r="V23" s="1087">
        <f t="shared" si="17"/>
        <v>27619.399999999998</v>
      </c>
      <c r="W23" s="1087">
        <f t="shared" si="14"/>
        <v>27.619399999999999</v>
      </c>
      <c r="Y23" s="1188"/>
      <c r="Z23" s="1199"/>
      <c r="AA23" s="1188"/>
      <c r="AB23" s="1178"/>
      <c r="AC23" s="1085" t="s">
        <v>633</v>
      </c>
      <c r="AD23" s="1086">
        <v>13.809699999999999</v>
      </c>
      <c r="AE23" s="1087">
        <f t="shared" si="18"/>
        <v>165716.4</v>
      </c>
      <c r="AF23" s="1087">
        <f t="shared" si="15"/>
        <v>165.71639999999999</v>
      </c>
      <c r="AH23" s="1188"/>
      <c r="AI23" s="1188"/>
      <c r="AJ23" s="1188"/>
      <c r="AM23" s="1188"/>
      <c r="AN23" s="1188"/>
      <c r="AO23" s="1188"/>
      <c r="AP23" s="1188"/>
      <c r="AQ23" s="1188"/>
      <c r="AR23" s="1188"/>
    </row>
    <row r="24" spans="1:44" ht="29.25" customHeight="1" x14ac:dyDescent="0.3">
      <c r="A24" s="1084"/>
      <c r="B24" s="1092" t="s">
        <v>637</v>
      </c>
      <c r="C24" s="1086">
        <v>81.064099999999996</v>
      </c>
      <c r="D24" s="1087">
        <f t="shared" si="12"/>
        <v>4470685.1150000002</v>
      </c>
      <c r="E24" s="1163">
        <f t="shared" si="2"/>
        <v>4470.6851150000002</v>
      </c>
      <c r="F24" s="1188"/>
      <c r="G24" s="1188"/>
      <c r="H24" s="1190"/>
      <c r="I24" s="1189"/>
      <c r="J24" s="1178"/>
      <c r="K24" s="1092" t="s">
        <v>637</v>
      </c>
      <c r="L24" s="1086">
        <v>81.064099999999996</v>
      </c>
      <c r="M24" s="1087">
        <f t="shared" si="16"/>
        <v>3335787.7149999999</v>
      </c>
      <c r="N24" s="1087">
        <f t="shared" si="13"/>
        <v>3335.7877149999999</v>
      </c>
      <c r="P24" s="1189"/>
      <c r="Q24" s="1191"/>
      <c r="R24" s="1189"/>
      <c r="S24" s="1178"/>
      <c r="T24" s="1092" t="s">
        <v>637</v>
      </c>
      <c r="U24" s="1086">
        <v>81.064099999999996</v>
      </c>
      <c r="V24" s="1087">
        <f t="shared" si="17"/>
        <v>162128.19999999998</v>
      </c>
      <c r="W24" s="1087">
        <f t="shared" si="14"/>
        <v>162.12819999999999</v>
      </c>
      <c r="Y24" s="1188"/>
      <c r="Z24" s="1199"/>
      <c r="AA24" s="1188"/>
      <c r="AB24" s="1178"/>
      <c r="AC24" s="1092" t="s">
        <v>637</v>
      </c>
      <c r="AD24" s="1086">
        <v>81.064099999999996</v>
      </c>
      <c r="AE24" s="1087">
        <f t="shared" si="18"/>
        <v>972769.2</v>
      </c>
      <c r="AF24" s="1087">
        <f t="shared" si="15"/>
        <v>972.76919999999996</v>
      </c>
      <c r="AH24" s="1188"/>
      <c r="AI24" s="1188"/>
      <c r="AJ24" s="1188"/>
      <c r="AM24" s="1188"/>
      <c r="AN24" s="1188"/>
      <c r="AO24" s="1188"/>
      <c r="AP24" s="1188"/>
      <c r="AQ24" s="1188"/>
      <c r="AR24" s="1188"/>
    </row>
    <row r="25" spans="1:44" ht="29.25" customHeight="1" x14ac:dyDescent="0.3">
      <c r="A25" s="1084"/>
      <c r="B25" s="1092"/>
      <c r="C25" s="1086"/>
      <c r="D25" s="1087"/>
      <c r="E25" s="1163"/>
      <c r="F25" s="1188"/>
      <c r="G25" s="1188"/>
      <c r="H25" s="1190"/>
      <c r="I25" s="1189"/>
      <c r="J25" s="1178"/>
      <c r="K25" s="1092"/>
      <c r="L25" s="1086"/>
      <c r="M25" s="1087"/>
      <c r="N25" s="1087"/>
      <c r="P25" s="1189"/>
      <c r="Q25" s="1191"/>
      <c r="R25" s="1189"/>
      <c r="S25" s="1178"/>
      <c r="T25" s="1092"/>
      <c r="U25" s="1086"/>
      <c r="V25" s="1087"/>
      <c r="W25" s="1087"/>
      <c r="Y25" s="1188"/>
      <c r="Z25" s="1199"/>
      <c r="AA25" s="1188"/>
      <c r="AB25" s="1178"/>
      <c r="AC25" s="1092"/>
      <c r="AD25" s="1086"/>
      <c r="AE25" s="1087"/>
      <c r="AF25" s="1087"/>
      <c r="AH25" s="1188"/>
      <c r="AI25" s="1188"/>
      <c r="AJ25" s="1188"/>
      <c r="AM25" s="1188"/>
      <c r="AN25" s="1188"/>
      <c r="AO25" s="1188"/>
      <c r="AP25" s="1188"/>
      <c r="AQ25" s="1188"/>
      <c r="AR25" s="1188"/>
    </row>
    <row r="26" spans="1:44" s="1091" customFormat="1" ht="29.25" customHeight="1" x14ac:dyDescent="0.3">
      <c r="A26" s="1088"/>
      <c r="B26" s="1089" t="s">
        <v>278</v>
      </c>
      <c r="C26" s="1090">
        <f t="shared" ref="C26:E26" si="19">SUM(C18:C24)</f>
        <v>895.06320000000005</v>
      </c>
      <c r="D26" s="1090">
        <f t="shared" si="19"/>
        <v>49362735.480000004</v>
      </c>
      <c r="E26" s="1164">
        <f t="shared" si="19"/>
        <v>49362.735480000003</v>
      </c>
      <c r="F26" s="1193"/>
      <c r="G26" s="1193"/>
      <c r="H26" s="1190"/>
      <c r="I26" s="1194"/>
      <c r="J26" s="1179"/>
      <c r="K26" s="1089" t="s">
        <v>278</v>
      </c>
      <c r="L26" s="1090">
        <f t="shared" ref="L26:N26" si="20">SUM(L18:L24)</f>
        <v>895.06320000000005</v>
      </c>
      <c r="M26" s="1090">
        <f t="shared" si="20"/>
        <v>36831850.68</v>
      </c>
      <c r="N26" s="1090">
        <f t="shared" si="20"/>
        <v>36831.850680000003</v>
      </c>
      <c r="P26" s="1194"/>
      <c r="Q26" s="1191"/>
      <c r="R26" s="1194"/>
      <c r="S26" s="1179"/>
      <c r="T26" s="1089" t="s">
        <v>278</v>
      </c>
      <c r="U26" s="1090">
        <f t="shared" ref="U26:W26" si="21">SUM(U18:U24)</f>
        <v>895.06320000000005</v>
      </c>
      <c r="V26" s="1090">
        <f t="shared" si="21"/>
        <v>1790126.4</v>
      </c>
      <c r="W26" s="1090">
        <f t="shared" si="21"/>
        <v>1790.1264000000001</v>
      </c>
      <c r="X26" s="1152"/>
      <c r="Y26" s="1193"/>
      <c r="Z26" s="1199"/>
      <c r="AA26" s="1193"/>
      <c r="AB26" s="1179"/>
      <c r="AC26" s="1089" t="s">
        <v>278</v>
      </c>
      <c r="AD26" s="1090">
        <f t="shared" ref="AD26:AF26" si="22">SUM(AD18:AD24)</f>
        <v>895.06320000000005</v>
      </c>
      <c r="AE26" s="1090">
        <f t="shared" si="22"/>
        <v>10740758.4</v>
      </c>
      <c r="AF26" s="1090">
        <f t="shared" si="22"/>
        <v>10740.758400000001</v>
      </c>
      <c r="AG26" s="1152"/>
      <c r="AH26" s="1193"/>
      <c r="AI26" s="1193"/>
      <c r="AJ26" s="1193"/>
      <c r="AK26" s="1222"/>
      <c r="AL26" s="1152"/>
      <c r="AM26" s="1193"/>
      <c r="AN26" s="1193"/>
      <c r="AO26" s="1193"/>
      <c r="AP26" s="1193"/>
      <c r="AQ26" s="1193"/>
      <c r="AR26" s="1193"/>
    </row>
    <row r="27" spans="1:44" ht="29.25" customHeight="1" x14ac:dyDescent="0.3">
      <c r="A27" s="1093"/>
      <c r="B27" s="1094" t="s">
        <v>279</v>
      </c>
      <c r="C27" s="1095">
        <f>C17+C26</f>
        <v>3858.8397000000004</v>
      </c>
      <c r="D27" s="1096">
        <f>D17+D26</f>
        <v>212815009.45500004</v>
      </c>
      <c r="E27" s="1165">
        <f t="shared" ref="E27" si="23">D27/1000</f>
        <v>212815.00945500005</v>
      </c>
      <c r="F27" s="1188"/>
      <c r="G27" s="1188"/>
      <c r="H27" s="1190"/>
      <c r="I27" s="1189"/>
      <c r="J27" s="1180"/>
      <c r="K27" s="1094" t="s">
        <v>279</v>
      </c>
      <c r="L27" s="1095">
        <f>L17+L26</f>
        <v>3858.8397000000004</v>
      </c>
      <c r="M27" s="1096">
        <f>M17+M26</f>
        <v>158791253.655</v>
      </c>
      <c r="N27" s="1097">
        <f t="shared" ref="N27" si="24">M27/1000</f>
        <v>158791.25365500001</v>
      </c>
      <c r="P27" s="1189"/>
      <c r="Q27" s="1191"/>
      <c r="R27" s="1189"/>
      <c r="S27" s="1180"/>
      <c r="T27" s="1094" t="s">
        <v>279</v>
      </c>
      <c r="U27" s="1095">
        <f>U17+U26</f>
        <v>3858.8397000000004</v>
      </c>
      <c r="V27" s="1096">
        <f>V17+V26</f>
        <v>7717679.4000000004</v>
      </c>
      <c r="W27" s="1097">
        <f t="shared" ref="W27" si="25">V27/1000</f>
        <v>7717.6794</v>
      </c>
      <c r="Y27" s="1188"/>
      <c r="Z27" s="1199"/>
      <c r="AA27" s="1188"/>
      <c r="AB27" s="1180"/>
      <c r="AC27" s="1094" t="s">
        <v>279</v>
      </c>
      <c r="AD27" s="1095">
        <f>AD17+AD26</f>
        <v>3858.8397000000004</v>
      </c>
      <c r="AE27" s="1096">
        <f>AE17+AE26</f>
        <v>46306076.399999999</v>
      </c>
      <c r="AF27" s="1097">
        <f t="shared" ref="AF27" si="26">AE27/1000</f>
        <v>46306.076399999998</v>
      </c>
      <c r="AH27" s="1188"/>
      <c r="AI27" s="1188"/>
      <c r="AJ27" s="1188"/>
      <c r="AM27" s="1188"/>
      <c r="AN27" s="1188"/>
      <c r="AO27" s="1188"/>
      <c r="AP27" s="1188"/>
      <c r="AQ27" s="1188"/>
      <c r="AR27" s="1188"/>
    </row>
    <row r="28" spans="1:44" ht="29.25" customHeight="1" x14ac:dyDescent="0.3">
      <c r="A28" s="1098"/>
      <c r="B28" s="1099"/>
      <c r="C28" s="1099">
        <f t="shared" ref="C28:E29" si="27">C10+C19</f>
        <v>1419.8264999999999</v>
      </c>
      <c r="D28" s="1099">
        <f t="shared" si="27"/>
        <v>78303431.474999994</v>
      </c>
      <c r="E28" s="1100">
        <f t="shared" si="27"/>
        <v>78303.43147499999</v>
      </c>
      <c r="F28" s="1188"/>
      <c r="G28" s="1188"/>
      <c r="H28" s="1190"/>
      <c r="I28" s="1189"/>
      <c r="J28" s="1181"/>
      <c r="K28" s="1099"/>
      <c r="L28" s="1099">
        <f t="shared" ref="L28:N28" si="28">L10+L19</f>
        <v>1419.8264999999999</v>
      </c>
      <c r="M28" s="1099">
        <f t="shared" si="28"/>
        <v>58425860.475000001</v>
      </c>
      <c r="N28" s="1099">
        <f t="shared" si="28"/>
        <v>58425.860475000001</v>
      </c>
      <c r="P28" s="1189"/>
      <c r="Q28" s="1191"/>
      <c r="R28" s="1189"/>
      <c r="S28" s="1181"/>
      <c r="T28" s="1099"/>
      <c r="U28" s="1099">
        <f t="shared" ref="U28:W28" si="29">U10+U19</f>
        <v>1419.8264999999999</v>
      </c>
      <c r="V28" s="1099">
        <f t="shared" si="29"/>
        <v>2839653</v>
      </c>
      <c r="W28" s="1099">
        <f t="shared" si="29"/>
        <v>2839.6529999999998</v>
      </c>
      <c r="Y28" s="1188"/>
      <c r="Z28" s="1199"/>
      <c r="AA28" s="1188"/>
      <c r="AB28" s="1181"/>
      <c r="AC28" s="1099"/>
      <c r="AD28" s="1099">
        <f t="shared" ref="AD28:AF28" si="30">AD10+AD19</f>
        <v>1419.8264999999999</v>
      </c>
      <c r="AE28" s="1099">
        <f t="shared" si="30"/>
        <v>17037918</v>
      </c>
      <c r="AF28" s="1099">
        <f t="shared" si="30"/>
        <v>17037.917999999998</v>
      </c>
      <c r="AH28" s="1188"/>
      <c r="AI28" s="1188"/>
      <c r="AJ28" s="1188"/>
      <c r="AM28" s="1188"/>
      <c r="AN28" s="1188"/>
      <c r="AO28" s="1188"/>
      <c r="AP28" s="1188"/>
      <c r="AQ28" s="1188"/>
      <c r="AR28" s="1188"/>
    </row>
    <row r="29" spans="1:44" ht="29.25" customHeight="1" x14ac:dyDescent="0.3">
      <c r="A29" s="1098"/>
      <c r="B29" s="1099"/>
      <c r="C29" s="1099">
        <f t="shared" si="27"/>
        <v>202.30080000000001</v>
      </c>
      <c r="D29" s="1099">
        <f t="shared" si="27"/>
        <v>11156889.120000001</v>
      </c>
      <c r="E29" s="1100">
        <f t="shared" si="27"/>
        <v>11156.88912</v>
      </c>
      <c r="F29" s="1188"/>
      <c r="G29" s="1188"/>
      <c r="H29" s="1190"/>
      <c r="I29" s="1189"/>
      <c r="J29" s="1181"/>
      <c r="K29" s="1099"/>
      <c r="L29" s="1099">
        <f t="shared" ref="L29:N29" si="31">L11+L20</f>
        <v>202.30080000000001</v>
      </c>
      <c r="M29" s="1099">
        <f t="shared" si="31"/>
        <v>8324677.9200000009</v>
      </c>
      <c r="N29" s="1099">
        <f t="shared" si="31"/>
        <v>8324.6779200000001</v>
      </c>
      <c r="P29" s="1189"/>
      <c r="Q29" s="1191"/>
      <c r="R29" s="1189"/>
      <c r="S29" s="1181"/>
      <c r="T29" s="1099"/>
      <c r="U29" s="1099">
        <f t="shared" ref="U29:W29" si="32">U11+U20</f>
        <v>202.30080000000001</v>
      </c>
      <c r="V29" s="1099">
        <f t="shared" si="32"/>
        <v>404601.59999999998</v>
      </c>
      <c r="W29" s="1099">
        <f t="shared" si="32"/>
        <v>404.60160000000002</v>
      </c>
      <c r="Y29" s="1188"/>
      <c r="Z29" s="1199"/>
      <c r="AA29" s="1188"/>
      <c r="AB29" s="1181"/>
      <c r="AC29" s="1099"/>
      <c r="AD29" s="1099">
        <f t="shared" ref="AD29:AF29" si="33">AD11+AD20</f>
        <v>202.30080000000001</v>
      </c>
      <c r="AE29" s="1099">
        <f t="shared" si="33"/>
        <v>2427609.6</v>
      </c>
      <c r="AF29" s="1099">
        <f t="shared" si="33"/>
        <v>2427.6095999999998</v>
      </c>
      <c r="AH29" s="1188"/>
      <c r="AI29" s="1188"/>
      <c r="AJ29" s="1188"/>
      <c r="AM29" s="1188"/>
      <c r="AN29" s="1188"/>
      <c r="AO29" s="1188"/>
      <c r="AP29" s="1188"/>
      <c r="AQ29" s="1188"/>
      <c r="AR29" s="1188"/>
    </row>
    <row r="30" spans="1:44" ht="29.25" customHeight="1" x14ac:dyDescent="0.3">
      <c r="A30" s="1098"/>
      <c r="B30" s="1100"/>
      <c r="C30" s="1101"/>
      <c r="D30" s="1101"/>
      <c r="E30" s="1101"/>
      <c r="F30" s="1188"/>
      <c r="G30" s="1188"/>
      <c r="H30" s="1190"/>
      <c r="I30" s="1189"/>
      <c r="J30" s="1181"/>
      <c r="K30" s="1100"/>
      <c r="L30" s="1101"/>
      <c r="M30" s="1101"/>
      <c r="N30" s="1101"/>
      <c r="P30" s="1189"/>
      <c r="Q30" s="1191"/>
      <c r="R30" s="1189"/>
      <c r="S30" s="1181"/>
      <c r="T30" s="1100"/>
      <c r="U30" s="1101"/>
      <c r="V30" s="1101"/>
      <c r="W30" s="1101"/>
      <c r="Y30" s="1188"/>
      <c r="Z30" s="1199"/>
      <c r="AA30" s="1188"/>
      <c r="AB30" s="1181"/>
      <c r="AC30" s="1100"/>
      <c r="AD30" s="1101"/>
      <c r="AE30" s="1101"/>
      <c r="AF30" s="1101"/>
      <c r="AH30" s="1188"/>
      <c r="AI30" s="1188"/>
      <c r="AJ30" s="1188"/>
      <c r="AM30" s="1188"/>
      <c r="AN30" s="1188"/>
      <c r="AO30" s="1188"/>
      <c r="AP30" s="1188"/>
      <c r="AQ30" s="1188"/>
      <c r="AR30" s="1188"/>
    </row>
    <row r="31" spans="1:44" ht="29.25" customHeight="1" x14ac:dyDescent="0.3">
      <c r="A31" s="1083" t="s">
        <v>280</v>
      </c>
      <c r="B31" s="1477" t="s">
        <v>281</v>
      </c>
      <c r="C31" s="1478"/>
      <c r="D31" s="1478"/>
      <c r="E31" s="1478">
        <f t="shared" ref="E31:E45" si="34">D31/1000</f>
        <v>0</v>
      </c>
      <c r="F31" s="1188"/>
      <c r="G31" s="1188"/>
      <c r="H31" s="1190"/>
      <c r="I31" s="1189"/>
      <c r="J31" s="1177" t="s">
        <v>280</v>
      </c>
      <c r="K31" s="1477" t="s">
        <v>281</v>
      </c>
      <c r="L31" s="1478"/>
      <c r="M31" s="1478"/>
      <c r="N31" s="1478">
        <f t="shared" ref="N31:N34" si="35">M31/1000</f>
        <v>0</v>
      </c>
      <c r="P31" s="1189"/>
      <c r="Q31" s="1191"/>
      <c r="R31" s="1189"/>
      <c r="S31" s="1177" t="s">
        <v>280</v>
      </c>
      <c r="T31" s="1477" t="s">
        <v>281</v>
      </c>
      <c r="U31" s="1478"/>
      <c r="V31" s="1478"/>
      <c r="W31" s="1478">
        <f t="shared" ref="W31:W34" si="36">V31/1000</f>
        <v>0</v>
      </c>
      <c r="Y31" s="1188"/>
      <c r="Z31" s="1199"/>
      <c r="AA31" s="1188"/>
      <c r="AB31" s="1177" t="s">
        <v>280</v>
      </c>
      <c r="AC31" s="1477" t="s">
        <v>281</v>
      </c>
      <c r="AD31" s="1478"/>
      <c r="AE31" s="1478"/>
      <c r="AF31" s="1478">
        <f t="shared" ref="AF31:AF34" si="37">AE31/1000</f>
        <v>0</v>
      </c>
      <c r="AH31" s="1188"/>
      <c r="AI31" s="1188"/>
      <c r="AJ31" s="1188"/>
      <c r="AM31" s="1188"/>
      <c r="AN31" s="1188"/>
      <c r="AO31" s="1188"/>
      <c r="AP31" s="1188"/>
      <c r="AQ31" s="1188"/>
      <c r="AR31" s="1188"/>
    </row>
    <row r="32" spans="1:44" ht="29.25" customHeight="1" x14ac:dyDescent="0.3">
      <c r="A32" s="1084" t="s">
        <v>274</v>
      </c>
      <c r="B32" s="1102" t="s">
        <v>282</v>
      </c>
      <c r="C32" s="1104"/>
      <c r="D32" s="1103">
        <v>12631608</v>
      </c>
      <c r="E32" s="1166">
        <f t="shared" si="34"/>
        <v>12631.608</v>
      </c>
      <c r="F32" s="1188">
        <v>340</v>
      </c>
      <c r="G32" s="1190">
        <f>D37</f>
        <v>24233484.440023161</v>
      </c>
      <c r="H32" s="1190">
        <f>13818675.92+8364833.09</f>
        <v>22183509.009999998</v>
      </c>
      <c r="I32" s="1191">
        <f>G32-H32</f>
        <v>2049975.4300231636</v>
      </c>
      <c r="J32" s="1178" t="s">
        <v>274</v>
      </c>
      <c r="K32" s="1102" t="s">
        <v>282</v>
      </c>
      <c r="L32" s="1104"/>
      <c r="M32" s="1103">
        <v>12631608</v>
      </c>
      <c r="N32" s="1103">
        <f t="shared" si="35"/>
        <v>12631.608</v>
      </c>
      <c r="O32" s="1076">
        <v>340</v>
      </c>
      <c r="P32" s="1191">
        <f>M37</f>
        <v>18081738.616626531</v>
      </c>
      <c r="Q32" s="1191">
        <f>13818675.92-Z32</f>
        <v>10222337.699999999</v>
      </c>
      <c r="R32" s="1189"/>
      <c r="S32" s="1178" t="s">
        <v>274</v>
      </c>
      <c r="T32" s="1102" t="s">
        <v>282</v>
      </c>
      <c r="U32" s="1104"/>
      <c r="V32" s="1103">
        <v>12631608</v>
      </c>
      <c r="W32" s="1103">
        <f t="shared" si="36"/>
        <v>12631.608</v>
      </c>
      <c r="X32" s="1150">
        <v>340</v>
      </c>
      <c r="Y32" s="1190">
        <f>V37</f>
        <v>878820.83191380464</v>
      </c>
      <c r="Z32" s="1199">
        <v>3596338.22</v>
      </c>
      <c r="AA32" s="1188"/>
      <c r="AB32" s="1178" t="s">
        <v>274</v>
      </c>
      <c r="AC32" s="1102" t="s">
        <v>282</v>
      </c>
      <c r="AD32" s="1104"/>
      <c r="AE32" s="1103">
        <v>12631608</v>
      </c>
      <c r="AF32" s="1103">
        <f t="shared" si="37"/>
        <v>12631.608</v>
      </c>
      <c r="AG32" s="1150">
        <v>340</v>
      </c>
      <c r="AH32" s="1190">
        <f>AE37</f>
        <v>5272924.9914828278</v>
      </c>
      <c r="AI32" s="1190">
        <v>8364833.0899999999</v>
      </c>
      <c r="AJ32" s="1188"/>
      <c r="AK32" s="1149" t="b">
        <f>AN32=G32</f>
        <v>1</v>
      </c>
      <c r="AL32" s="1150">
        <v>340</v>
      </c>
      <c r="AM32" s="1190"/>
      <c r="AN32" s="1190">
        <f>P32+Y32+AH32</f>
        <v>24233484.440023165</v>
      </c>
      <c r="AO32" s="1190"/>
      <c r="AP32" s="1190">
        <f>Q32+Z32+AI32</f>
        <v>22183509.009999998</v>
      </c>
      <c r="AQ32" s="1188"/>
      <c r="AR32" s="1188"/>
    </row>
    <row r="33" spans="1:44" ht="29.25" customHeight="1" x14ac:dyDescent="0.3">
      <c r="A33" s="1084" t="s">
        <v>276</v>
      </c>
      <c r="B33" s="1102" t="s">
        <v>283</v>
      </c>
      <c r="C33" s="1104"/>
      <c r="D33" s="1103">
        <v>2252957.2736</v>
      </c>
      <c r="E33" s="1166">
        <f t="shared" si="34"/>
        <v>2252.9572736</v>
      </c>
      <c r="F33" s="1188"/>
      <c r="G33" s="1188"/>
      <c r="H33" s="1190"/>
      <c r="I33" s="1189"/>
      <c r="J33" s="1178" t="s">
        <v>276</v>
      </c>
      <c r="K33" s="1102" t="s">
        <v>283</v>
      </c>
      <c r="L33" s="1104"/>
      <c r="M33" s="1103">
        <v>2252957.2736</v>
      </c>
      <c r="N33" s="1103">
        <f t="shared" si="35"/>
        <v>2252.9572736</v>
      </c>
      <c r="P33" s="1189"/>
      <c r="Q33" s="1191"/>
      <c r="R33" s="1189"/>
      <c r="S33" s="1178" t="s">
        <v>276</v>
      </c>
      <c r="T33" s="1102" t="s">
        <v>283</v>
      </c>
      <c r="U33" s="1104"/>
      <c r="V33" s="1103">
        <v>2252957.2736</v>
      </c>
      <c r="W33" s="1103">
        <f t="shared" si="36"/>
        <v>2252.9572736</v>
      </c>
      <c r="Y33" s="1188"/>
      <c r="Z33" s="1199"/>
      <c r="AA33" s="1188"/>
      <c r="AB33" s="1178" t="s">
        <v>276</v>
      </c>
      <c r="AC33" s="1102" t="s">
        <v>283</v>
      </c>
      <c r="AD33" s="1104"/>
      <c r="AE33" s="1103">
        <v>2252957.2736</v>
      </c>
      <c r="AF33" s="1103">
        <f t="shared" si="37"/>
        <v>2252.9572736</v>
      </c>
      <c r="AH33" s="1188"/>
      <c r="AI33" s="1188"/>
      <c r="AJ33" s="1188"/>
      <c r="AM33" s="1188"/>
      <c r="AN33" s="1188"/>
      <c r="AO33" s="1188"/>
      <c r="AP33" s="1188"/>
      <c r="AQ33" s="1188"/>
      <c r="AR33" s="1188"/>
    </row>
    <row r="34" spans="1:44" ht="29.25" customHeight="1" x14ac:dyDescent="0.3">
      <c r="A34" s="1084" t="s">
        <v>284</v>
      </c>
      <c r="B34" s="1102" t="s">
        <v>285</v>
      </c>
      <c r="C34" s="1104"/>
      <c r="D34" s="1103">
        <v>1389760.2572999999</v>
      </c>
      <c r="E34" s="1166">
        <f t="shared" si="34"/>
        <v>1389.7602572999999</v>
      </c>
      <c r="F34" s="1188"/>
      <c r="G34" s="1188"/>
      <c r="H34" s="1190"/>
      <c r="I34" s="1189"/>
      <c r="J34" s="1178" t="s">
        <v>284</v>
      </c>
      <c r="K34" s="1102" t="s">
        <v>285</v>
      </c>
      <c r="L34" s="1104"/>
      <c r="M34" s="1103">
        <v>1389760.2572999999</v>
      </c>
      <c r="N34" s="1103">
        <f t="shared" si="35"/>
        <v>1389.7602572999999</v>
      </c>
      <c r="P34" s="1189"/>
      <c r="Q34" s="1191"/>
      <c r="R34" s="1189"/>
      <c r="S34" s="1178" t="s">
        <v>284</v>
      </c>
      <c r="T34" s="1102" t="s">
        <v>285</v>
      </c>
      <c r="U34" s="1104"/>
      <c r="V34" s="1103">
        <v>1389760.2572999999</v>
      </c>
      <c r="W34" s="1103">
        <f t="shared" si="36"/>
        <v>1389.7602572999999</v>
      </c>
      <c r="Y34" s="1188"/>
      <c r="Z34" s="1199"/>
      <c r="AA34" s="1188"/>
      <c r="AB34" s="1178" t="s">
        <v>284</v>
      </c>
      <c r="AC34" s="1102" t="s">
        <v>285</v>
      </c>
      <c r="AD34" s="1104"/>
      <c r="AE34" s="1103">
        <v>1389760.2572999999</v>
      </c>
      <c r="AF34" s="1103">
        <f t="shared" si="37"/>
        <v>1389.7602572999999</v>
      </c>
      <c r="AH34" s="1188"/>
      <c r="AI34" s="1188"/>
      <c r="AJ34" s="1188"/>
      <c r="AM34" s="1188"/>
      <c r="AN34" s="1188"/>
      <c r="AO34" s="1188"/>
      <c r="AP34" s="1188"/>
      <c r="AQ34" s="1188"/>
      <c r="AR34" s="1188"/>
    </row>
    <row r="35" spans="1:44" ht="29.25" customHeight="1" x14ac:dyDescent="0.3">
      <c r="A35" s="1084" t="s">
        <v>291</v>
      </c>
      <c r="B35" s="1102" t="s">
        <v>292</v>
      </c>
      <c r="C35" s="1106">
        <v>22.910299999999999</v>
      </c>
      <c r="D35" s="1103">
        <f>C35*D5</f>
        <v>1263503.0449999999</v>
      </c>
      <c r="E35" s="1166">
        <f>D35/1000</f>
        <v>1263.5030449999999</v>
      </c>
      <c r="F35" s="1188"/>
      <c r="G35" s="1188"/>
      <c r="H35" s="1190"/>
      <c r="I35" s="1189"/>
      <c r="J35" s="1178" t="s">
        <v>291</v>
      </c>
      <c r="K35" s="1102" t="s">
        <v>292</v>
      </c>
      <c r="L35" s="1106">
        <v>22.910299999999999</v>
      </c>
      <c r="M35" s="1103">
        <f>L35*M5</f>
        <v>942758.84499999997</v>
      </c>
      <c r="N35" s="1103">
        <f>M35/1000</f>
        <v>942.75884499999995</v>
      </c>
      <c r="P35" s="1189"/>
      <c r="Q35" s="1191"/>
      <c r="R35" s="1189"/>
      <c r="S35" s="1178" t="s">
        <v>291</v>
      </c>
      <c r="T35" s="1102" t="s">
        <v>292</v>
      </c>
      <c r="U35" s="1106">
        <v>22.910299999999999</v>
      </c>
      <c r="V35" s="1103">
        <f>U35*V5</f>
        <v>45820.6</v>
      </c>
      <c r="W35" s="1103">
        <f>V35/1000</f>
        <v>45.820599999999999</v>
      </c>
      <c r="Y35" s="1188"/>
      <c r="Z35" s="1199"/>
      <c r="AA35" s="1188"/>
      <c r="AB35" s="1178" t="s">
        <v>291</v>
      </c>
      <c r="AC35" s="1102" t="s">
        <v>292</v>
      </c>
      <c r="AD35" s="1106">
        <v>22.910299999999999</v>
      </c>
      <c r="AE35" s="1103">
        <f>AD35*AE5</f>
        <v>274923.59999999998</v>
      </c>
      <c r="AF35" s="1103">
        <f>AE35/1000</f>
        <v>274.92359999999996</v>
      </c>
      <c r="AH35" s="1188"/>
      <c r="AI35" s="1188"/>
      <c r="AJ35" s="1188"/>
      <c r="AM35" s="1188"/>
      <c r="AN35" s="1188"/>
      <c r="AO35" s="1188"/>
      <c r="AP35" s="1188"/>
      <c r="AQ35" s="1188"/>
      <c r="AR35" s="1188"/>
    </row>
    <row r="36" spans="1:44" ht="29.25" customHeight="1" x14ac:dyDescent="0.3">
      <c r="A36" s="1107"/>
      <c r="B36" s="1108" t="s">
        <v>976</v>
      </c>
      <c r="C36" s="1106">
        <v>416.50011595690233</v>
      </c>
      <c r="D36" s="1110">
        <f>C36*D5</f>
        <v>22969981.395023163</v>
      </c>
      <c r="E36" s="1167">
        <f t="shared" si="34"/>
        <v>22969.981395023162</v>
      </c>
      <c r="F36" s="1188"/>
      <c r="G36" s="1188"/>
      <c r="H36" s="1190"/>
      <c r="I36" s="1189"/>
      <c r="J36" s="1107"/>
      <c r="K36" s="1108" t="s">
        <v>976</v>
      </c>
      <c r="L36" s="1106">
        <v>416.50011595690233</v>
      </c>
      <c r="M36" s="1110">
        <f>L36*M5</f>
        <v>17138979.771626532</v>
      </c>
      <c r="N36" s="1110">
        <f t="shared" ref="N36:N38" si="38">M36/1000</f>
        <v>17138.979771626531</v>
      </c>
      <c r="P36" s="1189"/>
      <c r="Q36" s="1191"/>
      <c r="R36" s="1189"/>
      <c r="S36" s="1107"/>
      <c r="T36" s="1108" t="s">
        <v>976</v>
      </c>
      <c r="U36" s="1106">
        <v>416.50011595690233</v>
      </c>
      <c r="V36" s="1110">
        <f>U36*V5</f>
        <v>833000.23191380466</v>
      </c>
      <c r="W36" s="1110">
        <f t="shared" ref="W36:W38" si="39">V36/1000</f>
        <v>833.00023191380467</v>
      </c>
      <c r="Y36" s="1188"/>
      <c r="Z36" s="1199"/>
      <c r="AA36" s="1188"/>
      <c r="AB36" s="1107"/>
      <c r="AC36" s="1108" t="s">
        <v>976</v>
      </c>
      <c r="AD36" s="1106">
        <v>416.50011595690233</v>
      </c>
      <c r="AE36" s="1110">
        <f>AD36*AE5</f>
        <v>4998001.3914828282</v>
      </c>
      <c r="AF36" s="1110">
        <f t="shared" ref="AF36:AF38" si="40">AE36/1000</f>
        <v>4998.0013914828278</v>
      </c>
      <c r="AH36" s="1188"/>
      <c r="AI36" s="1188"/>
      <c r="AJ36" s="1188"/>
      <c r="AM36" s="1188"/>
      <c r="AN36" s="1188"/>
      <c r="AO36" s="1188"/>
      <c r="AP36" s="1188"/>
      <c r="AQ36" s="1188"/>
      <c r="AR36" s="1188"/>
    </row>
    <row r="37" spans="1:44" ht="29.25" customHeight="1" x14ac:dyDescent="0.3">
      <c r="A37" s="1107"/>
      <c r="B37" s="1108" t="s">
        <v>638</v>
      </c>
      <c r="C37" s="1109">
        <f>C36+C35</f>
        <v>439.41041595690234</v>
      </c>
      <c r="D37" s="1110">
        <f>D36+D35</f>
        <v>24233484.440023161</v>
      </c>
      <c r="E37" s="1167">
        <f t="shared" si="34"/>
        <v>24233.484440023163</v>
      </c>
      <c r="F37" s="1188"/>
      <c r="G37" s="1188"/>
      <c r="H37" s="1190"/>
      <c r="I37" s="1189"/>
      <c r="J37" s="1107"/>
      <c r="K37" s="1108" t="s">
        <v>638</v>
      </c>
      <c r="L37" s="1109">
        <f>L36+L35</f>
        <v>439.41041595690234</v>
      </c>
      <c r="M37" s="1110">
        <f>M36+M35</f>
        <v>18081738.616626531</v>
      </c>
      <c r="N37" s="1110">
        <f t="shared" si="38"/>
        <v>18081.738616626531</v>
      </c>
      <c r="P37" s="1189"/>
      <c r="Q37" s="1191"/>
      <c r="R37" s="1189"/>
      <c r="S37" s="1107"/>
      <c r="T37" s="1108" t="s">
        <v>638</v>
      </c>
      <c r="U37" s="1109">
        <f>U36+U35</f>
        <v>439.41041595690234</v>
      </c>
      <c r="V37" s="1110">
        <f>V36+V35</f>
        <v>878820.83191380464</v>
      </c>
      <c r="W37" s="1110">
        <f t="shared" si="39"/>
        <v>878.82083191380468</v>
      </c>
      <c r="Y37" s="1188"/>
      <c r="Z37" s="1199"/>
      <c r="AA37" s="1188"/>
      <c r="AB37" s="1107"/>
      <c r="AC37" s="1108" t="s">
        <v>638</v>
      </c>
      <c r="AD37" s="1109">
        <f>AD36+AD35</f>
        <v>439.41041595690234</v>
      </c>
      <c r="AE37" s="1110">
        <f>AE36+AE35</f>
        <v>5272924.9914828278</v>
      </c>
      <c r="AF37" s="1110">
        <f t="shared" si="40"/>
        <v>5272.9249914828279</v>
      </c>
      <c r="AH37" s="1188"/>
      <c r="AI37" s="1188"/>
      <c r="AJ37" s="1188"/>
      <c r="AM37" s="1188"/>
      <c r="AN37" s="1188"/>
      <c r="AO37" s="1188"/>
      <c r="AP37" s="1188"/>
      <c r="AQ37" s="1188"/>
      <c r="AR37" s="1188"/>
    </row>
    <row r="38" spans="1:44" ht="29.25" customHeight="1" x14ac:dyDescent="0.3">
      <c r="A38" s="1084" t="s">
        <v>287</v>
      </c>
      <c r="B38" s="1102" t="s">
        <v>288</v>
      </c>
      <c r="C38" s="1106">
        <f t="shared" ref="C38" si="41">D38/$D$5</f>
        <v>0</v>
      </c>
      <c r="D38" s="1111"/>
      <c r="E38" s="1168">
        <f t="shared" si="34"/>
        <v>0</v>
      </c>
      <c r="F38" s="1188"/>
      <c r="G38" s="1188"/>
      <c r="H38" s="1190"/>
      <c r="I38" s="1189"/>
      <c r="J38" s="1178" t="s">
        <v>287</v>
      </c>
      <c r="K38" s="1102" t="s">
        <v>288</v>
      </c>
      <c r="L38" s="1106">
        <f t="shared" ref="L38" si="42">M38/$D$5</f>
        <v>0</v>
      </c>
      <c r="M38" s="1111"/>
      <c r="N38" s="1111">
        <f t="shared" si="38"/>
        <v>0</v>
      </c>
      <c r="P38" s="1189"/>
      <c r="Q38" s="1191"/>
      <c r="R38" s="1189"/>
      <c r="S38" s="1178" t="s">
        <v>287</v>
      </c>
      <c r="T38" s="1102" t="s">
        <v>288</v>
      </c>
      <c r="U38" s="1106">
        <f t="shared" ref="U38" si="43">V38/$D$5</f>
        <v>0</v>
      </c>
      <c r="V38" s="1111"/>
      <c r="W38" s="1111">
        <f t="shared" si="39"/>
        <v>0</v>
      </c>
      <c r="Y38" s="1188"/>
      <c r="Z38" s="1199"/>
      <c r="AA38" s="1188"/>
      <c r="AB38" s="1178" t="s">
        <v>287</v>
      </c>
      <c r="AC38" s="1102" t="s">
        <v>288</v>
      </c>
      <c r="AD38" s="1106">
        <f t="shared" ref="AD38" si="44">AE38/$D$5</f>
        <v>0</v>
      </c>
      <c r="AE38" s="1111"/>
      <c r="AF38" s="1111">
        <f t="shared" si="40"/>
        <v>0</v>
      </c>
      <c r="AH38" s="1188"/>
      <c r="AI38" s="1188"/>
      <c r="AJ38" s="1188"/>
      <c r="AM38" s="1188"/>
      <c r="AN38" s="1188"/>
      <c r="AO38" s="1188"/>
      <c r="AP38" s="1188"/>
      <c r="AQ38" s="1188"/>
      <c r="AR38" s="1188"/>
    </row>
    <row r="39" spans="1:44" s="1079" customFormat="1" ht="29.25" customHeight="1" x14ac:dyDescent="0.3">
      <c r="A39" s="1227" t="s">
        <v>289</v>
      </c>
      <c r="B39" s="1111" t="s">
        <v>290</v>
      </c>
      <c r="C39" s="1086">
        <v>58.831300000000006</v>
      </c>
      <c r="D39" s="1087">
        <f>C39*D5</f>
        <v>3244546.1950000003</v>
      </c>
      <c r="E39" s="1163">
        <f>D39/1000</f>
        <v>3244.5461950000004</v>
      </c>
      <c r="F39" s="1228">
        <v>310</v>
      </c>
      <c r="G39" s="1229">
        <f>D39+D42+D75+D65</f>
        <v>8276854.0155968694</v>
      </c>
      <c r="H39" s="1229">
        <v>2019992.7</v>
      </c>
      <c r="I39" s="1230">
        <f>G39-H39</f>
        <v>6256861.3155968692</v>
      </c>
      <c r="J39" s="1231" t="s">
        <v>289</v>
      </c>
      <c r="K39" s="1111" t="s">
        <v>290</v>
      </c>
      <c r="L39" s="1086">
        <v>58.831300000000006</v>
      </c>
      <c r="M39" s="1087">
        <f>L39*M5</f>
        <v>2420907.9950000001</v>
      </c>
      <c r="N39" s="1087">
        <f>M39/1000</f>
        <v>2420.907995</v>
      </c>
      <c r="O39" s="1079">
        <v>310</v>
      </c>
      <c r="P39" s="1230">
        <f>M39+M42+M65+M75</f>
        <v>6175748.7351189693</v>
      </c>
      <c r="Q39" s="1230">
        <f>1247751.54-Z39</f>
        <v>915737.73</v>
      </c>
      <c r="R39" s="1232"/>
      <c r="S39" s="1231" t="s">
        <v>289</v>
      </c>
      <c r="T39" s="1111" t="s">
        <v>290</v>
      </c>
      <c r="U39" s="1086">
        <v>58.831300000000006</v>
      </c>
      <c r="V39" s="1087">
        <f>U39*V5</f>
        <v>117662.6</v>
      </c>
      <c r="W39" s="1087">
        <f>V39/1000</f>
        <v>117.66260000000001</v>
      </c>
      <c r="X39" s="1233">
        <v>310</v>
      </c>
      <c r="Y39" s="1230">
        <f>V39+V42+V65+V75</f>
        <v>300157.89721112855</v>
      </c>
      <c r="Z39" s="1229">
        <v>332013.81</v>
      </c>
      <c r="AA39" s="1228"/>
      <c r="AB39" s="1231" t="s">
        <v>289</v>
      </c>
      <c r="AC39" s="1111" t="s">
        <v>290</v>
      </c>
      <c r="AD39" s="1086">
        <v>58.831300000000006</v>
      </c>
      <c r="AE39" s="1087">
        <f>AD39*AE5</f>
        <v>705975.60000000009</v>
      </c>
      <c r="AF39" s="1087">
        <f>AE39/1000</f>
        <v>705.9756000000001</v>
      </c>
      <c r="AG39" s="1233">
        <v>310</v>
      </c>
      <c r="AH39" s="1230">
        <f>AE39+AE42+AE65+AE75</f>
        <v>1800947.3832667712</v>
      </c>
      <c r="AI39" s="1228">
        <v>772241.16</v>
      </c>
      <c r="AJ39" s="1228"/>
      <c r="AK39" s="1234" t="b">
        <f>AN39=G39</f>
        <v>1</v>
      </c>
      <c r="AL39" s="1233">
        <v>310</v>
      </c>
      <c r="AM39" s="1229"/>
      <c r="AN39" s="1229">
        <f>P39+Y39+AH39</f>
        <v>8276854.0155968694</v>
      </c>
      <c r="AO39" s="1229"/>
      <c r="AP39" s="1229">
        <f>Q39+Z39+AI39</f>
        <v>2019992.7000000002</v>
      </c>
      <c r="AQ39" s="1228"/>
      <c r="AR39" s="1228"/>
    </row>
    <row r="40" spans="1:44" ht="29.25" customHeight="1" x14ac:dyDescent="0.3">
      <c r="A40" s="1112"/>
      <c r="B40" s="1113" t="s">
        <v>977</v>
      </c>
      <c r="C40" s="1114">
        <f>C39</f>
        <v>58.831300000000006</v>
      </c>
      <c r="D40" s="1115">
        <f t="shared" ref="D40:E40" si="45">D39</f>
        <v>3244546.1950000003</v>
      </c>
      <c r="E40" s="1115">
        <f t="shared" si="45"/>
        <v>3244.5461950000004</v>
      </c>
      <c r="F40" s="1188"/>
      <c r="G40" s="1188"/>
      <c r="H40" s="1190"/>
      <c r="I40" s="1189"/>
      <c r="J40" s="1112"/>
      <c r="K40" s="1113" t="s">
        <v>977</v>
      </c>
      <c r="L40" s="1114">
        <f>L39</f>
        <v>58.831300000000006</v>
      </c>
      <c r="M40" s="1115">
        <f t="shared" ref="M40:N40" si="46">M39</f>
        <v>2420907.9950000001</v>
      </c>
      <c r="N40" s="1115">
        <f t="shared" si="46"/>
        <v>2420.907995</v>
      </c>
      <c r="P40" s="1189"/>
      <c r="Q40" s="1191"/>
      <c r="R40" s="1189"/>
      <c r="S40" s="1112"/>
      <c r="T40" s="1113" t="s">
        <v>977</v>
      </c>
      <c r="U40" s="1114">
        <f>U39</f>
        <v>58.831300000000006</v>
      </c>
      <c r="V40" s="1115">
        <f t="shared" ref="V40:W40" si="47">V39</f>
        <v>117662.6</v>
      </c>
      <c r="W40" s="1115">
        <f t="shared" si="47"/>
        <v>117.66260000000001</v>
      </c>
      <c r="Y40" s="1188"/>
      <c r="Z40" s="1199"/>
      <c r="AA40" s="1188"/>
      <c r="AB40" s="1112"/>
      <c r="AC40" s="1113" t="s">
        <v>977</v>
      </c>
      <c r="AD40" s="1114">
        <f>AD39</f>
        <v>58.831300000000006</v>
      </c>
      <c r="AE40" s="1115">
        <f t="shared" ref="AE40:AF40" si="48">AE39</f>
        <v>705975.60000000009</v>
      </c>
      <c r="AF40" s="1115">
        <f t="shared" si="48"/>
        <v>705.9756000000001</v>
      </c>
      <c r="AH40" s="1188"/>
      <c r="AI40" s="1188"/>
      <c r="AJ40" s="1188"/>
      <c r="AM40" s="1188"/>
      <c r="AN40" s="1188"/>
      <c r="AO40" s="1188"/>
      <c r="AP40" s="1188"/>
      <c r="AQ40" s="1188"/>
      <c r="AR40" s="1188"/>
    </row>
    <row r="41" spans="1:44" ht="29.25" customHeight="1" x14ac:dyDescent="0.3">
      <c r="F41" s="1188"/>
      <c r="G41" s="1188"/>
      <c r="H41" s="1190"/>
      <c r="I41" s="1189"/>
      <c r="J41" s="1077"/>
      <c r="K41" s="1143"/>
      <c r="L41" s="1079"/>
      <c r="M41" s="1079"/>
      <c r="N41" s="1079"/>
      <c r="P41" s="1189"/>
      <c r="Q41" s="1191"/>
      <c r="R41" s="1189"/>
      <c r="S41" s="1077"/>
      <c r="T41" s="1143"/>
      <c r="U41" s="1079"/>
      <c r="V41" s="1079"/>
      <c r="W41" s="1079"/>
      <c r="Y41" s="1188"/>
      <c r="Z41" s="1199"/>
      <c r="AA41" s="1188"/>
      <c r="AB41" s="1077"/>
      <c r="AC41" s="1143"/>
      <c r="AD41" s="1079"/>
      <c r="AE41" s="1079"/>
      <c r="AF41" s="1079"/>
      <c r="AH41" s="1188"/>
      <c r="AI41" s="1188"/>
      <c r="AJ41" s="1188"/>
      <c r="AM41" s="1188"/>
      <c r="AN41" s="1188"/>
      <c r="AO41" s="1188"/>
      <c r="AP41" s="1188"/>
      <c r="AQ41" s="1188"/>
      <c r="AR41" s="1188"/>
    </row>
    <row r="42" spans="1:44" ht="29.25" customHeight="1" x14ac:dyDescent="0.3">
      <c r="A42" s="1084" t="s">
        <v>639</v>
      </c>
      <c r="B42" s="1102" t="s">
        <v>331</v>
      </c>
      <c r="C42" s="1106">
        <v>41.424900000000001</v>
      </c>
      <c r="D42" s="1103">
        <f>C42*D5</f>
        <v>2284583.2349999999</v>
      </c>
      <c r="E42" s="1166">
        <f t="shared" si="34"/>
        <v>2284.5832350000001</v>
      </c>
      <c r="F42" s="1188"/>
      <c r="G42" s="1190"/>
      <c r="H42" s="1190"/>
      <c r="I42" s="1189"/>
      <c r="J42" s="1178" t="s">
        <v>639</v>
      </c>
      <c r="K42" s="1102" t="s">
        <v>331</v>
      </c>
      <c r="L42" s="1106">
        <v>41.424900000000001</v>
      </c>
      <c r="M42" s="1103">
        <f>L42*M5</f>
        <v>1704634.635</v>
      </c>
      <c r="N42" s="1103">
        <f t="shared" ref="N42" si="49">M42/1000</f>
        <v>1704.6346350000001</v>
      </c>
      <c r="P42" s="1191"/>
      <c r="Q42" s="1191"/>
      <c r="R42" s="1189"/>
      <c r="S42" s="1178" t="s">
        <v>639</v>
      </c>
      <c r="T42" s="1102" t="s">
        <v>331</v>
      </c>
      <c r="U42" s="1106">
        <v>41.424900000000001</v>
      </c>
      <c r="V42" s="1103">
        <f>U42*V5</f>
        <v>82849.8</v>
      </c>
      <c r="W42" s="1103">
        <f t="shared" ref="W42" si="50">V42/1000</f>
        <v>82.849800000000002</v>
      </c>
      <c r="Y42" s="1190"/>
      <c r="Z42" s="1199"/>
      <c r="AA42" s="1188"/>
      <c r="AB42" s="1178" t="s">
        <v>639</v>
      </c>
      <c r="AC42" s="1102" t="s">
        <v>331</v>
      </c>
      <c r="AD42" s="1106">
        <v>41.424900000000001</v>
      </c>
      <c r="AE42" s="1103">
        <f>AD42*AE5</f>
        <v>497098.8</v>
      </c>
      <c r="AF42" s="1103">
        <f t="shared" ref="AF42" si="51">AE42/1000</f>
        <v>497.09879999999998</v>
      </c>
      <c r="AH42" s="1190"/>
      <c r="AI42" s="1188"/>
      <c r="AJ42" s="1188"/>
      <c r="AM42" s="1190"/>
      <c r="AN42" s="1190"/>
      <c r="AO42" s="1190"/>
      <c r="AP42" s="1188"/>
      <c r="AQ42" s="1188"/>
      <c r="AR42" s="1188"/>
    </row>
    <row r="43" spans="1:44" s="1091" customFormat="1" ht="29.25" customHeight="1" x14ac:dyDescent="0.3">
      <c r="A43" s="1084"/>
      <c r="B43" s="1108" t="s">
        <v>978</v>
      </c>
      <c r="C43" s="1109">
        <f>C39+C42</f>
        <v>100.25620000000001</v>
      </c>
      <c r="D43" s="1110">
        <f>D39+D42</f>
        <v>5529129.4299999997</v>
      </c>
      <c r="E43" s="1167">
        <f>D43/1000</f>
        <v>5529.12943</v>
      </c>
      <c r="F43" s="1193"/>
      <c r="G43" s="1193"/>
      <c r="H43" s="1190"/>
      <c r="I43" s="1194"/>
      <c r="J43" s="1178"/>
      <c r="K43" s="1108" t="s">
        <v>978</v>
      </c>
      <c r="L43" s="1109">
        <f>L39+L42</f>
        <v>100.25620000000001</v>
      </c>
      <c r="M43" s="1110">
        <f>M39+M42</f>
        <v>4125542.63</v>
      </c>
      <c r="N43" s="1110">
        <f>M43/1000</f>
        <v>4125.5426299999999</v>
      </c>
      <c r="P43" s="1194"/>
      <c r="Q43" s="1191"/>
      <c r="R43" s="1194"/>
      <c r="S43" s="1178"/>
      <c r="T43" s="1108" t="s">
        <v>978</v>
      </c>
      <c r="U43" s="1109">
        <f>U39+U42</f>
        <v>100.25620000000001</v>
      </c>
      <c r="V43" s="1110">
        <f>V39+V42</f>
        <v>200512.40000000002</v>
      </c>
      <c r="W43" s="1110">
        <f>V43/1000</f>
        <v>200.51240000000001</v>
      </c>
      <c r="X43" s="1152"/>
      <c r="Y43" s="1193"/>
      <c r="Z43" s="1199"/>
      <c r="AA43" s="1193"/>
      <c r="AB43" s="1178"/>
      <c r="AC43" s="1108" t="s">
        <v>978</v>
      </c>
      <c r="AD43" s="1109">
        <f>AD39+AD42</f>
        <v>100.25620000000001</v>
      </c>
      <c r="AE43" s="1110">
        <f>AE39+AE42</f>
        <v>1203074.4000000001</v>
      </c>
      <c r="AF43" s="1110">
        <f>AE43/1000</f>
        <v>1203.0744000000002</v>
      </c>
      <c r="AG43" s="1152"/>
      <c r="AH43" s="1193"/>
      <c r="AI43" s="1193"/>
      <c r="AJ43" s="1193"/>
      <c r="AK43" s="1222"/>
      <c r="AL43" s="1152"/>
      <c r="AM43" s="1193"/>
      <c r="AN43" s="1193"/>
      <c r="AO43" s="1193"/>
      <c r="AP43" s="1193"/>
      <c r="AQ43" s="1193"/>
      <c r="AR43" s="1193"/>
    </row>
    <row r="44" spans="1:44" s="1120" customFormat="1" ht="29.25" customHeight="1" x14ac:dyDescent="0.3">
      <c r="A44" s="1084"/>
      <c r="B44" s="1116" t="s">
        <v>979</v>
      </c>
      <c r="C44" s="1117">
        <f>C37+C40</f>
        <v>498.24171595690234</v>
      </c>
      <c r="D44" s="1118">
        <f>D37+D43</f>
        <v>29762613.870023161</v>
      </c>
      <c r="E44" s="1169">
        <f>D44/1000</f>
        <v>29762.61387002316</v>
      </c>
      <c r="F44" s="1195"/>
      <c r="G44" s="1195"/>
      <c r="H44" s="1190"/>
      <c r="I44" s="1196"/>
      <c r="J44" s="1178"/>
      <c r="K44" s="1116" t="s">
        <v>979</v>
      </c>
      <c r="L44" s="1117">
        <f>L37+L40</f>
        <v>498.24171595690234</v>
      </c>
      <c r="M44" s="1118">
        <f>M37+M43</f>
        <v>22207281.24662653</v>
      </c>
      <c r="N44" s="1118">
        <f>M44/1000</f>
        <v>22207.281246626531</v>
      </c>
      <c r="P44" s="1196"/>
      <c r="Q44" s="1191"/>
      <c r="R44" s="1196"/>
      <c r="S44" s="1178"/>
      <c r="T44" s="1116" t="s">
        <v>979</v>
      </c>
      <c r="U44" s="1117">
        <f>U37+U40</f>
        <v>498.24171595690234</v>
      </c>
      <c r="V44" s="1118">
        <f>V37+V43</f>
        <v>1079333.2319138045</v>
      </c>
      <c r="W44" s="1118">
        <f>V44/1000</f>
        <v>1079.3332319138046</v>
      </c>
      <c r="X44" s="1153"/>
      <c r="Y44" s="1195"/>
      <c r="Z44" s="1199"/>
      <c r="AA44" s="1195"/>
      <c r="AB44" s="1178"/>
      <c r="AC44" s="1116" t="s">
        <v>979</v>
      </c>
      <c r="AD44" s="1117">
        <f>AD37+AD40</f>
        <v>498.24171595690234</v>
      </c>
      <c r="AE44" s="1118">
        <f>AE37+AE43</f>
        <v>6475999.3914828282</v>
      </c>
      <c r="AF44" s="1118">
        <f>AE44/1000</f>
        <v>6475.9993914828283</v>
      </c>
      <c r="AG44" s="1153"/>
      <c r="AH44" s="1195"/>
      <c r="AI44" s="1195"/>
      <c r="AJ44" s="1195"/>
      <c r="AK44" s="1223"/>
      <c r="AL44" s="1153"/>
      <c r="AM44" s="1195"/>
      <c r="AN44" s="1195"/>
      <c r="AO44" s="1195"/>
      <c r="AP44" s="1195"/>
      <c r="AQ44" s="1195"/>
      <c r="AR44" s="1195"/>
    </row>
    <row r="45" spans="1:44" ht="29.25" customHeight="1" x14ac:dyDescent="0.3">
      <c r="A45" s="1121"/>
      <c r="B45" s="1122" t="s">
        <v>295</v>
      </c>
      <c r="C45" s="1123">
        <f>C44+C27+C42</f>
        <v>4398.5063159569027</v>
      </c>
      <c r="D45" s="1122">
        <f>D27+D44</f>
        <v>242577623.3250232</v>
      </c>
      <c r="E45" s="1170">
        <f t="shared" si="34"/>
        <v>242577.62332502322</v>
      </c>
      <c r="F45" s="1188"/>
      <c r="G45" s="1188"/>
      <c r="H45" s="1190"/>
      <c r="I45" s="1189"/>
      <c r="J45" s="1182"/>
      <c r="K45" s="1122" t="s">
        <v>295</v>
      </c>
      <c r="L45" s="1123">
        <f>L44+L27+L42</f>
        <v>4398.5063159569027</v>
      </c>
      <c r="M45" s="1122">
        <f>M27+M44</f>
        <v>180998534.90162653</v>
      </c>
      <c r="N45" s="1122">
        <f t="shared" ref="N45" si="52">M45/1000</f>
        <v>180998.53490162652</v>
      </c>
      <c r="P45" s="1189"/>
      <c r="Q45" s="1191"/>
      <c r="R45" s="1189"/>
      <c r="S45" s="1182"/>
      <c r="T45" s="1122" t="s">
        <v>295</v>
      </c>
      <c r="U45" s="1123">
        <f>U44+U27+U42</f>
        <v>4398.5063159569027</v>
      </c>
      <c r="V45" s="1122">
        <f>V27+V44</f>
        <v>8797012.6319138054</v>
      </c>
      <c r="W45" s="1122">
        <f t="shared" ref="W45" si="53">V45/1000</f>
        <v>8797.0126319138053</v>
      </c>
      <c r="Y45" s="1188"/>
      <c r="Z45" s="1199"/>
      <c r="AA45" s="1188"/>
      <c r="AB45" s="1182"/>
      <c r="AC45" s="1122" t="s">
        <v>295</v>
      </c>
      <c r="AD45" s="1123">
        <f>AD44+AD27+AD42</f>
        <v>4398.5063159569027</v>
      </c>
      <c r="AE45" s="1122">
        <f>AE27+AE44</f>
        <v>52782075.791482829</v>
      </c>
      <c r="AF45" s="1122">
        <f t="shared" ref="AF45" si="54">AE45/1000</f>
        <v>52782.075791482828</v>
      </c>
      <c r="AH45" s="1188"/>
      <c r="AI45" s="1188"/>
      <c r="AJ45" s="1188"/>
      <c r="AM45" s="1188"/>
      <c r="AN45" s="1188"/>
      <c r="AO45" s="1188"/>
      <c r="AP45" s="1188"/>
      <c r="AQ45" s="1188"/>
      <c r="AR45" s="1188"/>
    </row>
    <row r="46" spans="1:44" s="1125" customFormat="1" ht="36.75" customHeight="1" x14ac:dyDescent="0.3">
      <c r="A46" s="1124" t="s">
        <v>296</v>
      </c>
      <c r="B46" s="1473" t="s">
        <v>297</v>
      </c>
      <c r="C46" s="1474"/>
      <c r="D46" s="1474"/>
      <c r="E46" s="1474"/>
      <c r="F46" s="1197"/>
      <c r="G46" s="1197"/>
      <c r="H46" s="1190"/>
      <c r="I46" s="1198"/>
      <c r="J46" s="1183" t="s">
        <v>296</v>
      </c>
      <c r="K46" s="1473" t="s">
        <v>297</v>
      </c>
      <c r="L46" s="1474"/>
      <c r="M46" s="1474"/>
      <c r="N46" s="1474"/>
      <c r="P46" s="1198"/>
      <c r="Q46" s="1191"/>
      <c r="R46" s="1198"/>
      <c r="S46" s="1183" t="s">
        <v>296</v>
      </c>
      <c r="T46" s="1473" t="s">
        <v>297</v>
      </c>
      <c r="U46" s="1474"/>
      <c r="V46" s="1474"/>
      <c r="W46" s="1474"/>
      <c r="X46" s="1154"/>
      <c r="Y46" s="1197"/>
      <c r="Z46" s="1199"/>
      <c r="AA46" s="1197"/>
      <c r="AB46" s="1183" t="s">
        <v>296</v>
      </c>
      <c r="AC46" s="1473" t="s">
        <v>297</v>
      </c>
      <c r="AD46" s="1474"/>
      <c r="AE46" s="1474"/>
      <c r="AF46" s="1474"/>
      <c r="AG46" s="1154"/>
      <c r="AH46" s="1197"/>
      <c r="AI46" s="1197"/>
      <c r="AJ46" s="1197"/>
      <c r="AK46" s="1224"/>
      <c r="AL46" s="1154"/>
      <c r="AM46" s="1197"/>
      <c r="AN46" s="1197"/>
      <c r="AO46" s="1197"/>
      <c r="AP46" s="1197"/>
      <c r="AQ46" s="1197"/>
      <c r="AR46" s="1197"/>
    </row>
    <row r="47" spans="1:44" s="1125" customFormat="1" ht="29.25" customHeight="1" x14ac:dyDescent="0.3">
      <c r="A47" s="1084" t="s">
        <v>298</v>
      </c>
      <c r="B47" s="1477" t="s">
        <v>299</v>
      </c>
      <c r="C47" s="1478"/>
      <c r="D47" s="1478"/>
      <c r="E47" s="1478"/>
      <c r="F47" s="1197"/>
      <c r="G47" s="1197"/>
      <c r="H47" s="1190"/>
      <c r="I47" s="1198"/>
      <c r="J47" s="1178" t="s">
        <v>298</v>
      </c>
      <c r="K47" s="1477" t="s">
        <v>299</v>
      </c>
      <c r="L47" s="1478"/>
      <c r="M47" s="1478"/>
      <c r="N47" s="1478"/>
      <c r="P47" s="1198"/>
      <c r="Q47" s="1191"/>
      <c r="R47" s="1198"/>
      <c r="S47" s="1178" t="s">
        <v>298</v>
      </c>
      <c r="T47" s="1477" t="s">
        <v>299</v>
      </c>
      <c r="U47" s="1478"/>
      <c r="V47" s="1478"/>
      <c r="W47" s="1478"/>
      <c r="X47" s="1154"/>
      <c r="Y47" s="1197"/>
      <c r="Z47" s="1199"/>
      <c r="AA47" s="1197"/>
      <c r="AB47" s="1178" t="s">
        <v>298</v>
      </c>
      <c r="AC47" s="1477" t="s">
        <v>299</v>
      </c>
      <c r="AD47" s="1478"/>
      <c r="AE47" s="1478"/>
      <c r="AF47" s="1478"/>
      <c r="AG47" s="1154"/>
      <c r="AH47" s="1197"/>
      <c r="AI47" s="1197"/>
      <c r="AJ47" s="1197"/>
      <c r="AK47" s="1224"/>
      <c r="AL47" s="1154"/>
      <c r="AM47" s="1197"/>
      <c r="AN47" s="1197"/>
      <c r="AO47" s="1197"/>
      <c r="AP47" s="1197"/>
      <c r="AQ47" s="1197"/>
      <c r="AR47" s="1197"/>
    </row>
    <row r="48" spans="1:44" s="1125" customFormat="1" ht="29.25" customHeight="1" x14ac:dyDescent="0.3">
      <c r="A48" s="1084" t="s">
        <v>300</v>
      </c>
      <c r="B48" s="1102" t="s">
        <v>301</v>
      </c>
      <c r="C48" s="1126">
        <v>110.11466883349543</v>
      </c>
      <c r="D48" s="1103">
        <f>C48*D5</f>
        <v>6072823.9861672726</v>
      </c>
      <c r="E48" s="1166">
        <f>D48/1000</f>
        <v>6072.8239861672728</v>
      </c>
      <c r="F48" s="1197">
        <v>223</v>
      </c>
      <c r="G48" s="1199">
        <f>D54</f>
        <v>14645190.629229156</v>
      </c>
      <c r="H48" s="1190">
        <v>11180271.91</v>
      </c>
      <c r="I48" s="1200">
        <f>G48-H48</f>
        <v>3464918.7192291562</v>
      </c>
      <c r="J48" s="1178" t="s">
        <v>300</v>
      </c>
      <c r="K48" s="1102" t="s">
        <v>301</v>
      </c>
      <c r="L48" s="1126">
        <v>110.11466883349543</v>
      </c>
      <c r="M48" s="1103">
        <f>L48*M5</f>
        <v>4531218.6224983372</v>
      </c>
      <c r="N48" s="1103">
        <f>M48/1000</f>
        <v>4531.218622498337</v>
      </c>
      <c r="O48" s="1125">
        <v>223</v>
      </c>
      <c r="P48" s="1200">
        <f>M54</f>
        <v>10927463.180286124</v>
      </c>
      <c r="Q48" s="1191">
        <f>7064216.52-Z48</f>
        <v>5294577.9899999993</v>
      </c>
      <c r="R48" s="1198"/>
      <c r="S48" s="1178" t="s">
        <v>300</v>
      </c>
      <c r="T48" s="1102" t="s">
        <v>301</v>
      </c>
      <c r="U48" s="1126">
        <v>110.11466883349543</v>
      </c>
      <c r="V48" s="1103">
        <f>U48*V5</f>
        <v>220229.33766699085</v>
      </c>
      <c r="W48" s="1103">
        <f>V48/1000</f>
        <v>220.22933766699086</v>
      </c>
      <c r="X48" s="1154">
        <v>223</v>
      </c>
      <c r="Y48" s="1199">
        <f>V54</f>
        <v>531103.92127757589</v>
      </c>
      <c r="Z48" s="1199">
        <v>1769638.53</v>
      </c>
      <c r="AA48" s="1197"/>
      <c r="AB48" s="1178" t="s">
        <v>300</v>
      </c>
      <c r="AC48" s="1102" t="s">
        <v>301</v>
      </c>
      <c r="AD48" s="1126">
        <v>110.11466883349543</v>
      </c>
      <c r="AE48" s="1103">
        <f>AD48*AE5</f>
        <v>1321376.0260019451</v>
      </c>
      <c r="AF48" s="1103">
        <f>AE48/1000</f>
        <v>1321.3760260019451</v>
      </c>
      <c r="AG48" s="1154">
        <v>223</v>
      </c>
      <c r="AH48" s="1199">
        <f>AE54</f>
        <v>3186623.5276654554</v>
      </c>
      <c r="AI48" s="1197">
        <v>4116055.39</v>
      </c>
      <c r="AJ48" s="1197"/>
      <c r="AK48" s="1224" t="b">
        <f>AN48=G48</f>
        <v>1</v>
      </c>
      <c r="AL48" s="1154">
        <v>223</v>
      </c>
      <c r="AM48" s="1199"/>
      <c r="AN48" s="1199">
        <f>P48+Y48+AH48</f>
        <v>14645190.629229154</v>
      </c>
      <c r="AO48" s="1199"/>
      <c r="AP48" s="1199">
        <f>Q48+Z48+AI48</f>
        <v>11180271.91</v>
      </c>
      <c r="AQ48" s="1197"/>
      <c r="AR48" s="1197"/>
    </row>
    <row r="49" spans="1:44" s="1125" customFormat="1" ht="29.25" customHeight="1" x14ac:dyDescent="0.3">
      <c r="A49" s="1084" t="s">
        <v>302</v>
      </c>
      <c r="B49" s="1102" t="s">
        <v>303</v>
      </c>
      <c r="C49" s="1126">
        <v>125.77523289143677</v>
      </c>
      <c r="D49" s="1103">
        <f>C49*D5</f>
        <v>6936504.0939627383</v>
      </c>
      <c r="E49" s="1166">
        <f t="shared" ref="E49:E68" si="55">D49/1000</f>
        <v>6936.5040939627379</v>
      </c>
      <c r="F49" s="1197"/>
      <c r="G49" s="1197"/>
      <c r="H49" s="1190"/>
      <c r="I49" s="1198"/>
      <c r="J49" s="1178" t="s">
        <v>302</v>
      </c>
      <c r="K49" s="1102" t="s">
        <v>303</v>
      </c>
      <c r="L49" s="1126">
        <v>125.77523289143677</v>
      </c>
      <c r="M49" s="1103">
        <f>L49*M5</f>
        <v>5175650.8334826231</v>
      </c>
      <c r="N49" s="1103">
        <f t="shared" ref="N49:N54" si="56">M49/1000</f>
        <v>5175.6508334826231</v>
      </c>
      <c r="P49" s="1198"/>
      <c r="Q49" s="1191"/>
      <c r="R49" s="1198"/>
      <c r="S49" s="1178" t="s">
        <v>302</v>
      </c>
      <c r="T49" s="1102" t="s">
        <v>303</v>
      </c>
      <c r="U49" s="1126">
        <v>125.77523289143677</v>
      </c>
      <c r="V49" s="1103">
        <f>U49*V5</f>
        <v>251550.46578287354</v>
      </c>
      <c r="W49" s="1103">
        <f t="shared" ref="W49:W54" si="57">V49/1000</f>
        <v>251.55046578287354</v>
      </c>
      <c r="X49" s="1154"/>
      <c r="Y49" s="1197"/>
      <c r="Z49" s="1199"/>
      <c r="AA49" s="1197"/>
      <c r="AB49" s="1178" t="s">
        <v>302</v>
      </c>
      <c r="AC49" s="1102" t="s">
        <v>303</v>
      </c>
      <c r="AD49" s="1126">
        <v>125.77523289143677</v>
      </c>
      <c r="AE49" s="1103">
        <f>AD49*AE5</f>
        <v>1509302.7946972412</v>
      </c>
      <c r="AF49" s="1103">
        <f t="shared" ref="AF49:AF54" si="58">AE49/1000</f>
        <v>1509.3027946972411</v>
      </c>
      <c r="AG49" s="1154"/>
      <c r="AH49" s="1197"/>
      <c r="AI49" s="1197"/>
      <c r="AJ49" s="1197"/>
      <c r="AK49" s="1224"/>
      <c r="AL49" s="1154"/>
      <c r="AM49" s="1197"/>
      <c r="AN49" s="1197"/>
      <c r="AO49" s="1197"/>
      <c r="AP49" s="1197"/>
      <c r="AQ49" s="1197"/>
      <c r="AR49" s="1197"/>
    </row>
    <row r="50" spans="1:44" s="1125" customFormat="1" ht="29.25" customHeight="1" x14ac:dyDescent="0.3">
      <c r="A50" s="1084" t="s">
        <v>304</v>
      </c>
      <c r="B50" s="1102" t="s">
        <v>305</v>
      </c>
      <c r="C50" s="1126">
        <v>0</v>
      </c>
      <c r="D50" s="1103">
        <v>0</v>
      </c>
      <c r="E50" s="1166">
        <f t="shared" si="55"/>
        <v>0</v>
      </c>
      <c r="F50" s="1197"/>
      <c r="G50" s="1197"/>
      <c r="H50" s="1190"/>
      <c r="I50" s="1198"/>
      <c r="J50" s="1178" t="s">
        <v>304</v>
      </c>
      <c r="K50" s="1102" t="s">
        <v>305</v>
      </c>
      <c r="L50" s="1126">
        <v>0</v>
      </c>
      <c r="M50" s="1103">
        <v>0</v>
      </c>
      <c r="N50" s="1103">
        <f t="shared" si="56"/>
        <v>0</v>
      </c>
      <c r="P50" s="1198"/>
      <c r="Q50" s="1191"/>
      <c r="R50" s="1198"/>
      <c r="S50" s="1178" t="s">
        <v>304</v>
      </c>
      <c r="T50" s="1102" t="s">
        <v>305</v>
      </c>
      <c r="U50" s="1126">
        <v>0</v>
      </c>
      <c r="V50" s="1103">
        <v>0</v>
      </c>
      <c r="W50" s="1103">
        <f t="shared" si="57"/>
        <v>0</v>
      </c>
      <c r="X50" s="1154"/>
      <c r="Y50" s="1197"/>
      <c r="Z50" s="1199"/>
      <c r="AA50" s="1197"/>
      <c r="AB50" s="1178" t="s">
        <v>304</v>
      </c>
      <c r="AC50" s="1102" t="s">
        <v>305</v>
      </c>
      <c r="AD50" s="1126">
        <v>0</v>
      </c>
      <c r="AE50" s="1103">
        <v>0</v>
      </c>
      <c r="AF50" s="1103">
        <f t="shared" si="58"/>
        <v>0</v>
      </c>
      <c r="AG50" s="1154"/>
      <c r="AH50" s="1197"/>
      <c r="AI50" s="1197"/>
      <c r="AJ50" s="1197"/>
      <c r="AK50" s="1224"/>
      <c r="AL50" s="1154"/>
      <c r="AM50" s="1197"/>
      <c r="AN50" s="1197"/>
      <c r="AO50" s="1197"/>
      <c r="AP50" s="1197"/>
      <c r="AQ50" s="1197"/>
      <c r="AR50" s="1197"/>
    </row>
    <row r="51" spans="1:44" s="1125" customFormat="1" ht="29.25" customHeight="1" x14ac:dyDescent="0.3">
      <c r="A51" s="1084" t="s">
        <v>306</v>
      </c>
      <c r="B51" s="1102" t="s">
        <v>307</v>
      </c>
      <c r="C51" s="1126">
        <v>0</v>
      </c>
      <c r="D51" s="1103">
        <v>0</v>
      </c>
      <c r="E51" s="1166">
        <f t="shared" si="55"/>
        <v>0</v>
      </c>
      <c r="F51" s="1197"/>
      <c r="G51" s="1197"/>
      <c r="H51" s="1190"/>
      <c r="I51" s="1198"/>
      <c r="J51" s="1178" t="s">
        <v>306</v>
      </c>
      <c r="K51" s="1102" t="s">
        <v>307</v>
      </c>
      <c r="L51" s="1126">
        <v>0</v>
      </c>
      <c r="M51" s="1103">
        <v>0</v>
      </c>
      <c r="N51" s="1103">
        <f t="shared" si="56"/>
        <v>0</v>
      </c>
      <c r="P51" s="1198"/>
      <c r="Q51" s="1191"/>
      <c r="R51" s="1198"/>
      <c r="S51" s="1178" t="s">
        <v>306</v>
      </c>
      <c r="T51" s="1102" t="s">
        <v>307</v>
      </c>
      <c r="U51" s="1126">
        <v>0</v>
      </c>
      <c r="V51" s="1103">
        <v>0</v>
      </c>
      <c r="W51" s="1103">
        <f t="shared" si="57"/>
        <v>0</v>
      </c>
      <c r="X51" s="1154"/>
      <c r="Y51" s="1197"/>
      <c r="Z51" s="1199"/>
      <c r="AA51" s="1197"/>
      <c r="AB51" s="1178" t="s">
        <v>306</v>
      </c>
      <c r="AC51" s="1102" t="s">
        <v>307</v>
      </c>
      <c r="AD51" s="1126">
        <v>0</v>
      </c>
      <c r="AE51" s="1103">
        <v>0</v>
      </c>
      <c r="AF51" s="1103">
        <f t="shared" si="58"/>
        <v>0</v>
      </c>
      <c r="AG51" s="1154"/>
      <c r="AH51" s="1197"/>
      <c r="AI51" s="1197"/>
      <c r="AJ51" s="1197"/>
      <c r="AK51" s="1224"/>
      <c r="AL51" s="1154"/>
      <c r="AM51" s="1197"/>
      <c r="AN51" s="1197"/>
      <c r="AO51" s="1197"/>
      <c r="AP51" s="1197"/>
      <c r="AQ51" s="1197"/>
      <c r="AR51" s="1197"/>
    </row>
    <row r="52" spans="1:44" s="1125" customFormat="1" ht="29.25" customHeight="1" x14ac:dyDescent="0.3">
      <c r="A52" s="1084" t="s">
        <v>308</v>
      </c>
      <c r="B52" s="1102" t="s">
        <v>309</v>
      </c>
      <c r="C52" s="1126">
        <v>0</v>
      </c>
      <c r="D52" s="1103">
        <v>0</v>
      </c>
      <c r="E52" s="1166">
        <f t="shared" si="55"/>
        <v>0</v>
      </c>
      <c r="F52" s="1197"/>
      <c r="G52" s="1197"/>
      <c r="H52" s="1190"/>
      <c r="I52" s="1198"/>
      <c r="J52" s="1178" t="s">
        <v>308</v>
      </c>
      <c r="K52" s="1102" t="s">
        <v>309</v>
      </c>
      <c r="L52" s="1126">
        <v>0</v>
      </c>
      <c r="M52" s="1103">
        <v>0</v>
      </c>
      <c r="N52" s="1103">
        <f t="shared" si="56"/>
        <v>0</v>
      </c>
      <c r="P52" s="1198"/>
      <c r="Q52" s="1191"/>
      <c r="R52" s="1198"/>
      <c r="S52" s="1178" t="s">
        <v>308</v>
      </c>
      <c r="T52" s="1102" t="s">
        <v>309</v>
      </c>
      <c r="U52" s="1126">
        <v>0</v>
      </c>
      <c r="V52" s="1103">
        <v>0</v>
      </c>
      <c r="W52" s="1103">
        <f t="shared" si="57"/>
        <v>0</v>
      </c>
      <c r="X52" s="1154"/>
      <c r="Y52" s="1197"/>
      <c r="Z52" s="1199"/>
      <c r="AA52" s="1197"/>
      <c r="AB52" s="1178" t="s">
        <v>308</v>
      </c>
      <c r="AC52" s="1102" t="s">
        <v>309</v>
      </c>
      <c r="AD52" s="1126">
        <v>0</v>
      </c>
      <c r="AE52" s="1103">
        <v>0</v>
      </c>
      <c r="AF52" s="1103">
        <f t="shared" si="58"/>
        <v>0</v>
      </c>
      <c r="AG52" s="1154"/>
      <c r="AH52" s="1197"/>
      <c r="AI52" s="1197"/>
      <c r="AJ52" s="1197"/>
      <c r="AK52" s="1224"/>
      <c r="AL52" s="1154"/>
      <c r="AM52" s="1197"/>
      <c r="AN52" s="1197"/>
      <c r="AO52" s="1197"/>
      <c r="AP52" s="1197"/>
      <c r="AQ52" s="1197"/>
      <c r="AR52" s="1197"/>
    </row>
    <row r="53" spans="1:44" s="1125" customFormat="1" ht="29.25" customHeight="1" x14ac:dyDescent="0.3">
      <c r="A53" s="1084" t="s">
        <v>310</v>
      </c>
      <c r="B53" s="1102" t="s">
        <v>311</v>
      </c>
      <c r="C53" s="1127">
        <v>29.662058913855763</v>
      </c>
      <c r="D53" s="1103">
        <f>C53*D5</f>
        <v>1635862.5490991452</v>
      </c>
      <c r="E53" s="1166">
        <f t="shared" si="55"/>
        <v>1635.8625490991453</v>
      </c>
      <c r="F53" s="1197"/>
      <c r="G53" s="1197"/>
      <c r="H53" s="1190"/>
      <c r="I53" s="1198"/>
      <c r="J53" s="1178" t="s">
        <v>310</v>
      </c>
      <c r="K53" s="1102" t="s">
        <v>311</v>
      </c>
      <c r="L53" s="1127">
        <v>29.662058913855763</v>
      </c>
      <c r="M53" s="1103">
        <f>L53*M5</f>
        <v>1220593.7243051645</v>
      </c>
      <c r="N53" s="1103">
        <f t="shared" si="56"/>
        <v>1220.5937243051646</v>
      </c>
      <c r="P53" s="1198"/>
      <c r="Q53" s="1191"/>
      <c r="R53" s="1198"/>
      <c r="S53" s="1178" t="s">
        <v>310</v>
      </c>
      <c r="T53" s="1102" t="s">
        <v>311</v>
      </c>
      <c r="U53" s="1127">
        <v>29.662058913855763</v>
      </c>
      <c r="V53" s="1103">
        <f>U53*V5</f>
        <v>59324.117827711525</v>
      </c>
      <c r="W53" s="1103">
        <f t="shared" si="57"/>
        <v>59.324117827711525</v>
      </c>
      <c r="X53" s="1154"/>
      <c r="Y53" s="1197"/>
      <c r="Z53" s="1199"/>
      <c r="AA53" s="1197"/>
      <c r="AB53" s="1178" t="s">
        <v>310</v>
      </c>
      <c r="AC53" s="1102" t="s">
        <v>311</v>
      </c>
      <c r="AD53" s="1127">
        <v>29.662058913855763</v>
      </c>
      <c r="AE53" s="1103">
        <f>AD53*AE5</f>
        <v>355944.70696626918</v>
      </c>
      <c r="AF53" s="1103">
        <f t="shared" si="58"/>
        <v>355.94470696626917</v>
      </c>
      <c r="AG53" s="1154"/>
      <c r="AH53" s="1197"/>
      <c r="AI53" s="1197"/>
      <c r="AJ53" s="1197"/>
      <c r="AK53" s="1224"/>
      <c r="AL53" s="1154"/>
      <c r="AM53" s="1197"/>
      <c r="AN53" s="1197"/>
      <c r="AO53" s="1197"/>
      <c r="AP53" s="1197"/>
      <c r="AQ53" s="1197"/>
      <c r="AR53" s="1197"/>
    </row>
    <row r="54" spans="1:44" s="1125" customFormat="1" ht="29.25" customHeight="1" x14ac:dyDescent="0.3">
      <c r="A54" s="1084"/>
      <c r="B54" s="1108" t="s">
        <v>312</v>
      </c>
      <c r="C54" s="1117">
        <f>SUM(C48:C53)</f>
        <v>265.55196063878799</v>
      </c>
      <c r="D54" s="1128">
        <f>SUM(D48:D53)</f>
        <v>14645190.629229156</v>
      </c>
      <c r="E54" s="1171">
        <f t="shared" si="55"/>
        <v>14645.190629229157</v>
      </c>
      <c r="F54" s="1197"/>
      <c r="G54" s="1197"/>
      <c r="H54" s="1190"/>
      <c r="I54" s="1198"/>
      <c r="J54" s="1178"/>
      <c r="K54" s="1108" t="s">
        <v>312</v>
      </c>
      <c r="L54" s="1117">
        <f>SUM(L48:L53)</f>
        <v>265.55196063878799</v>
      </c>
      <c r="M54" s="1128">
        <f>SUM(M48:M53)</f>
        <v>10927463.180286124</v>
      </c>
      <c r="N54" s="1128">
        <f t="shared" si="56"/>
        <v>10927.463180286124</v>
      </c>
      <c r="P54" s="1198"/>
      <c r="Q54" s="1191"/>
      <c r="R54" s="1198"/>
      <c r="S54" s="1178"/>
      <c r="T54" s="1108" t="s">
        <v>312</v>
      </c>
      <c r="U54" s="1117">
        <f>SUM(U48:U53)</f>
        <v>265.55196063878799</v>
      </c>
      <c r="V54" s="1128">
        <f>SUM(V48:V53)</f>
        <v>531103.92127757589</v>
      </c>
      <c r="W54" s="1128">
        <f t="shared" si="57"/>
        <v>531.10392127757586</v>
      </c>
      <c r="X54" s="1154"/>
      <c r="Y54" s="1197"/>
      <c r="Z54" s="1199"/>
      <c r="AA54" s="1197"/>
      <c r="AB54" s="1178"/>
      <c r="AC54" s="1108" t="s">
        <v>312</v>
      </c>
      <c r="AD54" s="1117">
        <f>SUM(AD48:AD53)</f>
        <v>265.55196063878799</v>
      </c>
      <c r="AE54" s="1128">
        <f>SUM(AE48:AE53)</f>
        <v>3186623.5276654554</v>
      </c>
      <c r="AF54" s="1128">
        <f t="shared" si="58"/>
        <v>3186.6235276654552</v>
      </c>
      <c r="AG54" s="1154"/>
      <c r="AH54" s="1197"/>
      <c r="AI54" s="1197"/>
      <c r="AJ54" s="1197"/>
      <c r="AK54" s="1224"/>
      <c r="AL54" s="1154"/>
      <c r="AM54" s="1197"/>
      <c r="AN54" s="1197"/>
      <c r="AO54" s="1197"/>
      <c r="AP54" s="1197"/>
      <c r="AQ54" s="1197"/>
      <c r="AR54" s="1197"/>
    </row>
    <row r="55" spans="1:44" ht="29.25" customHeight="1" x14ac:dyDescent="0.3">
      <c r="A55" s="1124" t="s">
        <v>313</v>
      </c>
      <c r="B55" s="1477" t="s">
        <v>314</v>
      </c>
      <c r="C55" s="1478"/>
      <c r="D55" s="1478"/>
      <c r="E55" s="1478">
        <f>D55/1000</f>
        <v>0</v>
      </c>
      <c r="F55" s="1188"/>
      <c r="G55" s="1188"/>
      <c r="H55" s="1190"/>
      <c r="I55" s="1189"/>
      <c r="J55" s="1183" t="s">
        <v>313</v>
      </c>
      <c r="K55" s="1477" t="s">
        <v>314</v>
      </c>
      <c r="L55" s="1478"/>
      <c r="M55" s="1478"/>
      <c r="N55" s="1478">
        <f>M55/1000</f>
        <v>0</v>
      </c>
      <c r="P55" s="1189"/>
      <c r="Q55" s="1191"/>
      <c r="R55" s="1189"/>
      <c r="S55" s="1183" t="s">
        <v>313</v>
      </c>
      <c r="T55" s="1477" t="s">
        <v>314</v>
      </c>
      <c r="U55" s="1478"/>
      <c r="V55" s="1478"/>
      <c r="W55" s="1478">
        <f>V55/1000</f>
        <v>0</v>
      </c>
      <c r="Y55" s="1188"/>
      <c r="Z55" s="1199"/>
      <c r="AA55" s="1188"/>
      <c r="AB55" s="1183" t="s">
        <v>313</v>
      </c>
      <c r="AC55" s="1477" t="s">
        <v>314</v>
      </c>
      <c r="AD55" s="1478"/>
      <c r="AE55" s="1478"/>
      <c r="AF55" s="1478">
        <f>AE55/1000</f>
        <v>0</v>
      </c>
      <c r="AH55" s="1188"/>
      <c r="AI55" s="1188"/>
      <c r="AJ55" s="1188"/>
      <c r="AM55" s="1188"/>
      <c r="AN55" s="1188"/>
      <c r="AO55" s="1188"/>
      <c r="AP55" s="1188"/>
      <c r="AQ55" s="1188"/>
      <c r="AR55" s="1188"/>
    </row>
    <row r="56" spans="1:44" ht="29.25" customHeight="1" x14ac:dyDescent="0.3">
      <c r="A56" s="1084" t="s">
        <v>315</v>
      </c>
      <c r="B56" s="1129" t="s">
        <v>316</v>
      </c>
      <c r="C56" s="1106">
        <v>67.163957874801667</v>
      </c>
      <c r="D56" s="1103">
        <f>C56*D5</f>
        <v>3704092.2767953118</v>
      </c>
      <c r="E56" s="1166">
        <f>D56/1000</f>
        <v>3704.092276795312</v>
      </c>
      <c r="F56" s="1188">
        <v>225</v>
      </c>
      <c r="G56" s="1190">
        <f>D58+D63</f>
        <v>9183562.8954998218</v>
      </c>
      <c r="H56" s="1190">
        <v>6515818.2999999998</v>
      </c>
      <c r="I56" s="1191">
        <f>G56-H56</f>
        <v>2667744.5954998219</v>
      </c>
      <c r="J56" s="1178" t="s">
        <v>315</v>
      </c>
      <c r="K56" s="1129" t="s">
        <v>316</v>
      </c>
      <c r="L56" s="1106">
        <v>67.163957874801667</v>
      </c>
      <c r="M56" s="1103">
        <f>L56*M5</f>
        <v>2763796.8665480888</v>
      </c>
      <c r="N56" s="1103">
        <f>M56/1000</f>
        <v>2763.7968665480889</v>
      </c>
      <c r="O56" s="1076">
        <v>225</v>
      </c>
      <c r="P56" s="1191">
        <f>M58+M63</f>
        <v>6852286.7298244368</v>
      </c>
      <c r="Q56" s="1191">
        <f>3934762.54-Z56</f>
        <v>2825075.26</v>
      </c>
      <c r="R56" s="1189"/>
      <c r="S56" s="1178" t="s">
        <v>315</v>
      </c>
      <c r="T56" s="1129" t="s">
        <v>316</v>
      </c>
      <c r="U56" s="1106">
        <v>67.163957874801667</v>
      </c>
      <c r="V56" s="1103">
        <f>U56*V5</f>
        <v>134327.91574960333</v>
      </c>
      <c r="W56" s="1103">
        <f>V56/1000</f>
        <v>134.32791574960333</v>
      </c>
      <c r="X56" s="1150">
        <v>225</v>
      </c>
      <c r="Y56" s="1190">
        <f>V58+V63</f>
        <v>333039.45223934075</v>
      </c>
      <c r="Z56" s="1199">
        <v>1109687.28</v>
      </c>
      <c r="AA56" s="1188"/>
      <c r="AB56" s="1178" t="s">
        <v>315</v>
      </c>
      <c r="AC56" s="1129" t="s">
        <v>316</v>
      </c>
      <c r="AD56" s="1106">
        <v>67.163957874801667</v>
      </c>
      <c r="AE56" s="1103">
        <f>AD56*AE5</f>
        <v>805967.49449762003</v>
      </c>
      <c r="AF56" s="1103">
        <f>AE56/1000</f>
        <v>805.96749449762001</v>
      </c>
      <c r="AG56" s="1150">
        <v>225</v>
      </c>
      <c r="AH56" s="1190">
        <f>AE58+AE63</f>
        <v>1998236.7134360445</v>
      </c>
      <c r="AI56" s="1188">
        <v>2581055.7599999998</v>
      </c>
      <c r="AJ56" s="1188"/>
      <c r="AK56" s="1149" t="b">
        <f>AN56=G56</f>
        <v>1</v>
      </c>
      <c r="AL56" s="1150">
        <v>225</v>
      </c>
      <c r="AM56" s="1190"/>
      <c r="AN56" s="1190">
        <f>P56+Y56+AH56</f>
        <v>9183562.8954998218</v>
      </c>
      <c r="AO56" s="1190"/>
      <c r="AP56" s="1190">
        <f>Q56+Z56+AI56</f>
        <v>6515818.2999999998</v>
      </c>
      <c r="AQ56" s="1188"/>
      <c r="AR56" s="1188"/>
    </row>
    <row r="57" spans="1:44" ht="29.25" customHeight="1" x14ac:dyDescent="0.3">
      <c r="A57" s="1084" t="s">
        <v>317</v>
      </c>
      <c r="B57" s="1102" t="s">
        <v>318</v>
      </c>
      <c r="C57" s="1106">
        <v>1.1091682448687106</v>
      </c>
      <c r="D57" s="1103">
        <f>C57*D5</f>
        <v>61170.628704509385</v>
      </c>
      <c r="E57" s="1166">
        <f>D57/1000</f>
        <v>61.170628704509383</v>
      </c>
      <c r="F57" s="1188"/>
      <c r="G57" s="1188"/>
      <c r="H57" s="1190"/>
      <c r="I57" s="1189"/>
      <c r="J57" s="1178" t="s">
        <v>317</v>
      </c>
      <c r="K57" s="1102" t="s">
        <v>318</v>
      </c>
      <c r="L57" s="1106">
        <v>1.1091682448687106</v>
      </c>
      <c r="M57" s="1103">
        <f>L57*M5</f>
        <v>45642.273276347441</v>
      </c>
      <c r="N57" s="1103">
        <f>M57/1000</f>
        <v>45.642273276347439</v>
      </c>
      <c r="P57" s="1189"/>
      <c r="Q57" s="1191"/>
      <c r="R57" s="1189"/>
      <c r="S57" s="1178" t="s">
        <v>317</v>
      </c>
      <c r="T57" s="1102" t="s">
        <v>318</v>
      </c>
      <c r="U57" s="1106">
        <v>1.1091682448687106</v>
      </c>
      <c r="V57" s="1103">
        <f>U57*V5</f>
        <v>2218.3364897374213</v>
      </c>
      <c r="W57" s="1103">
        <f>V57/1000</f>
        <v>2.2183364897374211</v>
      </c>
      <c r="Y57" s="1188"/>
      <c r="Z57" s="1199"/>
      <c r="AA57" s="1188"/>
      <c r="AB57" s="1178" t="s">
        <v>317</v>
      </c>
      <c r="AC57" s="1102" t="s">
        <v>318</v>
      </c>
      <c r="AD57" s="1106">
        <v>1.1091682448687106</v>
      </c>
      <c r="AE57" s="1103">
        <f>AD57*AE5</f>
        <v>13310.018938424528</v>
      </c>
      <c r="AF57" s="1103">
        <f>AE57/1000</f>
        <v>13.310018938424527</v>
      </c>
      <c r="AH57" s="1188"/>
      <c r="AI57" s="1188"/>
      <c r="AJ57" s="1188"/>
      <c r="AM57" s="1188"/>
      <c r="AN57" s="1188"/>
      <c r="AO57" s="1188"/>
      <c r="AP57" s="1188"/>
      <c r="AQ57" s="1188"/>
      <c r="AR57" s="1188"/>
    </row>
    <row r="58" spans="1:44" ht="29.25" customHeight="1" x14ac:dyDescent="0.3">
      <c r="A58" s="1084"/>
      <c r="B58" s="1108" t="s">
        <v>319</v>
      </c>
      <c r="C58" s="1117">
        <f>SUM(C56:C57)</f>
        <v>68.27312611967038</v>
      </c>
      <c r="D58" s="1128">
        <f>SUM(D56:D57)</f>
        <v>3765262.9054998211</v>
      </c>
      <c r="E58" s="1171">
        <f>D58/1000</f>
        <v>3765.262905499821</v>
      </c>
      <c r="F58" s="1188"/>
      <c r="G58" s="1188"/>
      <c r="H58" s="1190"/>
      <c r="I58" s="1189"/>
      <c r="J58" s="1178"/>
      <c r="K58" s="1108" t="s">
        <v>319</v>
      </c>
      <c r="L58" s="1117">
        <f>SUM(L56:L57)</f>
        <v>68.27312611967038</v>
      </c>
      <c r="M58" s="1128">
        <f>SUM(M56:M57)</f>
        <v>2809439.1398244365</v>
      </c>
      <c r="N58" s="1128">
        <f>M58/1000</f>
        <v>2809.4391398244366</v>
      </c>
      <c r="P58" s="1189"/>
      <c r="Q58" s="1191"/>
      <c r="R58" s="1189"/>
      <c r="S58" s="1178"/>
      <c r="T58" s="1108" t="s">
        <v>319</v>
      </c>
      <c r="U58" s="1117">
        <f>SUM(U56:U57)</f>
        <v>68.27312611967038</v>
      </c>
      <c r="V58" s="1128">
        <f>SUM(V56:V57)</f>
        <v>136546.25223934074</v>
      </c>
      <c r="W58" s="1128">
        <f>V58/1000</f>
        <v>136.54625223934073</v>
      </c>
      <c r="Y58" s="1188"/>
      <c r="Z58" s="1199"/>
      <c r="AA58" s="1188"/>
      <c r="AB58" s="1178"/>
      <c r="AC58" s="1108" t="s">
        <v>319</v>
      </c>
      <c r="AD58" s="1117">
        <f>SUM(AD56:AD57)</f>
        <v>68.27312611967038</v>
      </c>
      <c r="AE58" s="1128">
        <f>SUM(AE56:AE57)</f>
        <v>819277.51343604457</v>
      </c>
      <c r="AF58" s="1128">
        <f>AE58/1000</f>
        <v>819.27751343604461</v>
      </c>
      <c r="AH58" s="1188"/>
      <c r="AI58" s="1188"/>
      <c r="AJ58" s="1188"/>
      <c r="AM58" s="1188"/>
      <c r="AN58" s="1188"/>
      <c r="AO58" s="1188"/>
      <c r="AP58" s="1188"/>
      <c r="AQ58" s="1188"/>
      <c r="AR58" s="1188"/>
    </row>
    <row r="59" spans="1:44" ht="29.25" customHeight="1" x14ac:dyDescent="0.3">
      <c r="A59" s="1124" t="s">
        <v>320</v>
      </c>
      <c r="B59" s="1477" t="s">
        <v>321</v>
      </c>
      <c r="C59" s="1478"/>
      <c r="D59" s="1478"/>
      <c r="E59" s="1478"/>
      <c r="F59" s="1188"/>
      <c r="G59" s="1188"/>
      <c r="H59" s="1190"/>
      <c r="I59" s="1189"/>
      <c r="J59" s="1183" t="s">
        <v>320</v>
      </c>
      <c r="K59" s="1477" t="s">
        <v>321</v>
      </c>
      <c r="L59" s="1478"/>
      <c r="M59" s="1478"/>
      <c r="N59" s="1478"/>
      <c r="P59" s="1189"/>
      <c r="Q59" s="1191"/>
      <c r="R59" s="1189"/>
      <c r="S59" s="1183" t="s">
        <v>320</v>
      </c>
      <c r="T59" s="1477" t="s">
        <v>321</v>
      </c>
      <c r="U59" s="1478"/>
      <c r="V59" s="1478"/>
      <c r="W59" s="1478"/>
      <c r="Y59" s="1188"/>
      <c r="Z59" s="1199"/>
      <c r="AA59" s="1188"/>
      <c r="AB59" s="1183" t="s">
        <v>320</v>
      </c>
      <c r="AC59" s="1477" t="s">
        <v>321</v>
      </c>
      <c r="AD59" s="1478"/>
      <c r="AE59" s="1478"/>
      <c r="AF59" s="1478"/>
      <c r="AH59" s="1188"/>
      <c r="AI59" s="1188"/>
      <c r="AJ59" s="1188"/>
      <c r="AM59" s="1188"/>
      <c r="AN59" s="1188"/>
      <c r="AO59" s="1188"/>
      <c r="AP59" s="1188"/>
      <c r="AQ59" s="1188"/>
      <c r="AR59" s="1188"/>
    </row>
    <row r="60" spans="1:44" ht="29.25" customHeight="1" x14ac:dyDescent="0.3">
      <c r="A60" s="1084" t="s">
        <v>322</v>
      </c>
      <c r="B60" s="1102" t="s">
        <v>323</v>
      </c>
      <c r="C60" s="1484"/>
      <c r="D60" s="1485">
        <f>C63*D5</f>
        <v>5418299.9900000002</v>
      </c>
      <c r="E60" s="1505">
        <f>D60/1000</f>
        <v>5418.2999900000004</v>
      </c>
      <c r="F60" s="1188"/>
      <c r="G60" s="1188"/>
      <c r="H60" s="1190"/>
      <c r="I60" s="1189"/>
      <c r="J60" s="1178" t="s">
        <v>322</v>
      </c>
      <c r="K60" s="1102" t="s">
        <v>323</v>
      </c>
      <c r="L60" s="1484"/>
      <c r="M60" s="1485">
        <f>L63*M5</f>
        <v>4042847.59</v>
      </c>
      <c r="N60" s="1485">
        <f>M60/1000</f>
        <v>4042.8475899999999</v>
      </c>
      <c r="P60" s="1189"/>
      <c r="Q60" s="1191"/>
      <c r="R60" s="1189"/>
      <c r="S60" s="1178" t="s">
        <v>322</v>
      </c>
      <c r="T60" s="1102" t="s">
        <v>323</v>
      </c>
      <c r="U60" s="1484"/>
      <c r="V60" s="1485">
        <f>U63*V5</f>
        <v>196493.2</v>
      </c>
      <c r="W60" s="1485">
        <f>V60/1000</f>
        <v>196.4932</v>
      </c>
      <c r="Y60" s="1188"/>
      <c r="Z60" s="1199"/>
      <c r="AA60" s="1188"/>
      <c r="AB60" s="1178" t="s">
        <v>322</v>
      </c>
      <c r="AC60" s="1102" t="s">
        <v>323</v>
      </c>
      <c r="AD60" s="1484"/>
      <c r="AE60" s="1485">
        <f>AD63*AE5</f>
        <v>1178959.2</v>
      </c>
      <c r="AF60" s="1485">
        <f>AE60/1000</f>
        <v>1178.9592</v>
      </c>
      <c r="AH60" s="1188"/>
      <c r="AI60" s="1188"/>
      <c r="AJ60" s="1188"/>
      <c r="AM60" s="1188"/>
      <c r="AN60" s="1188"/>
      <c r="AO60" s="1188"/>
      <c r="AP60" s="1188"/>
      <c r="AQ60" s="1188"/>
      <c r="AR60" s="1188"/>
    </row>
    <row r="61" spans="1:44" ht="29.25" customHeight="1" x14ac:dyDescent="0.3">
      <c r="A61" s="1084" t="s">
        <v>324</v>
      </c>
      <c r="B61" s="1102" t="s">
        <v>325</v>
      </c>
      <c r="C61" s="1484"/>
      <c r="D61" s="1485"/>
      <c r="E61" s="1505"/>
      <c r="F61" s="1188"/>
      <c r="G61" s="1188"/>
      <c r="H61" s="1190"/>
      <c r="I61" s="1189"/>
      <c r="J61" s="1178" t="s">
        <v>324</v>
      </c>
      <c r="K61" s="1102" t="s">
        <v>325</v>
      </c>
      <c r="L61" s="1484"/>
      <c r="M61" s="1485"/>
      <c r="N61" s="1485"/>
      <c r="P61" s="1189"/>
      <c r="Q61" s="1191"/>
      <c r="R61" s="1189"/>
      <c r="S61" s="1178" t="s">
        <v>324</v>
      </c>
      <c r="T61" s="1102" t="s">
        <v>325</v>
      </c>
      <c r="U61" s="1484"/>
      <c r="V61" s="1485"/>
      <c r="W61" s="1485"/>
      <c r="Y61" s="1188"/>
      <c r="Z61" s="1199"/>
      <c r="AA61" s="1188"/>
      <c r="AB61" s="1178" t="s">
        <v>324</v>
      </c>
      <c r="AC61" s="1102" t="s">
        <v>325</v>
      </c>
      <c r="AD61" s="1484"/>
      <c r="AE61" s="1485"/>
      <c r="AF61" s="1485"/>
      <c r="AH61" s="1188"/>
      <c r="AI61" s="1188"/>
      <c r="AJ61" s="1188"/>
      <c r="AM61" s="1188"/>
      <c r="AN61" s="1188"/>
      <c r="AO61" s="1188"/>
      <c r="AP61" s="1188"/>
      <c r="AQ61" s="1188"/>
      <c r="AR61" s="1188"/>
    </row>
    <row r="62" spans="1:44" ht="29.25" customHeight="1" x14ac:dyDescent="0.3">
      <c r="A62" s="1084" t="s">
        <v>326</v>
      </c>
      <c r="B62" s="1102" t="s">
        <v>318</v>
      </c>
      <c r="C62" s="1484"/>
      <c r="D62" s="1485"/>
      <c r="E62" s="1505"/>
      <c r="F62" s="1188"/>
      <c r="G62" s="1188"/>
      <c r="H62" s="1190"/>
      <c r="I62" s="1189"/>
      <c r="J62" s="1178" t="s">
        <v>326</v>
      </c>
      <c r="K62" s="1102" t="s">
        <v>318</v>
      </c>
      <c r="L62" s="1484"/>
      <c r="M62" s="1485"/>
      <c r="N62" s="1485"/>
      <c r="P62" s="1189"/>
      <c r="Q62" s="1191"/>
      <c r="R62" s="1189"/>
      <c r="S62" s="1178" t="s">
        <v>326</v>
      </c>
      <c r="T62" s="1102" t="s">
        <v>318</v>
      </c>
      <c r="U62" s="1484"/>
      <c r="V62" s="1485"/>
      <c r="W62" s="1485"/>
      <c r="Y62" s="1188"/>
      <c r="Z62" s="1199"/>
      <c r="AA62" s="1188"/>
      <c r="AB62" s="1178" t="s">
        <v>326</v>
      </c>
      <c r="AC62" s="1102" t="s">
        <v>318</v>
      </c>
      <c r="AD62" s="1484"/>
      <c r="AE62" s="1485"/>
      <c r="AF62" s="1485"/>
      <c r="AH62" s="1188"/>
      <c r="AI62" s="1188"/>
      <c r="AJ62" s="1188"/>
      <c r="AM62" s="1188"/>
      <c r="AN62" s="1188"/>
      <c r="AO62" s="1188"/>
      <c r="AP62" s="1188"/>
      <c r="AQ62" s="1188"/>
      <c r="AR62" s="1188"/>
    </row>
    <row r="63" spans="1:44" ht="29.25" customHeight="1" x14ac:dyDescent="0.3">
      <c r="A63" s="1084"/>
      <c r="B63" s="1108" t="s">
        <v>327</v>
      </c>
      <c r="C63" s="1117">
        <v>98.246600000000001</v>
      </c>
      <c r="D63" s="1128">
        <f>SUM(D60)</f>
        <v>5418299.9900000002</v>
      </c>
      <c r="E63" s="1171">
        <f>SUM(E60)</f>
        <v>5418.2999900000004</v>
      </c>
      <c r="F63" s="1188"/>
      <c r="G63" s="1188"/>
      <c r="H63" s="1190"/>
      <c r="I63" s="1189"/>
      <c r="J63" s="1178"/>
      <c r="K63" s="1108" t="s">
        <v>327</v>
      </c>
      <c r="L63" s="1117">
        <v>98.246600000000001</v>
      </c>
      <c r="M63" s="1128">
        <f>SUM(M60)</f>
        <v>4042847.59</v>
      </c>
      <c r="N63" s="1128">
        <f>SUM(N60)</f>
        <v>4042.8475899999999</v>
      </c>
      <c r="P63" s="1189"/>
      <c r="Q63" s="1191"/>
      <c r="R63" s="1189"/>
      <c r="S63" s="1178"/>
      <c r="T63" s="1108" t="s">
        <v>327</v>
      </c>
      <c r="U63" s="1117">
        <v>98.246600000000001</v>
      </c>
      <c r="V63" s="1128">
        <f>SUM(V60)</f>
        <v>196493.2</v>
      </c>
      <c r="W63" s="1128">
        <f>SUM(W60)</f>
        <v>196.4932</v>
      </c>
      <c r="Y63" s="1188"/>
      <c r="Z63" s="1199"/>
      <c r="AA63" s="1188"/>
      <c r="AB63" s="1178"/>
      <c r="AC63" s="1108" t="s">
        <v>327</v>
      </c>
      <c r="AD63" s="1117">
        <v>98.246600000000001</v>
      </c>
      <c r="AE63" s="1128">
        <f>SUM(AE60)</f>
        <v>1178959.2</v>
      </c>
      <c r="AF63" s="1128">
        <f>SUM(AF60)</f>
        <v>1178.9592</v>
      </c>
      <c r="AH63" s="1188"/>
      <c r="AI63" s="1188"/>
      <c r="AJ63" s="1188"/>
      <c r="AM63" s="1188"/>
      <c r="AN63" s="1188"/>
      <c r="AO63" s="1188"/>
      <c r="AP63" s="1188"/>
      <c r="AQ63" s="1188"/>
      <c r="AR63" s="1188"/>
    </row>
    <row r="64" spans="1:44" ht="29.25" customHeight="1" x14ac:dyDescent="0.3">
      <c r="A64" s="1124" t="s">
        <v>328</v>
      </c>
      <c r="B64" s="1480" t="s">
        <v>329</v>
      </c>
      <c r="C64" s="1481"/>
      <c r="D64" s="1481"/>
      <c r="E64" s="1481"/>
      <c r="F64" s="1188"/>
      <c r="G64" s="1188"/>
      <c r="H64" s="1190"/>
      <c r="I64" s="1189"/>
      <c r="J64" s="1183" t="s">
        <v>328</v>
      </c>
      <c r="K64" s="1480" t="s">
        <v>329</v>
      </c>
      <c r="L64" s="1481"/>
      <c r="M64" s="1481"/>
      <c r="N64" s="1481"/>
      <c r="P64" s="1189"/>
      <c r="Q64" s="1191"/>
      <c r="R64" s="1189"/>
      <c r="S64" s="1183" t="s">
        <v>328</v>
      </c>
      <c r="T64" s="1480" t="s">
        <v>329</v>
      </c>
      <c r="U64" s="1481"/>
      <c r="V64" s="1481"/>
      <c r="W64" s="1481"/>
      <c r="Y64" s="1188"/>
      <c r="Z64" s="1199"/>
      <c r="AA64" s="1188"/>
      <c r="AB64" s="1183" t="s">
        <v>328</v>
      </c>
      <c r="AC64" s="1480" t="s">
        <v>329</v>
      </c>
      <c r="AD64" s="1481"/>
      <c r="AE64" s="1481"/>
      <c r="AF64" s="1481"/>
      <c r="AH64" s="1188"/>
      <c r="AI64" s="1188"/>
      <c r="AJ64" s="1188"/>
      <c r="AM64" s="1188"/>
      <c r="AN64" s="1188"/>
      <c r="AO64" s="1188"/>
      <c r="AP64" s="1188"/>
      <c r="AQ64" s="1188"/>
      <c r="AR64" s="1188"/>
    </row>
    <row r="65" spans="1:44" ht="29.25" customHeight="1" x14ac:dyDescent="0.3">
      <c r="A65" s="1130" t="s">
        <v>330</v>
      </c>
      <c r="B65" s="1111" t="s">
        <v>331</v>
      </c>
      <c r="C65" s="1131">
        <v>13.686803329579773</v>
      </c>
      <c r="D65" s="1132">
        <f>C65*D5</f>
        <v>754827.20362632442</v>
      </c>
      <c r="E65" s="1172">
        <f>D65/1000</f>
        <v>754.82720362632438</v>
      </c>
      <c r="F65" s="1188"/>
      <c r="G65" s="1190"/>
      <c r="H65" s="1190"/>
      <c r="I65" s="1189"/>
      <c r="J65" s="1184" t="s">
        <v>330</v>
      </c>
      <c r="K65" s="1111" t="s">
        <v>331</v>
      </c>
      <c r="L65" s="1131">
        <v>13.686803329579773</v>
      </c>
      <c r="M65" s="1132">
        <f>L65*M5</f>
        <v>563211.9570122076</v>
      </c>
      <c r="N65" s="1133">
        <f>M65/1000</f>
        <v>563.21195701220756</v>
      </c>
      <c r="O65" s="1076">
        <v>310</v>
      </c>
      <c r="P65" s="1191"/>
      <c r="R65" s="1189"/>
      <c r="S65" s="1184" t="s">
        <v>330</v>
      </c>
      <c r="T65" s="1111" t="s">
        <v>331</v>
      </c>
      <c r="U65" s="1131">
        <v>13.686803329579773</v>
      </c>
      <c r="V65" s="1132">
        <f>U65*V5</f>
        <v>27373.606659159545</v>
      </c>
      <c r="W65" s="1133">
        <f>V65/1000</f>
        <v>27.373606659159545</v>
      </c>
      <c r="Y65" s="1190"/>
      <c r="AA65" s="1188"/>
      <c r="AB65" s="1184" t="s">
        <v>330</v>
      </c>
      <c r="AC65" s="1111" t="s">
        <v>331</v>
      </c>
      <c r="AD65" s="1131">
        <v>13.686803329579773</v>
      </c>
      <c r="AE65" s="1132">
        <f>AD65*AE5</f>
        <v>164241.63995495727</v>
      </c>
      <c r="AF65" s="1133">
        <f>AE65/1000</f>
        <v>164.24163995495726</v>
      </c>
      <c r="AG65" s="1150">
        <v>310</v>
      </c>
      <c r="AH65" s="1190"/>
      <c r="AI65" s="1188"/>
      <c r="AJ65" s="1188"/>
      <c r="AM65" s="1190"/>
      <c r="AN65" s="1190"/>
      <c r="AO65" s="1190"/>
      <c r="AP65" s="1188"/>
      <c r="AQ65" s="1188"/>
      <c r="AR65" s="1188"/>
    </row>
    <row r="66" spans="1:44" ht="29.25" customHeight="1" x14ac:dyDescent="0.3">
      <c r="A66" s="1124" t="s">
        <v>332</v>
      </c>
      <c r="B66" s="1477" t="s">
        <v>333</v>
      </c>
      <c r="C66" s="1478"/>
      <c r="D66" s="1478"/>
      <c r="E66" s="1478">
        <f t="shared" si="55"/>
        <v>0</v>
      </c>
      <c r="F66" s="1188"/>
      <c r="G66" s="1188"/>
      <c r="H66" s="1190"/>
      <c r="I66" s="1189"/>
      <c r="J66" s="1183" t="s">
        <v>332</v>
      </c>
      <c r="K66" s="1477" t="s">
        <v>333</v>
      </c>
      <c r="L66" s="1478"/>
      <c r="M66" s="1478"/>
      <c r="N66" s="1478">
        <f t="shared" ref="N66:N68" si="59">M66/1000</f>
        <v>0</v>
      </c>
      <c r="P66" s="1189"/>
      <c r="Q66" s="1191"/>
      <c r="R66" s="1189"/>
      <c r="S66" s="1183" t="s">
        <v>332</v>
      </c>
      <c r="T66" s="1477" t="s">
        <v>333</v>
      </c>
      <c r="U66" s="1478"/>
      <c r="V66" s="1478"/>
      <c r="W66" s="1478">
        <f t="shared" ref="W66:W68" si="60">V66/1000</f>
        <v>0</v>
      </c>
      <c r="Y66" s="1188"/>
      <c r="Z66" s="1199"/>
      <c r="AA66" s="1188"/>
      <c r="AB66" s="1183" t="s">
        <v>332</v>
      </c>
      <c r="AC66" s="1477" t="s">
        <v>333</v>
      </c>
      <c r="AD66" s="1478"/>
      <c r="AE66" s="1478"/>
      <c r="AF66" s="1478">
        <f t="shared" ref="AF66:AF68" si="61">AE66/1000</f>
        <v>0</v>
      </c>
      <c r="AH66" s="1188"/>
      <c r="AI66" s="1188"/>
      <c r="AJ66" s="1188"/>
      <c r="AM66" s="1188"/>
      <c r="AN66" s="1188"/>
      <c r="AO66" s="1188"/>
      <c r="AP66" s="1188"/>
      <c r="AQ66" s="1188"/>
      <c r="AR66" s="1188"/>
    </row>
    <row r="67" spans="1:44" ht="29.25" customHeight="1" x14ac:dyDescent="0.3">
      <c r="A67" s="1084" t="s">
        <v>330</v>
      </c>
      <c r="B67" s="1102" t="s">
        <v>334</v>
      </c>
      <c r="C67" s="1134"/>
      <c r="D67" s="1103">
        <f>C68*D5</f>
        <v>776405.23985258746</v>
      </c>
      <c r="E67" s="1166">
        <f t="shared" si="55"/>
        <v>776.40523985258744</v>
      </c>
      <c r="F67" s="1188">
        <v>221</v>
      </c>
      <c r="G67" s="1190">
        <f>D68</f>
        <v>776405.23985258746</v>
      </c>
      <c r="H67" s="1190">
        <v>935479.38</v>
      </c>
      <c r="I67" s="1191">
        <f>G67-H67</f>
        <v>-159074.14014741255</v>
      </c>
      <c r="J67" s="1178" t="s">
        <v>330</v>
      </c>
      <c r="K67" s="1102" t="s">
        <v>334</v>
      </c>
      <c r="L67" s="1134"/>
      <c r="M67" s="1103">
        <f>L68*M5</f>
        <v>579312.34124993603</v>
      </c>
      <c r="N67" s="1103">
        <f t="shared" si="59"/>
        <v>579.31234124993603</v>
      </c>
      <c r="O67" s="1076">
        <v>221</v>
      </c>
      <c r="P67" s="1191">
        <f>M68</f>
        <v>579312.34124993603</v>
      </c>
      <c r="Q67" s="1191">
        <f>717269.39-Z67</f>
        <v>623452.93000000005</v>
      </c>
      <c r="R67" s="1189"/>
      <c r="S67" s="1178" t="s">
        <v>330</v>
      </c>
      <c r="T67" s="1102" t="s">
        <v>334</v>
      </c>
      <c r="U67" s="1134"/>
      <c r="V67" s="1103">
        <f>U68*V5</f>
        <v>28156.128371807343</v>
      </c>
      <c r="W67" s="1103">
        <f t="shared" si="60"/>
        <v>28.156128371807341</v>
      </c>
      <c r="X67" s="1150">
        <v>221</v>
      </c>
      <c r="Y67" s="1190">
        <f>V68</f>
        <v>28156.128371807343</v>
      </c>
      <c r="Z67" s="1199">
        <v>93816.46</v>
      </c>
      <c r="AA67" s="1188"/>
      <c r="AB67" s="1178" t="s">
        <v>330</v>
      </c>
      <c r="AC67" s="1102" t="s">
        <v>334</v>
      </c>
      <c r="AD67" s="1134"/>
      <c r="AE67" s="1103">
        <f>AD68*AE5</f>
        <v>168936.77023084403</v>
      </c>
      <c r="AF67" s="1103">
        <f t="shared" si="61"/>
        <v>168.93677023084405</v>
      </c>
      <c r="AG67" s="1150">
        <v>221</v>
      </c>
      <c r="AH67" s="1190">
        <f>AE68</f>
        <v>168936.77023084403</v>
      </c>
      <c r="AI67" s="1188">
        <v>218209.99</v>
      </c>
      <c r="AJ67" s="1188"/>
      <c r="AK67" s="1149" t="b">
        <f>AN67=G67</f>
        <v>1</v>
      </c>
      <c r="AL67" s="1150">
        <v>221</v>
      </c>
      <c r="AM67" s="1190"/>
      <c r="AN67" s="1190">
        <f>P67+Y67+AH67</f>
        <v>776405.23985258746</v>
      </c>
      <c r="AO67" s="1190"/>
      <c r="AP67" s="1190">
        <f>Q67+Z67+AI67</f>
        <v>935479.38</v>
      </c>
      <c r="AQ67" s="1188"/>
      <c r="AR67" s="1188"/>
    </row>
    <row r="68" spans="1:44" ht="29.25" customHeight="1" x14ac:dyDescent="0.3">
      <c r="A68" s="1084"/>
      <c r="B68" s="1108" t="s">
        <v>335</v>
      </c>
      <c r="C68" s="1117">
        <v>14.078064185903671</v>
      </c>
      <c r="D68" s="1128">
        <f>SUM(D67)</f>
        <v>776405.23985258746</v>
      </c>
      <c r="E68" s="1171">
        <f t="shared" si="55"/>
        <v>776.40523985258744</v>
      </c>
      <c r="F68" s="1188"/>
      <c r="G68" s="1188"/>
      <c r="H68" s="1190"/>
      <c r="I68" s="1189"/>
      <c r="J68" s="1178"/>
      <c r="K68" s="1108" t="s">
        <v>335</v>
      </c>
      <c r="L68" s="1117">
        <v>14.078064185903671</v>
      </c>
      <c r="M68" s="1128">
        <f>SUM(M67)</f>
        <v>579312.34124993603</v>
      </c>
      <c r="N68" s="1128">
        <f t="shared" si="59"/>
        <v>579.31234124993603</v>
      </c>
      <c r="P68" s="1189"/>
      <c r="Q68" s="1191"/>
      <c r="R68" s="1189"/>
      <c r="S68" s="1178"/>
      <c r="T68" s="1108" t="s">
        <v>335</v>
      </c>
      <c r="U68" s="1117">
        <v>14.078064185903671</v>
      </c>
      <c r="V68" s="1128">
        <f>SUM(V67)</f>
        <v>28156.128371807343</v>
      </c>
      <c r="W68" s="1128">
        <f t="shared" si="60"/>
        <v>28.156128371807341</v>
      </c>
      <c r="Y68" s="1188"/>
      <c r="Z68" s="1199"/>
      <c r="AA68" s="1188"/>
      <c r="AB68" s="1178"/>
      <c r="AC68" s="1108" t="s">
        <v>335</v>
      </c>
      <c r="AD68" s="1117">
        <v>14.078064185903671</v>
      </c>
      <c r="AE68" s="1128">
        <f>SUM(AE67)</f>
        <v>168936.77023084403</v>
      </c>
      <c r="AF68" s="1128">
        <f t="shared" si="61"/>
        <v>168.93677023084405</v>
      </c>
      <c r="AH68" s="1188"/>
      <c r="AI68" s="1188"/>
      <c r="AJ68" s="1188"/>
      <c r="AM68" s="1188"/>
      <c r="AN68" s="1188"/>
      <c r="AO68" s="1188"/>
      <c r="AP68" s="1188"/>
      <c r="AQ68" s="1188"/>
      <c r="AR68" s="1188"/>
    </row>
    <row r="69" spans="1:44" ht="42" customHeight="1" x14ac:dyDescent="0.3">
      <c r="A69" s="1124" t="s">
        <v>336</v>
      </c>
      <c r="B69" s="1473" t="s">
        <v>337</v>
      </c>
      <c r="C69" s="1474"/>
      <c r="D69" s="1474"/>
      <c r="E69" s="1474"/>
      <c r="F69" s="1188"/>
      <c r="G69" s="1188"/>
      <c r="H69" s="1190"/>
      <c r="I69" s="1189"/>
      <c r="J69" s="1183" t="s">
        <v>336</v>
      </c>
      <c r="K69" s="1473" t="s">
        <v>337</v>
      </c>
      <c r="L69" s="1474"/>
      <c r="M69" s="1474"/>
      <c r="N69" s="1474"/>
      <c r="P69" s="1189"/>
      <c r="Q69" s="1191"/>
      <c r="R69" s="1189"/>
      <c r="S69" s="1183" t="s">
        <v>336</v>
      </c>
      <c r="T69" s="1473" t="s">
        <v>337</v>
      </c>
      <c r="U69" s="1474"/>
      <c r="V69" s="1474"/>
      <c r="W69" s="1474"/>
      <c r="Y69" s="1188"/>
      <c r="Z69" s="1199"/>
      <c r="AA69" s="1188"/>
      <c r="AB69" s="1183" t="s">
        <v>336</v>
      </c>
      <c r="AC69" s="1473" t="s">
        <v>337</v>
      </c>
      <c r="AD69" s="1474"/>
      <c r="AE69" s="1474"/>
      <c r="AF69" s="1474"/>
      <c r="AH69" s="1188"/>
      <c r="AI69" s="1188"/>
      <c r="AJ69" s="1188"/>
      <c r="AM69" s="1188"/>
      <c r="AN69" s="1188"/>
      <c r="AO69" s="1188"/>
      <c r="AP69" s="1188"/>
      <c r="AQ69" s="1188"/>
      <c r="AR69" s="1188"/>
    </row>
    <row r="70" spans="1:44" ht="29.25" customHeight="1" x14ac:dyDescent="0.3">
      <c r="A70" s="1084" t="s">
        <v>338</v>
      </c>
      <c r="B70" s="1085" t="s">
        <v>271</v>
      </c>
      <c r="C70" s="1135">
        <v>393.16681169063827</v>
      </c>
      <c r="D70" s="1103">
        <f>C70*D5</f>
        <v>21683149.6647387</v>
      </c>
      <c r="E70" s="1166">
        <f>D70/1000</f>
        <v>21683.149664738699</v>
      </c>
      <c r="F70" s="1188"/>
      <c r="G70" s="1188"/>
      <c r="H70" s="1190"/>
      <c r="I70" s="1189"/>
      <c r="J70" s="1178" t="s">
        <v>338</v>
      </c>
      <c r="K70" s="1085" t="s">
        <v>271</v>
      </c>
      <c r="L70" s="1135">
        <v>393.16681169063827</v>
      </c>
      <c r="M70" s="1103">
        <f>L70*M5</f>
        <v>16178814.301069764</v>
      </c>
      <c r="N70" s="1103">
        <f>M70/1000</f>
        <v>16178.814301069764</v>
      </c>
      <c r="P70" s="1189"/>
      <c r="Q70" s="1191"/>
      <c r="R70" s="1189"/>
      <c r="S70" s="1178" t="s">
        <v>338</v>
      </c>
      <c r="T70" s="1085" t="s">
        <v>271</v>
      </c>
      <c r="U70" s="1135">
        <v>393.16681169063827</v>
      </c>
      <c r="V70" s="1103">
        <f>U70*V5</f>
        <v>786333.6233812765</v>
      </c>
      <c r="W70" s="1103">
        <f>V70/1000</f>
        <v>786.33362338127654</v>
      </c>
      <c r="Y70" s="1188"/>
      <c r="Z70" s="1199"/>
      <c r="AA70" s="1188"/>
      <c r="AB70" s="1178" t="s">
        <v>338</v>
      </c>
      <c r="AC70" s="1085" t="s">
        <v>271</v>
      </c>
      <c r="AD70" s="1135">
        <v>393.16681169063827</v>
      </c>
      <c r="AE70" s="1103">
        <f>AD70*AE5</f>
        <v>4718001.7402876597</v>
      </c>
      <c r="AF70" s="1103">
        <f>AE70/1000</f>
        <v>4718.0017402876601</v>
      </c>
      <c r="AH70" s="1188"/>
      <c r="AI70" s="1188"/>
      <c r="AJ70" s="1188"/>
      <c r="AM70" s="1188"/>
      <c r="AN70" s="1188"/>
      <c r="AO70" s="1188"/>
      <c r="AP70" s="1188"/>
      <c r="AQ70" s="1188"/>
      <c r="AR70" s="1188"/>
    </row>
    <row r="71" spans="1:44" ht="29.25" customHeight="1" x14ac:dyDescent="0.3">
      <c r="A71" s="1084" t="s">
        <v>339</v>
      </c>
      <c r="B71" s="1085" t="s">
        <v>275</v>
      </c>
      <c r="C71" s="1135">
        <v>118.7363</v>
      </c>
      <c r="D71" s="1103">
        <f>C71*D5</f>
        <v>6548306.9450000003</v>
      </c>
      <c r="E71" s="1166">
        <f t="shared" ref="E71:E72" si="62">D71/1000</f>
        <v>6548.3069450000003</v>
      </c>
      <c r="F71" s="1188"/>
      <c r="G71" s="1188"/>
      <c r="H71" s="1190"/>
      <c r="I71" s="1189"/>
      <c r="J71" s="1178" t="s">
        <v>339</v>
      </c>
      <c r="K71" s="1085" t="s">
        <v>275</v>
      </c>
      <c r="L71" s="1135">
        <v>118.7363</v>
      </c>
      <c r="M71" s="1103">
        <f>L71*M5</f>
        <v>4885998.7450000001</v>
      </c>
      <c r="N71" s="1103">
        <f t="shared" ref="N71:N72" si="63">M71/1000</f>
        <v>4885.9987449999999</v>
      </c>
      <c r="P71" s="1189"/>
      <c r="Q71" s="1191"/>
      <c r="R71" s="1189"/>
      <c r="S71" s="1178" t="s">
        <v>339</v>
      </c>
      <c r="T71" s="1085" t="s">
        <v>275</v>
      </c>
      <c r="U71" s="1135">
        <v>118.7363</v>
      </c>
      <c r="V71" s="1103">
        <f>U71*V5</f>
        <v>237472.6</v>
      </c>
      <c r="W71" s="1103">
        <f t="shared" ref="W71:W72" si="64">V71/1000</f>
        <v>237.4726</v>
      </c>
      <c r="Y71" s="1188"/>
      <c r="Z71" s="1199"/>
      <c r="AA71" s="1188"/>
      <c r="AB71" s="1178" t="s">
        <v>339</v>
      </c>
      <c r="AC71" s="1085" t="s">
        <v>275</v>
      </c>
      <c r="AD71" s="1135">
        <v>118.7363</v>
      </c>
      <c r="AE71" s="1103">
        <f>AD71*AE5</f>
        <v>1424835.6</v>
      </c>
      <c r="AF71" s="1103">
        <f t="shared" ref="AF71:AF72" si="65">AE71/1000</f>
        <v>1424.8356000000001</v>
      </c>
      <c r="AH71" s="1188"/>
      <c r="AI71" s="1188"/>
      <c r="AJ71" s="1188"/>
      <c r="AM71" s="1188"/>
      <c r="AN71" s="1188"/>
      <c r="AO71" s="1188"/>
      <c r="AP71" s="1188"/>
      <c r="AQ71" s="1188"/>
      <c r="AR71" s="1188"/>
    </row>
    <row r="72" spans="1:44" ht="29.25" customHeight="1" x14ac:dyDescent="0.3">
      <c r="A72" s="1084"/>
      <c r="B72" s="1108" t="s">
        <v>340</v>
      </c>
      <c r="C72" s="1117">
        <f>SUM(C70:C71)</f>
        <v>511.9031116906383</v>
      </c>
      <c r="D72" s="1128">
        <f>SUM(D70:D71)</f>
        <v>28231456.6097387</v>
      </c>
      <c r="E72" s="1171">
        <f t="shared" si="62"/>
        <v>28231.4566097387</v>
      </c>
      <c r="F72" s="1188"/>
      <c r="G72" s="1188"/>
      <c r="H72" s="1190"/>
      <c r="I72" s="1189"/>
      <c r="J72" s="1178"/>
      <c r="K72" s="1108" t="s">
        <v>340</v>
      </c>
      <c r="L72" s="1117">
        <f>SUM(L70:L71)</f>
        <v>511.9031116906383</v>
      </c>
      <c r="M72" s="1128">
        <f>SUM(M70:M71)</f>
        <v>21064813.046069764</v>
      </c>
      <c r="N72" s="1128">
        <f t="shared" si="63"/>
        <v>21064.813046069765</v>
      </c>
      <c r="P72" s="1189"/>
      <c r="Q72" s="1191"/>
      <c r="R72" s="1189"/>
      <c r="S72" s="1178"/>
      <c r="T72" s="1108" t="s">
        <v>340</v>
      </c>
      <c r="U72" s="1117">
        <f>SUM(U70:U71)</f>
        <v>511.9031116906383</v>
      </c>
      <c r="V72" s="1128">
        <f>SUM(V70:V71)</f>
        <v>1023806.2233812765</v>
      </c>
      <c r="W72" s="1128">
        <f t="shared" si="64"/>
        <v>1023.8062233812765</v>
      </c>
      <c r="Y72" s="1188"/>
      <c r="Z72" s="1199"/>
      <c r="AA72" s="1188"/>
      <c r="AB72" s="1178"/>
      <c r="AC72" s="1108" t="s">
        <v>340</v>
      </c>
      <c r="AD72" s="1117">
        <f>SUM(AD70:AD71)</f>
        <v>511.9031116906383</v>
      </c>
      <c r="AE72" s="1128">
        <f>SUM(AE70:AE71)</f>
        <v>6142837.3402876593</v>
      </c>
      <c r="AF72" s="1128">
        <f t="shared" si="65"/>
        <v>6142.8373402876596</v>
      </c>
      <c r="AH72" s="1188"/>
      <c r="AI72" s="1188"/>
      <c r="AJ72" s="1188"/>
      <c r="AM72" s="1188"/>
      <c r="AN72" s="1188"/>
      <c r="AO72" s="1188"/>
      <c r="AP72" s="1188"/>
      <c r="AQ72" s="1188"/>
      <c r="AR72" s="1188"/>
    </row>
    <row r="73" spans="1:44" s="1125" customFormat="1" ht="29.25" customHeight="1" x14ac:dyDescent="0.3">
      <c r="A73" s="1124" t="s">
        <v>341</v>
      </c>
      <c r="B73" s="1473" t="s">
        <v>342</v>
      </c>
      <c r="C73" s="1474"/>
      <c r="D73" s="1474"/>
      <c r="E73" s="1474"/>
      <c r="F73" s="1197"/>
      <c r="G73" s="1197"/>
      <c r="H73" s="1190"/>
      <c r="I73" s="1198"/>
      <c r="J73" s="1183" t="s">
        <v>341</v>
      </c>
      <c r="K73" s="1473" t="s">
        <v>342</v>
      </c>
      <c r="L73" s="1474"/>
      <c r="M73" s="1474"/>
      <c r="N73" s="1474"/>
      <c r="P73" s="1198"/>
      <c r="Q73" s="1191"/>
      <c r="R73" s="1198"/>
      <c r="S73" s="1183" t="s">
        <v>341</v>
      </c>
      <c r="T73" s="1473" t="s">
        <v>342</v>
      </c>
      <c r="U73" s="1474"/>
      <c r="V73" s="1474"/>
      <c r="W73" s="1474"/>
      <c r="X73" s="1154"/>
      <c r="Y73" s="1197"/>
      <c r="Z73" s="1199"/>
      <c r="AA73" s="1197"/>
      <c r="AB73" s="1183" t="s">
        <v>341</v>
      </c>
      <c r="AC73" s="1473" t="s">
        <v>342</v>
      </c>
      <c r="AD73" s="1474"/>
      <c r="AE73" s="1474"/>
      <c r="AF73" s="1474"/>
      <c r="AG73" s="1154"/>
      <c r="AH73" s="1197"/>
      <c r="AI73" s="1197"/>
      <c r="AJ73" s="1197"/>
      <c r="AK73" s="1224"/>
      <c r="AL73" s="1154"/>
      <c r="AM73" s="1197"/>
      <c r="AN73" s="1197"/>
      <c r="AO73" s="1197"/>
      <c r="AP73" s="1197"/>
      <c r="AQ73" s="1197"/>
      <c r="AR73" s="1197"/>
    </row>
    <row r="74" spans="1:44" ht="29.25" customHeight="1" x14ac:dyDescent="0.3">
      <c r="A74" s="1084" t="s">
        <v>343</v>
      </c>
      <c r="B74" s="1102" t="s">
        <v>344</v>
      </c>
      <c r="C74" s="1126">
        <v>92.279872805446075</v>
      </c>
      <c r="D74" s="1103">
        <f>C74*D5</f>
        <v>5089234.9852203513</v>
      </c>
      <c r="E74" s="1166">
        <f t="shared" ref="E74:E80" si="66">D74/1000</f>
        <v>5089.2349852203515</v>
      </c>
      <c r="F74" s="1188">
        <v>226</v>
      </c>
      <c r="G74" s="1190">
        <f>D74-H75</f>
        <v>5088200.9852203513</v>
      </c>
      <c r="H74" s="1190">
        <v>3819615.47</v>
      </c>
      <c r="I74" s="1191">
        <f>G74-H74</f>
        <v>1268585.5152203511</v>
      </c>
      <c r="J74" s="1178" t="s">
        <v>343</v>
      </c>
      <c r="K74" s="1102" t="s">
        <v>344</v>
      </c>
      <c r="L74" s="1126">
        <v>92.279872805446075</v>
      </c>
      <c r="M74" s="1103">
        <f>L74*M5</f>
        <v>3797316.765944106</v>
      </c>
      <c r="N74" s="1103">
        <f t="shared" ref="N74:N75" si="67">M74/1000</f>
        <v>3797.316765944106</v>
      </c>
      <c r="O74" s="1076">
        <v>226</v>
      </c>
      <c r="P74" s="1191">
        <f>M74-Q75</f>
        <v>3796282.765944106</v>
      </c>
      <c r="Q74" s="1191">
        <f>2389277.44-Z74</f>
        <v>1774324.19</v>
      </c>
      <c r="R74" s="1189"/>
      <c r="S74" s="1178" t="s">
        <v>343</v>
      </c>
      <c r="T74" s="1102" t="s">
        <v>344</v>
      </c>
      <c r="U74" s="1126">
        <v>92.279872805446075</v>
      </c>
      <c r="V74" s="1103">
        <f>U74*V5</f>
        <v>184559.74561089216</v>
      </c>
      <c r="W74" s="1103">
        <f t="shared" ref="W74:W75" si="68">V74/1000</f>
        <v>184.55974561089215</v>
      </c>
      <c r="X74" s="1150">
        <v>226</v>
      </c>
      <c r="Y74" s="1190">
        <f>V74</f>
        <v>184559.74561089216</v>
      </c>
      <c r="Z74" s="1199">
        <v>614953.25</v>
      </c>
      <c r="AA74" s="1188"/>
      <c r="AB74" s="1178" t="s">
        <v>343</v>
      </c>
      <c r="AC74" s="1102" t="s">
        <v>344</v>
      </c>
      <c r="AD74" s="1126">
        <v>92.279872805446075</v>
      </c>
      <c r="AE74" s="1103">
        <f>AD74*AE5</f>
        <v>1107358.4736653529</v>
      </c>
      <c r="AF74" s="1103">
        <f t="shared" ref="AF74:AF75" si="69">AE74/1000</f>
        <v>1107.3584736653529</v>
      </c>
      <c r="AG74" s="1150">
        <v>226</v>
      </c>
      <c r="AH74" s="1190">
        <f>AE74</f>
        <v>1107358.4736653529</v>
      </c>
      <c r="AI74" s="1188">
        <v>1430338.03</v>
      </c>
      <c r="AJ74" s="1188"/>
      <c r="AK74" s="1149" t="b">
        <f>AN74=G74</f>
        <v>1</v>
      </c>
      <c r="AL74" s="1150">
        <v>226</v>
      </c>
      <c r="AM74" s="1190"/>
      <c r="AN74" s="1190">
        <f>P74+Y74+AH74</f>
        <v>5088200.9852203513</v>
      </c>
      <c r="AO74" s="1190"/>
      <c r="AP74" s="1190">
        <f>Q74+Z74+AI74</f>
        <v>3819615.4699999997</v>
      </c>
      <c r="AQ74" s="1188"/>
      <c r="AR74" s="1188"/>
    </row>
    <row r="75" spans="1:44" ht="29.25" customHeight="1" x14ac:dyDescent="0.3">
      <c r="A75" s="1084" t="s">
        <v>345</v>
      </c>
      <c r="B75" s="1102" t="s">
        <v>288</v>
      </c>
      <c r="C75" s="1126">
        <f>36.1352068459845+0.0007+0.00003843</f>
        <v>36.135945275984497</v>
      </c>
      <c r="D75" s="1103">
        <f>C75*D5</f>
        <v>1992897.381970545</v>
      </c>
      <c r="E75" s="1166">
        <f t="shared" si="66"/>
        <v>1992.897381970545</v>
      </c>
      <c r="F75" s="1192" t="s">
        <v>987</v>
      </c>
      <c r="G75" s="1190">
        <f>H75</f>
        <v>1034</v>
      </c>
      <c r="H75" s="1190">
        <v>1034</v>
      </c>
      <c r="I75" s="1191">
        <f>G75-H75</f>
        <v>0</v>
      </c>
      <c r="J75" s="1178" t="s">
        <v>345</v>
      </c>
      <c r="K75" s="1102" t="s">
        <v>288</v>
      </c>
      <c r="L75" s="1126">
        <f>36.1352068459845+0.0007+0.00003843</f>
        <v>36.135945275984497</v>
      </c>
      <c r="M75" s="1103">
        <f>L75*M5</f>
        <v>1486994.148106762</v>
      </c>
      <c r="N75" s="1103">
        <f t="shared" si="67"/>
        <v>1486.9941481067619</v>
      </c>
      <c r="O75" s="1076" t="s">
        <v>990</v>
      </c>
      <c r="P75" s="1191">
        <v>1034</v>
      </c>
      <c r="Q75" s="1191">
        <v>1034</v>
      </c>
      <c r="R75" s="1189"/>
      <c r="S75" s="1178" t="s">
        <v>345</v>
      </c>
      <c r="T75" s="1102" t="s">
        <v>288</v>
      </c>
      <c r="U75" s="1126">
        <f>36.1352068459845+0.0007+0.00003843</f>
        <v>36.135945275984497</v>
      </c>
      <c r="V75" s="1103">
        <f>U75*V5</f>
        <v>72271.890551968987</v>
      </c>
      <c r="W75" s="1103">
        <f t="shared" si="68"/>
        <v>72.271890551968994</v>
      </c>
      <c r="Y75" s="1190"/>
      <c r="Z75" s="1199"/>
      <c r="AA75" s="1188"/>
      <c r="AB75" s="1178" t="s">
        <v>345</v>
      </c>
      <c r="AC75" s="1102" t="s">
        <v>288</v>
      </c>
      <c r="AD75" s="1126">
        <f>36.1352068459845+0.0007+0.00003843</f>
        <v>36.135945275984497</v>
      </c>
      <c r="AE75" s="1103">
        <f>AD75*AE5</f>
        <v>433631.34331181395</v>
      </c>
      <c r="AF75" s="1103">
        <f t="shared" si="69"/>
        <v>433.63134331181396</v>
      </c>
      <c r="AG75" s="1150">
        <v>310</v>
      </c>
      <c r="AH75" s="1190"/>
      <c r="AI75" s="1188"/>
      <c r="AJ75" s="1188"/>
      <c r="AK75" s="1149" t="b">
        <f>AN75=G75</f>
        <v>1</v>
      </c>
      <c r="AL75" s="1150" t="s">
        <v>990</v>
      </c>
      <c r="AM75" s="1190"/>
      <c r="AN75" s="1190">
        <f>P75</f>
        <v>1034</v>
      </c>
      <c r="AO75" s="1190"/>
      <c r="AP75" s="1190">
        <f>Q75+Z75+AI75</f>
        <v>1034</v>
      </c>
      <c r="AQ75" s="1188"/>
      <c r="AR75" s="1188"/>
    </row>
    <row r="76" spans="1:44" ht="29.25" customHeight="1" x14ac:dyDescent="0.3">
      <c r="A76" s="1084"/>
      <c r="B76" s="1108" t="s">
        <v>346</v>
      </c>
      <c r="C76" s="1119">
        <f>C74+C75</f>
        <v>128.41581808143059</v>
      </c>
      <c r="D76" s="1128">
        <f>SUM(D74:D75)</f>
        <v>7082132.3671908965</v>
      </c>
      <c r="E76" s="1171">
        <f>D76/1000</f>
        <v>7082.1323671908967</v>
      </c>
      <c r="F76" s="1188"/>
      <c r="G76" s="1188"/>
      <c r="H76" s="1189"/>
      <c r="I76" s="1189"/>
      <c r="J76" s="1178"/>
      <c r="K76" s="1108" t="s">
        <v>346</v>
      </c>
      <c r="L76" s="1119">
        <f>L74+L75</f>
        <v>128.41581808143059</v>
      </c>
      <c r="M76" s="1128">
        <f>SUM(M74:M75)</f>
        <v>5284310.9140508678</v>
      </c>
      <c r="N76" s="1128">
        <f>M76/1000</f>
        <v>5284.3109140508677</v>
      </c>
      <c r="P76" s="1189"/>
      <c r="Q76" s="1191"/>
      <c r="R76" s="1189"/>
      <c r="S76" s="1178"/>
      <c r="T76" s="1108" t="s">
        <v>346</v>
      </c>
      <c r="U76" s="1119">
        <f>U74+U75</f>
        <v>128.41581808143059</v>
      </c>
      <c r="V76" s="1128">
        <f>SUM(V74:V75)</f>
        <v>256831.63616286113</v>
      </c>
      <c r="W76" s="1128">
        <f>V76/1000</f>
        <v>256.83163616286112</v>
      </c>
      <c r="Y76" s="1188"/>
      <c r="Z76" s="1199"/>
      <c r="AA76" s="1188"/>
      <c r="AB76" s="1178"/>
      <c r="AC76" s="1108" t="s">
        <v>346</v>
      </c>
      <c r="AD76" s="1119">
        <f>AD74+AD75</f>
        <v>128.41581808143059</v>
      </c>
      <c r="AE76" s="1128">
        <f>SUM(AE74:AE75)</f>
        <v>1540989.8169771668</v>
      </c>
      <c r="AF76" s="1128">
        <f>AE76/1000</f>
        <v>1540.9898169771668</v>
      </c>
      <c r="AH76" s="1188"/>
      <c r="AI76" s="1188"/>
      <c r="AJ76" s="1188"/>
      <c r="AM76" s="1188"/>
      <c r="AN76" s="1188"/>
      <c r="AO76" s="1188"/>
      <c r="AP76" s="1188"/>
      <c r="AQ76" s="1188"/>
      <c r="AR76" s="1188"/>
    </row>
    <row r="77" spans="1:44" ht="29.25" customHeight="1" x14ac:dyDescent="0.3">
      <c r="A77" s="1121"/>
      <c r="B77" s="1122" t="s">
        <v>347</v>
      </c>
      <c r="C77" s="1123">
        <f>C54+C68+C58+C63+C72+C76+C65</f>
        <v>1100.1554840460108</v>
      </c>
      <c r="D77" s="1136">
        <f>D54+D58+D63+D65+D68+D72+D76</f>
        <v>60673574.945137486</v>
      </c>
      <c r="E77" s="1170">
        <f>D77/1000</f>
        <v>60673.574945137487</v>
      </c>
      <c r="F77" s="1188"/>
      <c r="G77" s="1190">
        <f>SUM(G9:G76)</f>
        <v>303251198.27016068</v>
      </c>
      <c r="H77" s="1190">
        <f>SUM(H9:H76)</f>
        <v>234541183.38</v>
      </c>
      <c r="I77" s="1191">
        <f>G77-+H77</f>
        <v>68710014.89016068</v>
      </c>
      <c r="J77" s="1182"/>
      <c r="K77" s="1122" t="s">
        <v>347</v>
      </c>
      <c r="L77" s="1123">
        <f>L54+L68+L58+L63+L72+L76+L65</f>
        <v>1100.1554840460108</v>
      </c>
      <c r="M77" s="1136">
        <f>M54+M58+M63+M65+M68+M72+M76</f>
        <v>45271398.168493338</v>
      </c>
      <c r="N77" s="1122">
        <f>M77/1000</f>
        <v>45271.398168493339</v>
      </c>
      <c r="P77" s="1189"/>
      <c r="Q77" s="1191"/>
      <c r="R77" s="1189"/>
      <c r="S77" s="1182"/>
      <c r="T77" s="1122" t="s">
        <v>347</v>
      </c>
      <c r="U77" s="1123">
        <f>U54+U68+U58+U63+U72+U76+U65</f>
        <v>1100.1554840460108</v>
      </c>
      <c r="V77" s="1136">
        <f>V54+V58+V63+V65+V68+V72+V76</f>
        <v>2200310.9680920211</v>
      </c>
      <c r="W77" s="1122">
        <f>V77/1000</f>
        <v>2200.3109680920211</v>
      </c>
      <c r="Y77" s="1188"/>
      <c r="Z77" s="1199"/>
      <c r="AA77" s="1188"/>
      <c r="AB77" s="1182"/>
      <c r="AC77" s="1122" t="s">
        <v>347</v>
      </c>
      <c r="AD77" s="1123">
        <f>AD54+AD68+AD58+AD63+AD72+AD76+AD65</f>
        <v>1100.1554840460108</v>
      </c>
      <c r="AE77" s="1136">
        <f>AE54+AE58+AE63+AE65+AE68+AE72+AE76</f>
        <v>13201865.808552127</v>
      </c>
      <c r="AF77" s="1122">
        <f>AE77/1000</f>
        <v>13201.865808552127</v>
      </c>
      <c r="AH77" s="1188"/>
      <c r="AI77" s="1188"/>
      <c r="AJ77" s="1188"/>
      <c r="AM77" s="1188"/>
      <c r="AN77" s="1188"/>
      <c r="AO77" s="1188"/>
      <c r="AP77" s="1188"/>
      <c r="AQ77" s="1188"/>
      <c r="AR77" s="1188"/>
    </row>
    <row r="78" spans="1:44" ht="29.25" customHeight="1" x14ac:dyDescent="0.3">
      <c r="A78" s="1121"/>
      <c r="B78" s="1137"/>
      <c r="C78" s="1138">
        <f>C45+C77</f>
        <v>5498.6618000029139</v>
      </c>
      <c r="D78" s="1138">
        <f>D45+D77</f>
        <v>303251198.27016068</v>
      </c>
      <c r="E78" s="1173">
        <f t="shared" ref="E78" si="70">E45+E77</f>
        <v>303251.1982701607</v>
      </c>
      <c r="F78" s="1201"/>
      <c r="G78" s="1190">
        <f>C78*D5</f>
        <v>303251198.27016068</v>
      </c>
      <c r="H78" s="1190"/>
      <c r="I78" s="1202"/>
      <c r="J78" s="1182"/>
      <c r="K78" s="1137"/>
      <c r="L78" s="1138">
        <f>L45+L77</f>
        <v>5498.6618000029139</v>
      </c>
      <c r="M78" s="1138">
        <f>M45+M77</f>
        <v>226269933.07011986</v>
      </c>
      <c r="N78" s="1138">
        <f t="shared" ref="N78" si="71">N45+N77</f>
        <v>226269.93307011988</v>
      </c>
      <c r="O78" s="1139"/>
      <c r="P78" s="1202"/>
      <c r="Q78" s="1191"/>
      <c r="R78" s="1202"/>
      <c r="S78" s="1182"/>
      <c r="T78" s="1137"/>
      <c r="U78" s="1138">
        <f>U45+U77</f>
        <v>5498.6618000029139</v>
      </c>
      <c r="V78" s="1138">
        <f>V45+V77</f>
        <v>10997323.600005826</v>
      </c>
      <c r="W78" s="1138">
        <f t="shared" ref="W78" si="72">W45+W77</f>
        <v>10997.323600005826</v>
      </c>
      <c r="X78" s="1155"/>
      <c r="Y78" s="1201"/>
      <c r="Z78" s="1199"/>
      <c r="AA78" s="1201"/>
      <c r="AB78" s="1182"/>
      <c r="AC78" s="1137"/>
      <c r="AD78" s="1138">
        <f>AD45+AD77</f>
        <v>5498.6618000029139</v>
      </c>
      <c r="AE78" s="1138">
        <f>AE45+AE77</f>
        <v>65983941.600034952</v>
      </c>
      <c r="AF78" s="1138">
        <f t="shared" ref="AF78" si="73">AF45+AF77</f>
        <v>65983.941600034959</v>
      </c>
      <c r="AG78" s="1155"/>
      <c r="AH78" s="1201"/>
      <c r="AI78" s="1190"/>
      <c r="AJ78" s="1188"/>
      <c r="AL78" s="1155"/>
      <c r="AM78" s="1201"/>
      <c r="AN78" s="1201"/>
      <c r="AO78" s="1201"/>
      <c r="AP78" s="1190"/>
      <c r="AQ78" s="1190"/>
      <c r="AR78" s="1188"/>
    </row>
    <row r="79" spans="1:44" ht="33" customHeight="1" x14ac:dyDescent="0.3">
      <c r="A79" s="1124" t="s">
        <v>348</v>
      </c>
      <c r="B79" s="1475" t="s">
        <v>349</v>
      </c>
      <c r="C79" s="1476"/>
      <c r="D79" s="1476"/>
      <c r="E79" s="1476"/>
      <c r="F79" s="1188"/>
      <c r="G79" s="1188"/>
      <c r="H79" s="1189"/>
      <c r="I79" s="1189"/>
      <c r="J79" s="1183" t="s">
        <v>348</v>
      </c>
      <c r="K79" s="1475" t="s">
        <v>349</v>
      </c>
      <c r="L79" s="1476"/>
      <c r="M79" s="1476"/>
      <c r="N79" s="1476"/>
      <c r="P79" s="1189"/>
      <c r="Q79" s="1191"/>
      <c r="R79" s="1189"/>
      <c r="S79" s="1183" t="s">
        <v>348</v>
      </c>
      <c r="T79" s="1475" t="s">
        <v>349</v>
      </c>
      <c r="U79" s="1476"/>
      <c r="V79" s="1476"/>
      <c r="W79" s="1476"/>
      <c r="Y79" s="1188"/>
      <c r="Z79" s="1199"/>
      <c r="AA79" s="1188"/>
      <c r="AB79" s="1183" t="s">
        <v>348</v>
      </c>
      <c r="AC79" s="1475" t="s">
        <v>349</v>
      </c>
      <c r="AD79" s="1476"/>
      <c r="AE79" s="1476"/>
      <c r="AF79" s="1476"/>
      <c r="AH79" s="1188"/>
      <c r="AI79" s="1188"/>
      <c r="AJ79" s="1188"/>
      <c r="AM79" s="1188"/>
      <c r="AN79" s="1188"/>
      <c r="AO79" s="1188"/>
      <c r="AP79" s="1188"/>
      <c r="AQ79" s="1188"/>
      <c r="AR79" s="1188"/>
    </row>
    <row r="80" spans="1:44" s="1211" customFormat="1" ht="29.25" customHeight="1" x14ac:dyDescent="0.3">
      <c r="A80" s="1204" t="s">
        <v>350</v>
      </c>
      <c r="B80" s="1205" t="s">
        <v>351</v>
      </c>
      <c r="C80" s="1140">
        <f>D80/39074</f>
        <v>97.633233096176497</v>
      </c>
      <c r="D80" s="1205">
        <v>3814920.95</v>
      </c>
      <c r="E80" s="1206">
        <f t="shared" si="66"/>
        <v>3814.9209500000002</v>
      </c>
      <c r="F80" s="1207">
        <v>290</v>
      </c>
      <c r="G80" s="1208">
        <f>D80</f>
        <v>3814920.95</v>
      </c>
      <c r="H80" s="1208">
        <v>5201007.5999999996</v>
      </c>
      <c r="I80" s="1209">
        <f>G80-H80</f>
        <v>-1386086.6499999994</v>
      </c>
      <c r="J80" s="1210" t="s">
        <v>350</v>
      </c>
      <c r="K80" s="1205" t="s">
        <v>351</v>
      </c>
      <c r="L80" s="1140">
        <f>C80</f>
        <v>97.633233096176497</v>
      </c>
      <c r="M80" s="1205">
        <f>L80*M5</f>
        <v>4017607.541907663</v>
      </c>
      <c r="N80" s="1205">
        <f t="shared" ref="N80" si="74">M80/1000</f>
        <v>4017.6075419076628</v>
      </c>
      <c r="O80" s="1211">
        <v>290</v>
      </c>
      <c r="P80" s="1209">
        <f>M80</f>
        <v>4017607.541907663</v>
      </c>
      <c r="Q80" s="1209">
        <f>3687692.49-Z80</f>
        <v>3037064.85</v>
      </c>
      <c r="R80" s="1212"/>
      <c r="S80" s="1210" t="s">
        <v>350</v>
      </c>
      <c r="T80" s="1205" t="s">
        <v>351</v>
      </c>
      <c r="U80" s="1140">
        <f>L80</f>
        <v>97.633233096176497</v>
      </c>
      <c r="V80" s="1205">
        <f>U80*V5</f>
        <v>195266.46619235299</v>
      </c>
      <c r="W80" s="1205">
        <f t="shared" ref="W80" si="75">V80/1000</f>
        <v>195.26646619235299</v>
      </c>
      <c r="X80" s="1213">
        <v>290</v>
      </c>
      <c r="Y80" s="1208">
        <f>V80</f>
        <v>195266.46619235299</v>
      </c>
      <c r="Z80" s="1208">
        <v>650627.64</v>
      </c>
      <c r="AA80" s="1207"/>
      <c r="AB80" s="1210" t="s">
        <v>350</v>
      </c>
      <c r="AC80" s="1205" t="s">
        <v>351</v>
      </c>
      <c r="AD80" s="1140">
        <f>U80</f>
        <v>97.633233096176497</v>
      </c>
      <c r="AE80" s="1205">
        <f>AD80*AE5</f>
        <v>1171598.7971541181</v>
      </c>
      <c r="AF80" s="1205">
        <f t="shared" ref="AF80" si="76">AE80/1000</f>
        <v>1171.5987971541181</v>
      </c>
      <c r="AG80" s="1213">
        <v>290</v>
      </c>
      <c r="AH80" s="1208">
        <f>AE80</f>
        <v>1171598.7971541181</v>
      </c>
      <c r="AI80" s="1208">
        <v>1513315.11</v>
      </c>
      <c r="AJ80" s="1207"/>
      <c r="AK80" s="1225" t="b">
        <f>AN80=G80</f>
        <v>0</v>
      </c>
      <c r="AL80" s="1213">
        <v>290</v>
      </c>
      <c r="AM80" s="1208"/>
      <c r="AN80" s="1208">
        <f>P80+Y80+AH80</f>
        <v>5384472.8052541343</v>
      </c>
      <c r="AO80" s="1208"/>
      <c r="AP80" s="1208">
        <f>Q80+Z80+AI80</f>
        <v>5201007.6000000006</v>
      </c>
      <c r="AQ80" s="1207"/>
      <c r="AR80" s="1207"/>
    </row>
    <row r="81" spans="1:44" ht="29.25" customHeight="1" x14ac:dyDescent="0.3">
      <c r="A81" s="1141"/>
      <c r="B81" s="1137"/>
      <c r="C81" s="1138">
        <f>C45+C77+C80</f>
        <v>5596.2950330990907</v>
      </c>
      <c r="D81" s="1138">
        <f t="shared" ref="D81:E81" si="77">D45+D77+D80</f>
        <v>307066119.22016066</v>
      </c>
      <c r="E81" s="1174">
        <f t="shared" si="77"/>
        <v>307066.1192201607</v>
      </c>
      <c r="F81" s="1188"/>
      <c r="G81" s="1190">
        <f>SUM(G9:G80)-G78-G77</f>
        <v>307066119.22016072</v>
      </c>
      <c r="H81" s="1203">
        <f>SUM(H9:H80)-H78-H77</f>
        <v>239742190.98000002</v>
      </c>
      <c r="I81" s="1203">
        <f>SUM(I9:I80)-I78-I77</f>
        <v>67323928.240160644</v>
      </c>
      <c r="J81" s="1185"/>
      <c r="K81" s="1137"/>
      <c r="L81" s="1138">
        <f>L45+L77+L80</f>
        <v>5596.2950330990907</v>
      </c>
      <c r="M81" s="1138">
        <f t="shared" ref="M81:N81" si="78">M45+M77+M80</f>
        <v>230287540.61202753</v>
      </c>
      <c r="N81" s="1142">
        <f t="shared" si="78"/>
        <v>230287.54061202754</v>
      </c>
      <c r="P81" s="1191">
        <f>SUM(P9:P80)</f>
        <v>230287540.6120275</v>
      </c>
      <c r="Q81" s="1191">
        <f>SUM(Q9:Q80)</f>
        <v>175280028.69</v>
      </c>
      <c r="R81" s="1189"/>
      <c r="S81" s="1185"/>
      <c r="T81" s="1137"/>
      <c r="U81" s="1138">
        <f>U45+U77+U80</f>
        <v>5596.2950330990907</v>
      </c>
      <c r="V81" s="1138">
        <f t="shared" ref="V81:W81" si="79">V45+V77+V80</f>
        <v>11192590.066198179</v>
      </c>
      <c r="W81" s="1142">
        <f t="shared" si="79"/>
        <v>11192.59006619818</v>
      </c>
      <c r="Y81" s="1190">
        <f>SUM(Y9:Y80)</f>
        <v>5816836.2661981797</v>
      </c>
      <c r="Z81" s="1190">
        <f>SUM(Z9:Z80)</f>
        <v>19381693.180000003</v>
      </c>
      <c r="AA81" s="1188"/>
      <c r="AB81" s="1185"/>
      <c r="AC81" s="1137"/>
      <c r="AD81" s="1138">
        <f>AD45+AD77+AD80</f>
        <v>5596.2950330990907</v>
      </c>
      <c r="AE81" s="1138">
        <f t="shared" ref="AE81:AF81" si="80">AE45+AE77+AE80</f>
        <v>67155540.397189066</v>
      </c>
      <c r="AF81" s="1142">
        <f t="shared" si="80"/>
        <v>67155.540397189077</v>
      </c>
      <c r="AH81" s="1190">
        <f>SUM(AH9:AH80)-AH10-AH19</f>
        <v>34901017.597189069</v>
      </c>
      <c r="AI81" s="1190">
        <f>SUM(AI9:AI80)</f>
        <v>45080469.109999999</v>
      </c>
      <c r="AJ81" s="1188"/>
      <c r="AM81" s="1190"/>
      <c r="AN81" s="1190"/>
      <c r="AO81" s="1190"/>
      <c r="AP81" s="1190"/>
      <c r="AQ81" s="1190"/>
      <c r="AR81" s="1188"/>
    </row>
    <row r="82" spans="1:44" ht="29.25" customHeight="1" x14ac:dyDescent="0.3">
      <c r="C82" s="861">
        <f>C81*39074</f>
        <v>218669632.12331387</v>
      </c>
      <c r="D82" s="1105">
        <f>D17+D70</f>
        <v>185135423.63973874</v>
      </c>
      <c r="E82" s="1175">
        <f>E17+E70</f>
        <v>185135.42363973867</v>
      </c>
      <c r="F82" s="1188"/>
      <c r="G82" s="1188"/>
      <c r="H82" s="1191">
        <f>G81-H81</f>
        <v>67323928.240160704</v>
      </c>
      <c r="I82" s="1189"/>
      <c r="J82" s="1077"/>
      <c r="K82" s="1143"/>
      <c r="L82" s="861">
        <f>L81*39074</f>
        <v>218669632.12331387</v>
      </c>
      <c r="M82" s="1105">
        <f>M17+M70</f>
        <v>138138217.27606976</v>
      </c>
      <c r="N82" s="1105">
        <f>N17+N70</f>
        <v>138138.21727606977</v>
      </c>
      <c r="P82" s="1189"/>
      <c r="Q82" s="1189"/>
      <c r="R82" s="1189"/>
      <c r="S82" s="1077"/>
      <c r="T82" s="1143"/>
      <c r="U82" s="861">
        <f>U81*39074</f>
        <v>218669632.12331387</v>
      </c>
      <c r="V82" s="1105">
        <f>V17+V70</f>
        <v>6713886.6233812766</v>
      </c>
      <c r="W82" s="1105">
        <f>W17+W70</f>
        <v>6713.8866233812769</v>
      </c>
      <c r="Y82" s="1188"/>
      <c r="Z82" s="1188"/>
      <c r="AA82" s="1188"/>
      <c r="AB82" s="1077"/>
      <c r="AC82" s="1143"/>
      <c r="AD82" s="861">
        <f>AD81*39074</f>
        <v>218669632.12331387</v>
      </c>
      <c r="AE82" s="1105">
        <f>AE17+AE70</f>
        <v>40283319.740287662</v>
      </c>
      <c r="AF82" s="1105">
        <f>AF17+AF70</f>
        <v>40283.319740287661</v>
      </c>
      <c r="AH82" s="1188"/>
      <c r="AI82" s="1188"/>
      <c r="AJ82" s="1188"/>
      <c r="AM82" s="1190">
        <f>SUM(AM9:AM81)</f>
        <v>142860657.23499998</v>
      </c>
      <c r="AN82" s="1190">
        <f>SUM(AN9:AN81)</f>
        <v>160923928.38041475</v>
      </c>
      <c r="AO82" s="1190">
        <f>SUM(AO9:AO81)</f>
        <v>121550240.51000001</v>
      </c>
      <c r="AP82" s="1190">
        <f>SUM(AP9:AP81)</f>
        <v>118191950.46999998</v>
      </c>
      <c r="AQ82" s="1188"/>
      <c r="AR82" s="1188"/>
    </row>
    <row r="83" spans="1:44" ht="29.25" customHeight="1" x14ac:dyDescent="0.3">
      <c r="A83" s="1076"/>
      <c r="C83" s="1104"/>
      <c r="D83" s="1105">
        <f>D26+D71</f>
        <v>55911042.425000004</v>
      </c>
      <c r="E83" s="1105">
        <f>E26+E71</f>
        <v>55911.042425000007</v>
      </c>
      <c r="G83" s="1150">
        <f>G81/55150</f>
        <v>5567.8353439739021</v>
      </c>
      <c r="H83" s="1203">
        <f>218669600+21072590.98</f>
        <v>239742190.97999999</v>
      </c>
      <c r="K83" s="1143"/>
      <c r="L83" s="1104"/>
      <c r="M83" s="1105">
        <f>M26+M71</f>
        <v>41717849.424999997</v>
      </c>
      <c r="N83" s="1105">
        <f>N26+N71</f>
        <v>41717.849425</v>
      </c>
      <c r="P83" s="1151">
        <f>L78*M5</f>
        <v>226269933.07011992</v>
      </c>
      <c r="Q83" s="1219">
        <f>73111481.36+121550240.51</f>
        <v>194661721.87</v>
      </c>
      <c r="T83" s="1143"/>
      <c r="U83" s="1104"/>
      <c r="V83" s="1105">
        <f>V26+V71</f>
        <v>2027599</v>
      </c>
      <c r="W83" s="1105">
        <f>W26+W71</f>
        <v>2027.5990000000002</v>
      </c>
      <c r="Y83" s="1150">
        <f>U78*V5</f>
        <v>10997323.600005828</v>
      </c>
      <c r="AC83" s="1143"/>
      <c r="AD83" s="1104"/>
      <c r="AE83" s="1105">
        <f>AE26+AE71</f>
        <v>12165594</v>
      </c>
      <c r="AF83" s="1105">
        <f>AF26+AF71</f>
        <v>12165.594000000001</v>
      </c>
      <c r="AH83" s="1150">
        <f>AD78*AE5</f>
        <v>65983941.600034967</v>
      </c>
      <c r="AM83" s="1499">
        <f>AM82+AN82</f>
        <v>303784585.61541474</v>
      </c>
      <c r="AN83" s="1503"/>
      <c r="AO83" s="1499">
        <f>AO82+AP82</f>
        <v>239742190.97999999</v>
      </c>
      <c r="AP83" s="1499"/>
    </row>
    <row r="84" spans="1:44" ht="29.25" customHeight="1" x14ac:dyDescent="0.3">
      <c r="A84" s="1076"/>
      <c r="C84" s="1104"/>
      <c r="D84" s="1105">
        <f>SUM(D82:D83)</f>
        <v>241046466.06473875</v>
      </c>
      <c r="E84" s="1105">
        <f>SUM(E82:E83)</f>
        <v>241046.46606473869</v>
      </c>
      <c r="K84" s="1143"/>
      <c r="L84" s="1104"/>
      <c r="M84" s="1105">
        <f>SUM(M82:M83)</f>
        <v>179856066.70106977</v>
      </c>
      <c r="N84" s="1105">
        <f>SUM(N82:N83)</f>
        <v>179856.06670106977</v>
      </c>
      <c r="T84" s="1143"/>
      <c r="U84" s="1104"/>
      <c r="V84" s="1105">
        <f>SUM(V82:V83)</f>
        <v>8741485.6233812757</v>
      </c>
      <c r="W84" s="1105">
        <f>SUM(W82:W83)</f>
        <v>8741.485623381277</v>
      </c>
      <c r="AC84" s="1143"/>
      <c r="AD84" s="1104"/>
      <c r="AE84" s="1105">
        <f>SUM(AE82:AE83)</f>
        <v>52448913.740287662</v>
      </c>
      <c r="AF84" s="1105">
        <f>SUM(AF82:AF83)</f>
        <v>52448.913740287666</v>
      </c>
      <c r="AH84" s="1150">
        <f>AH81/12000</f>
        <v>2908.4181330990891</v>
      </c>
      <c r="AM84" s="1504">
        <f>D81</f>
        <v>307066119.22016066</v>
      </c>
      <c r="AN84" s="1504"/>
    </row>
    <row r="85" spans="1:44" ht="29.25" customHeight="1" x14ac:dyDescent="0.3">
      <c r="A85" s="1076"/>
      <c r="E85" s="1144">
        <v>93045</v>
      </c>
      <c r="G85" s="1220">
        <f>G9+G11+G18+G32+G39+G48+G56+G67+G74+G75+G80</f>
        <v>158829708.18516064</v>
      </c>
      <c r="K85" s="1143"/>
      <c r="L85" s="1079"/>
      <c r="M85" s="1079"/>
      <c r="N85" s="1144">
        <v>93045</v>
      </c>
      <c r="T85" s="1143"/>
      <c r="U85" s="1079"/>
      <c r="V85" s="1079"/>
      <c r="W85" s="1144">
        <v>93045</v>
      </c>
      <c r="AC85" s="1143"/>
      <c r="AD85" s="1079"/>
      <c r="AE85" s="1079"/>
      <c r="AF85" s="1144">
        <v>93045</v>
      </c>
    </row>
    <row r="86" spans="1:44" ht="29.25" customHeight="1" x14ac:dyDescent="0.3">
      <c r="A86" s="1076"/>
      <c r="C86" s="1076"/>
      <c r="E86" s="1144">
        <v>28099.599999999999</v>
      </c>
      <c r="G86" s="1220" t="e">
        <f>#REF!+#REF!+#REF!</f>
        <v>#REF!</v>
      </c>
      <c r="K86" s="1143"/>
      <c r="M86" s="1079"/>
      <c r="N86" s="1144">
        <v>28099.599999999999</v>
      </c>
      <c r="T86" s="1143"/>
      <c r="V86" s="1079"/>
      <c r="W86" s="1144">
        <v>28099.599999999999</v>
      </c>
      <c r="AC86" s="1143"/>
      <c r="AE86" s="1079"/>
      <c r="AF86" s="1144">
        <v>28099.599999999999</v>
      </c>
    </row>
    <row r="87" spans="1:44" ht="29.25" customHeight="1" x14ac:dyDescent="0.3">
      <c r="A87" s="1076"/>
      <c r="E87" s="1144">
        <f>SUM(E85:E86)</f>
        <v>121144.6</v>
      </c>
      <c r="G87" s="1220" t="e">
        <f>G85-G86</f>
        <v>#REF!</v>
      </c>
      <c r="K87" s="1143"/>
      <c r="L87" s="1079"/>
      <c r="M87" s="1079"/>
      <c r="N87" s="1144">
        <f>SUM(N85:N86)</f>
        <v>121144.6</v>
      </c>
      <c r="T87" s="1143"/>
      <c r="U87" s="1079"/>
      <c r="V87" s="1079"/>
      <c r="W87" s="1144">
        <f>SUM(W85:W86)</f>
        <v>121144.6</v>
      </c>
      <c r="AC87" s="1143"/>
      <c r="AD87" s="1079"/>
      <c r="AE87" s="1079"/>
      <c r="AF87" s="1144">
        <f>SUM(AF85:AF86)</f>
        <v>121144.6</v>
      </c>
    </row>
    <row r="88" spans="1:44" ht="29.25" customHeight="1" x14ac:dyDescent="0.3">
      <c r="A88" s="1076"/>
      <c r="B88" s="1143" t="s">
        <v>642</v>
      </c>
      <c r="C88" s="1145">
        <f>C81-C13-C12-C11-C10-C19-C20-C21-C22-C80-C14-C15-C23-C24</f>
        <v>2810.7849000029141</v>
      </c>
      <c r="G88" s="1220">
        <f>G10+G19</f>
        <v>148236411.03500003</v>
      </c>
      <c r="K88" s="1143" t="s">
        <v>642</v>
      </c>
      <c r="L88" s="1145">
        <f>L81-L13-L12-L11-L10-L19-L20-L21-L22-L80-L14-L15-L23-L24</f>
        <v>2810.7849000029141</v>
      </c>
      <c r="M88" s="1079"/>
      <c r="N88" s="1079"/>
      <c r="T88" s="1143" t="s">
        <v>642</v>
      </c>
      <c r="U88" s="1145">
        <f>U81-U13-U12-U11-U10-U19-U20-U21-U22-U80-U14-U15-U23-U24</f>
        <v>2810.7849000029141</v>
      </c>
      <c r="V88" s="1079"/>
      <c r="W88" s="1079"/>
      <c r="AC88" s="1143" t="s">
        <v>642</v>
      </c>
      <c r="AD88" s="1145">
        <f>AD81-AD13-AD12-AD11-AD10-AD19-AD20-AD21-AD22-AD80-AD14-AD15-AD23-AD24</f>
        <v>2810.7849000029141</v>
      </c>
      <c r="AE88" s="1079"/>
      <c r="AF88" s="1079"/>
    </row>
    <row r="89" spans="1:44" ht="29.25" customHeight="1" x14ac:dyDescent="0.3">
      <c r="A89" s="1076"/>
      <c r="B89" s="1143" t="s">
        <v>643</v>
      </c>
      <c r="C89" s="1145">
        <f>C88+C80</f>
        <v>2908.4181330990905</v>
      </c>
      <c r="D89" s="1145"/>
      <c r="K89" s="1143" t="s">
        <v>643</v>
      </c>
      <c r="L89" s="1145">
        <f>L88+L80</f>
        <v>2908.4181330990905</v>
      </c>
      <c r="M89" s="1145"/>
      <c r="N89" s="1079"/>
      <c r="T89" s="1143" t="s">
        <v>643</v>
      </c>
      <c r="U89" s="1145">
        <f>U88+U80</f>
        <v>2908.4181330990905</v>
      </c>
      <c r="V89" s="1145"/>
      <c r="W89" s="1079"/>
      <c r="AC89" s="1143" t="s">
        <v>643</v>
      </c>
      <c r="AD89" s="1145">
        <f>AD88+AD80</f>
        <v>2908.4181330990905</v>
      </c>
      <c r="AE89" s="1145"/>
      <c r="AF89" s="1079"/>
    </row>
    <row r="90" spans="1:44" ht="29.25" customHeight="1" x14ac:dyDescent="0.3">
      <c r="A90" s="1076"/>
      <c r="B90" s="1146" t="s">
        <v>980</v>
      </c>
      <c r="C90" s="1145"/>
      <c r="D90" s="1145">
        <f>D91+D92</f>
        <v>148236411.03500003</v>
      </c>
      <c r="E90" s="1145">
        <f>E91+E92</f>
        <v>148236.411035</v>
      </c>
      <c r="K90" s="1146" t="s">
        <v>980</v>
      </c>
      <c r="L90" s="1145"/>
      <c r="M90" s="1145">
        <f>M91+M92</f>
        <v>110606134.435</v>
      </c>
      <c r="N90" s="1145">
        <f>N91+N92</f>
        <v>110606.13443500001</v>
      </c>
      <c r="T90" s="1146" t="s">
        <v>980</v>
      </c>
      <c r="U90" s="1145"/>
      <c r="V90" s="1145">
        <f>V91+V92</f>
        <v>5375753.7999999998</v>
      </c>
      <c r="W90" s="1145">
        <f>W91+W92</f>
        <v>5375.7538000000004</v>
      </c>
      <c r="AC90" s="1146" t="s">
        <v>980</v>
      </c>
      <c r="AD90" s="1145"/>
      <c r="AE90" s="1145">
        <f>AE91+AE92</f>
        <v>32254522.800000001</v>
      </c>
      <c r="AF90" s="1145">
        <f>AF91+AF92</f>
        <v>32254.522799999999</v>
      </c>
    </row>
    <row r="91" spans="1:44" ht="29.25" customHeight="1" x14ac:dyDescent="0.3">
      <c r="A91" s="1076"/>
      <c r="B91" s="1146" t="s">
        <v>573</v>
      </c>
      <c r="C91" s="1145"/>
      <c r="D91" s="1145">
        <f>D10+D11+D12+D13+D14+D15+D16</f>
        <v>113852840.21000001</v>
      </c>
      <c r="E91" s="1145">
        <f>E10+E11+E12+E13+E14+E15+E16</f>
        <v>113852.84020999999</v>
      </c>
      <c r="K91" s="1146" t="s">
        <v>573</v>
      </c>
      <c r="L91" s="1145"/>
      <c r="M91" s="1145">
        <f>M10+M11+M12+M13+M14+M15+M16</f>
        <v>84950940.609999999</v>
      </c>
      <c r="N91" s="1145">
        <f>N10+N11+N12+N13+N14+N15+N16</f>
        <v>84950.940610000005</v>
      </c>
      <c r="T91" s="1146" t="s">
        <v>573</v>
      </c>
      <c r="U91" s="1145"/>
      <c r="V91" s="1145">
        <f>V10+V11+V12+V13+V14+V15+V16</f>
        <v>4128842.8</v>
      </c>
      <c r="W91" s="1145">
        <f>W10+W11+W12+W13+W14+W15+W16</f>
        <v>4128.8428000000004</v>
      </c>
      <c r="AC91" s="1146" t="s">
        <v>573</v>
      </c>
      <c r="AD91" s="1145"/>
      <c r="AE91" s="1145">
        <f>AE10+AE11+AE12+AE13+AE14+AE15+AE16</f>
        <v>24773056.800000001</v>
      </c>
      <c r="AF91" s="1145">
        <f>AF10+AF11+AF12+AF13+AF14+AF15+AF16</f>
        <v>24773.056799999998</v>
      </c>
    </row>
    <row r="92" spans="1:44" ht="29.25" customHeight="1" x14ac:dyDescent="0.3">
      <c r="A92" s="1076"/>
      <c r="B92" s="1146" t="s">
        <v>981</v>
      </c>
      <c r="C92" s="1145"/>
      <c r="D92" s="1145">
        <f>D19+D20+D21+D22+D23+D24+D25</f>
        <v>34383570.825000003</v>
      </c>
      <c r="E92" s="1145">
        <f>E19+E20+E21+E22+E23+E24+E25</f>
        <v>34383.570825000003</v>
      </c>
      <c r="K92" s="1146" t="s">
        <v>981</v>
      </c>
      <c r="L92" s="1145"/>
      <c r="M92" s="1145">
        <f>M19+M20+M21+M22+M23+M24+M25</f>
        <v>25655193.824999999</v>
      </c>
      <c r="N92" s="1145">
        <f>N19+N20+N21+N22+N23+N24+N25</f>
        <v>25655.193825000002</v>
      </c>
      <c r="T92" s="1146" t="s">
        <v>981</v>
      </c>
      <c r="U92" s="1145"/>
      <c r="V92" s="1145">
        <f>V19+V20+V21+V22+V23+V24+V25</f>
        <v>1246910.9999999998</v>
      </c>
      <c r="W92" s="1145">
        <f>W19+W20+W21+W22+W23+W24+W25</f>
        <v>1246.9110000000001</v>
      </c>
      <c r="AC92" s="1146" t="s">
        <v>981</v>
      </c>
      <c r="AD92" s="1145"/>
      <c r="AE92" s="1145">
        <f>AE19+AE20+AE21+AE22+AE23+AE24+AE25</f>
        <v>7481466</v>
      </c>
      <c r="AF92" s="1145">
        <f>AF19+AF20+AF21+AF22+AF23+AF24+AF25</f>
        <v>7481.4659999999994</v>
      </c>
    </row>
    <row r="93" spans="1:44" ht="29.25" customHeight="1" x14ac:dyDescent="0.3">
      <c r="A93" s="1076"/>
      <c r="B93" s="1146"/>
      <c r="C93" s="1145"/>
      <c r="D93" s="1145"/>
      <c r="E93" s="1145">
        <v>105026.1</v>
      </c>
      <c r="K93" s="1146"/>
      <c r="L93" s="1145"/>
      <c r="M93" s="1145"/>
      <c r="N93" s="1145">
        <v>105026.1</v>
      </c>
      <c r="T93" s="1146"/>
      <c r="U93" s="1145"/>
      <c r="V93" s="1145"/>
      <c r="W93" s="1145">
        <v>105026.1</v>
      </c>
      <c r="AC93" s="1146"/>
      <c r="AD93" s="1145"/>
      <c r="AE93" s="1145"/>
      <c r="AF93" s="1145">
        <v>105026.1</v>
      </c>
    </row>
    <row r="94" spans="1:44" ht="29.25" customHeight="1" x14ac:dyDescent="0.3">
      <c r="A94" s="1076"/>
      <c r="B94" s="1146"/>
      <c r="C94" s="1145"/>
      <c r="D94" s="1145"/>
      <c r="E94" s="1145"/>
      <c r="K94" s="1146"/>
      <c r="L94" s="1145"/>
      <c r="M94" s="1145"/>
      <c r="N94" s="1145"/>
      <c r="T94" s="1146"/>
      <c r="U94" s="1145"/>
      <c r="V94" s="1145"/>
      <c r="W94" s="1145"/>
    </row>
    <row r="95" spans="1:44" ht="29.25" customHeight="1" x14ac:dyDescent="0.3">
      <c r="A95" s="1076"/>
      <c r="B95" s="1146"/>
      <c r="C95" s="1145"/>
      <c r="D95" s="1145"/>
      <c r="E95" s="1145"/>
      <c r="K95" s="1146"/>
      <c r="L95" s="1145"/>
      <c r="M95" s="1145"/>
      <c r="N95" s="1145"/>
      <c r="T95" s="1146"/>
      <c r="U95" s="1145"/>
      <c r="V95" s="1145"/>
      <c r="W95" s="1145"/>
    </row>
    <row r="96" spans="1:44" ht="29.25" customHeight="1" x14ac:dyDescent="0.3">
      <c r="A96" s="1076"/>
      <c r="B96" s="1146"/>
      <c r="C96" s="1145"/>
      <c r="D96" s="1145"/>
      <c r="E96" s="1145"/>
      <c r="G96" s="1156">
        <f>D81-G81</f>
        <v>0</v>
      </c>
      <c r="K96" s="1146"/>
      <c r="L96" s="1145"/>
      <c r="M96" s="1145"/>
      <c r="N96" s="1145"/>
      <c r="P96" s="1158">
        <f>M81-P81</f>
        <v>0</v>
      </c>
      <c r="T96" s="1146"/>
      <c r="U96" s="1145"/>
      <c r="V96" s="1145"/>
      <c r="W96" s="1145"/>
      <c r="Y96" s="1156">
        <f>V81-Y81</f>
        <v>5375753.7999999998</v>
      </c>
    </row>
    <row r="97" spans="1:5" ht="29.25" customHeight="1" x14ac:dyDescent="0.3">
      <c r="A97" s="1076"/>
      <c r="C97" s="1145"/>
      <c r="D97" s="1145"/>
    </row>
    <row r="98" spans="1:5" hidden="1" x14ac:dyDescent="0.3">
      <c r="A98" s="1076"/>
      <c r="C98" s="1145"/>
    </row>
    <row r="99" spans="1:5" hidden="1" x14ac:dyDescent="0.3">
      <c r="A99" s="1076"/>
      <c r="B99" s="1076"/>
      <c r="D99" s="1147">
        <f>D54+D58+D63+D65+D68+D72+D76</f>
        <v>60673574.945137486</v>
      </c>
      <c r="E99" s="1076"/>
    </row>
    <row r="100" spans="1:5" hidden="1" x14ac:dyDescent="0.3">
      <c r="A100" s="1076"/>
      <c r="B100" s="1076"/>
      <c r="E100" s="1076"/>
    </row>
    <row r="101" spans="1:5" ht="19.5" hidden="1" customHeight="1" x14ac:dyDescent="0.3">
      <c r="A101" s="1076"/>
      <c r="B101" s="1076"/>
      <c r="C101" s="1148">
        <v>5089.6455999999998</v>
      </c>
      <c r="D101" s="1147">
        <v>218669600</v>
      </c>
      <c r="E101" s="1076"/>
    </row>
    <row r="102" spans="1:5" hidden="1" x14ac:dyDescent="0.3">
      <c r="D102" s="1145">
        <f>D81-D101</f>
        <v>88396519.220160663</v>
      </c>
    </row>
    <row r="103" spans="1:5" hidden="1" x14ac:dyDescent="0.3"/>
    <row r="104" spans="1:5" hidden="1" x14ac:dyDescent="0.3"/>
    <row r="105" spans="1:5" hidden="1" x14ac:dyDescent="0.3"/>
  </sheetData>
  <mergeCells count="99">
    <mergeCell ref="AO83:AP83"/>
    <mergeCell ref="AM6:AR6"/>
    <mergeCell ref="AM83:AN83"/>
    <mergeCell ref="AM84:AN84"/>
    <mergeCell ref="B59:E59"/>
    <mergeCell ref="B8:E8"/>
    <mergeCell ref="B31:E31"/>
    <mergeCell ref="B46:E46"/>
    <mergeCell ref="B47:E47"/>
    <mergeCell ref="B55:E55"/>
    <mergeCell ref="B73:E73"/>
    <mergeCell ref="B79:E79"/>
    <mergeCell ref="K7:N7"/>
    <mergeCell ref="C60:C62"/>
    <mergeCell ref="D60:D62"/>
    <mergeCell ref="E60:E62"/>
    <mergeCell ref="L6:M6"/>
    <mergeCell ref="D5:E5"/>
    <mergeCell ref="C6:D6"/>
    <mergeCell ref="B7:E7"/>
    <mergeCell ref="A1:E1"/>
    <mergeCell ref="A3:A6"/>
    <mergeCell ref="B3:B6"/>
    <mergeCell ref="C3:E3"/>
    <mergeCell ref="C4:E4"/>
    <mergeCell ref="H6:I6"/>
    <mergeCell ref="J3:J6"/>
    <mergeCell ref="K3:K6"/>
    <mergeCell ref="L3:N3"/>
    <mergeCell ref="L4:N4"/>
    <mergeCell ref="M5:N5"/>
    <mergeCell ref="B64:E64"/>
    <mergeCell ref="B66:E66"/>
    <mergeCell ref="B69:E69"/>
    <mergeCell ref="K69:N69"/>
    <mergeCell ref="K8:N8"/>
    <mergeCell ref="K31:N31"/>
    <mergeCell ref="K46:N46"/>
    <mergeCell ref="K47:N47"/>
    <mergeCell ref="K55:N55"/>
    <mergeCell ref="K59:N59"/>
    <mergeCell ref="K73:N73"/>
    <mergeCell ref="K79:N79"/>
    <mergeCell ref="J2:N2"/>
    <mergeCell ref="S1:W1"/>
    <mergeCell ref="S2:W2"/>
    <mergeCell ref="S3:S6"/>
    <mergeCell ref="T3:T6"/>
    <mergeCell ref="U3:W3"/>
    <mergeCell ref="U4:W4"/>
    <mergeCell ref="V5:W5"/>
    <mergeCell ref="L60:L62"/>
    <mergeCell ref="M60:M62"/>
    <mergeCell ref="N60:N62"/>
    <mergeCell ref="K64:N64"/>
    <mergeCell ref="K66:N66"/>
    <mergeCell ref="J1:N1"/>
    <mergeCell ref="T66:W66"/>
    <mergeCell ref="T69:W69"/>
    <mergeCell ref="AB1:AF1"/>
    <mergeCell ref="AB2:AF2"/>
    <mergeCell ref="AB3:AB6"/>
    <mergeCell ref="AC3:AC6"/>
    <mergeCell ref="AD3:AF3"/>
    <mergeCell ref="AD4:AF4"/>
    <mergeCell ref="AE5:AF5"/>
    <mergeCell ref="AD6:AE6"/>
    <mergeCell ref="T59:W59"/>
    <mergeCell ref="U60:U62"/>
    <mergeCell ref="V60:V62"/>
    <mergeCell ref="W60:W62"/>
    <mergeCell ref="T64:W64"/>
    <mergeCell ref="U6:V6"/>
    <mergeCell ref="Q6:R6"/>
    <mergeCell ref="Z6:AA6"/>
    <mergeCell ref="AC47:AF47"/>
    <mergeCell ref="AC55:AF55"/>
    <mergeCell ref="AC46:AF46"/>
    <mergeCell ref="T7:W7"/>
    <mergeCell ref="T8:W8"/>
    <mergeCell ref="T31:W31"/>
    <mergeCell ref="T46:W46"/>
    <mergeCell ref="T47:W47"/>
    <mergeCell ref="T73:W73"/>
    <mergeCell ref="T79:W79"/>
    <mergeCell ref="T55:W55"/>
    <mergeCell ref="AI6:AJ6"/>
    <mergeCell ref="AC64:AF64"/>
    <mergeCell ref="AC66:AF66"/>
    <mergeCell ref="AC69:AF69"/>
    <mergeCell ref="AC73:AF73"/>
    <mergeCell ref="AC7:AF7"/>
    <mergeCell ref="AC8:AF8"/>
    <mergeCell ref="AC31:AF31"/>
    <mergeCell ref="AC79:AF79"/>
    <mergeCell ref="AC59:AF59"/>
    <mergeCell ref="AD60:AD62"/>
    <mergeCell ref="AE60:AE62"/>
    <mergeCell ref="AF60:AF62"/>
  </mergeCells>
  <pageMargins left="0.11811023622047245" right="0.11811023622047245" top="0.15748031496062992" bottom="0.15748031496062992" header="0.31496062992125984" footer="0.31496062992125984"/>
  <pageSetup paperSize="8" scale="48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  <pageSetUpPr fitToPage="1"/>
  </sheetPr>
  <dimension ref="A1:AR105"/>
  <sheetViews>
    <sheetView topLeftCell="B1" zoomScale="85" zoomScaleNormal="85" zoomScaleSheetLayoutView="115" workbookViewId="0">
      <pane xSplit="1" ySplit="8" topLeftCell="H9" activePane="bottomRight" state="frozen"/>
      <selection activeCell="B1" sqref="B1"/>
      <selection pane="topRight" activeCell="C1" sqref="C1"/>
      <selection pane="bottomLeft" activeCell="B9" sqref="B9"/>
      <selection pane="bottomRight" activeCell="Q9" sqref="Q9"/>
    </sheetView>
  </sheetViews>
  <sheetFormatPr defaultColWidth="9.140625" defaultRowHeight="18.75" x14ac:dyDescent="0.3"/>
  <cols>
    <col min="1" max="1" width="5.5703125" style="1077" hidden="1" customWidth="1"/>
    <col min="2" max="2" width="43.5703125" style="1143" customWidth="1"/>
    <col min="3" max="3" width="17.5703125" style="1079" customWidth="1"/>
    <col min="4" max="4" width="19.7109375" style="1079" customWidth="1"/>
    <col min="5" max="5" width="21.140625" style="1079" customWidth="1"/>
    <col min="6" max="6" width="15.5703125" style="1150" customWidth="1"/>
    <col min="7" max="7" width="21" style="1150" customWidth="1"/>
    <col min="8" max="8" width="18.85546875" style="1151" customWidth="1"/>
    <col min="9" max="9" width="18.140625" style="1151" customWidth="1"/>
    <col min="10" max="10" width="6.85546875" style="1076" customWidth="1"/>
    <col min="11" max="11" width="55.5703125" style="1076" customWidth="1"/>
    <col min="12" max="12" width="17.7109375" style="1076" customWidth="1"/>
    <col min="13" max="13" width="18.5703125" style="1076" customWidth="1"/>
    <col min="14" max="14" width="13.7109375" style="1076" customWidth="1"/>
    <col min="15" max="15" width="9.140625" style="1076"/>
    <col min="16" max="18" width="18.85546875" style="1151" customWidth="1"/>
    <col min="19" max="19" width="6.85546875" style="1076" customWidth="1"/>
    <col min="20" max="20" width="55.5703125" style="1076" customWidth="1"/>
    <col min="21" max="21" width="17.7109375" style="1076" customWidth="1"/>
    <col min="22" max="22" width="18.5703125" style="1076" customWidth="1"/>
    <col min="23" max="23" width="13.7109375" style="1076" customWidth="1"/>
    <col min="24" max="24" width="9.140625" style="1150"/>
    <col min="25" max="25" width="19.140625" style="1150" customWidth="1"/>
    <col min="26" max="26" width="17.42578125" style="1150" customWidth="1"/>
    <col min="27" max="27" width="15.42578125" style="1150" customWidth="1"/>
    <col min="28" max="28" width="12.5703125" style="1076" customWidth="1"/>
    <col min="29" max="29" width="40.42578125" style="1076" customWidth="1"/>
    <col min="30" max="32" width="23.28515625" style="1076" customWidth="1"/>
    <col min="33" max="33" width="18.85546875" style="1150" customWidth="1"/>
    <col min="34" max="35" width="23.28515625" style="1150" customWidth="1"/>
    <col min="36" max="36" width="18.28515625" style="1150" customWidth="1"/>
    <col min="37" max="37" width="17.140625" style="1149" customWidth="1"/>
    <col min="38" max="38" width="7" style="1150" customWidth="1"/>
    <col min="39" max="41" width="23.28515625" style="1150" customWidth="1"/>
    <col min="42" max="43" width="26" style="1150" customWidth="1"/>
    <col min="44" max="44" width="24.140625" style="1150" customWidth="1"/>
    <col min="45" max="16384" width="9.140625" style="1076"/>
  </cols>
  <sheetData>
    <row r="1" spans="1:44" ht="33" customHeight="1" x14ac:dyDescent="0.3">
      <c r="A1" s="1486" t="s">
        <v>975</v>
      </c>
      <c r="B1" s="1486"/>
      <c r="C1" s="1486"/>
      <c r="D1" s="1486"/>
      <c r="E1" s="1486"/>
      <c r="J1" s="1486" t="s">
        <v>975</v>
      </c>
      <c r="K1" s="1486"/>
      <c r="L1" s="1486"/>
      <c r="M1" s="1486"/>
      <c r="N1" s="1486"/>
      <c r="S1" s="1486" t="s">
        <v>975</v>
      </c>
      <c r="T1" s="1486"/>
      <c r="U1" s="1486"/>
      <c r="V1" s="1486"/>
      <c r="W1" s="1486"/>
      <c r="AB1" s="1486" t="s">
        <v>975</v>
      </c>
      <c r="AC1" s="1486"/>
      <c r="AD1" s="1486"/>
      <c r="AE1" s="1486"/>
      <c r="AF1" s="1486"/>
    </row>
    <row r="2" spans="1:44" ht="20.25" x14ac:dyDescent="0.3">
      <c r="B2" s="1078"/>
      <c r="J2" s="1487" t="s">
        <v>365</v>
      </c>
      <c r="K2" s="1487"/>
      <c r="L2" s="1487"/>
      <c r="M2" s="1487"/>
      <c r="N2" s="1487"/>
      <c r="S2" s="1487" t="s">
        <v>984</v>
      </c>
      <c r="T2" s="1487"/>
      <c r="U2" s="1487"/>
      <c r="V2" s="1487"/>
      <c r="W2" s="1487"/>
      <c r="AB2" s="1487" t="s">
        <v>197</v>
      </c>
      <c r="AC2" s="1487"/>
      <c r="AD2" s="1487"/>
      <c r="AE2" s="1487"/>
      <c r="AF2" s="1487"/>
    </row>
    <row r="3" spans="1:44" x14ac:dyDescent="0.3">
      <c r="A3" s="1488" t="s">
        <v>255</v>
      </c>
      <c r="B3" s="1491" t="s">
        <v>256</v>
      </c>
      <c r="C3" s="1494" t="s">
        <v>259</v>
      </c>
      <c r="D3" s="1494"/>
      <c r="E3" s="1494"/>
      <c r="J3" s="1488" t="s">
        <v>255</v>
      </c>
      <c r="K3" s="1491" t="s">
        <v>256</v>
      </c>
      <c r="L3" s="1494" t="s">
        <v>259</v>
      </c>
      <c r="M3" s="1494"/>
      <c r="N3" s="1494"/>
      <c r="S3" s="1488" t="s">
        <v>255</v>
      </c>
      <c r="T3" s="1491" t="s">
        <v>256</v>
      </c>
      <c r="U3" s="1494" t="s">
        <v>259</v>
      </c>
      <c r="V3" s="1494"/>
      <c r="W3" s="1494"/>
      <c r="AB3" s="1488" t="s">
        <v>255</v>
      </c>
      <c r="AC3" s="1491" t="s">
        <v>256</v>
      </c>
      <c r="AD3" s="1494" t="s">
        <v>259</v>
      </c>
      <c r="AE3" s="1494"/>
      <c r="AF3" s="1494"/>
    </row>
    <row r="4" spans="1:44" ht="15" customHeight="1" x14ac:dyDescent="0.3">
      <c r="A4" s="1489"/>
      <c r="B4" s="1492"/>
      <c r="C4" s="1495" t="s">
        <v>261</v>
      </c>
      <c r="D4" s="1495"/>
      <c r="E4" s="1495"/>
      <c r="J4" s="1489"/>
      <c r="K4" s="1492"/>
      <c r="L4" s="1495" t="s">
        <v>261</v>
      </c>
      <c r="M4" s="1495"/>
      <c r="N4" s="1495"/>
      <c r="S4" s="1489"/>
      <c r="T4" s="1492"/>
      <c r="U4" s="1495" t="s">
        <v>261</v>
      </c>
      <c r="V4" s="1495"/>
      <c r="W4" s="1495"/>
      <c r="AB4" s="1489"/>
      <c r="AC4" s="1492"/>
      <c r="AD4" s="1495" t="s">
        <v>261</v>
      </c>
      <c r="AE4" s="1495"/>
      <c r="AF4" s="1495"/>
    </row>
    <row r="5" spans="1:44" s="1081" customFormat="1" x14ac:dyDescent="0.3">
      <c r="A5" s="1489"/>
      <c r="B5" s="1492"/>
      <c r="C5" s="1080" t="s">
        <v>262</v>
      </c>
      <c r="D5" s="1496">
        <v>39074</v>
      </c>
      <c r="E5" s="1496"/>
      <c r="F5" s="1151"/>
      <c r="G5" s="1151"/>
      <c r="H5" s="1151"/>
      <c r="I5" s="1151"/>
      <c r="J5" s="1489"/>
      <c r="K5" s="1492"/>
      <c r="L5" s="1080" t="s">
        <v>262</v>
      </c>
      <c r="M5" s="1496">
        <f>D5-V5-AE5</f>
        <v>25074</v>
      </c>
      <c r="N5" s="1496"/>
      <c r="P5" s="1151"/>
      <c r="Q5" s="1151"/>
      <c r="R5" s="1151"/>
      <c r="S5" s="1489"/>
      <c r="T5" s="1492"/>
      <c r="U5" s="1080" t="s">
        <v>262</v>
      </c>
      <c r="V5" s="1496">
        <v>2000</v>
      </c>
      <c r="W5" s="1496"/>
      <c r="X5" s="1151"/>
      <c r="Y5" s="1151"/>
      <c r="Z5" s="1151"/>
      <c r="AA5" s="1151"/>
      <c r="AB5" s="1489"/>
      <c r="AC5" s="1492"/>
      <c r="AD5" s="1080" t="s">
        <v>262</v>
      </c>
      <c r="AE5" s="1496">
        <v>12000</v>
      </c>
      <c r="AF5" s="1496"/>
      <c r="AG5" s="1151"/>
      <c r="AH5" s="1151"/>
      <c r="AI5" s="1151"/>
      <c r="AJ5" s="1151"/>
      <c r="AK5" s="1149"/>
      <c r="AL5" s="1151"/>
      <c r="AM5" s="1151"/>
      <c r="AN5" s="1151"/>
      <c r="AO5" s="1151"/>
      <c r="AP5" s="1151"/>
      <c r="AQ5" s="1151"/>
      <c r="AR5" s="1151"/>
    </row>
    <row r="6" spans="1:44" s="1161" customFormat="1" ht="24" customHeight="1" x14ac:dyDescent="0.3">
      <c r="A6" s="1498"/>
      <c r="B6" s="1493"/>
      <c r="C6" s="1497" t="s">
        <v>263</v>
      </c>
      <c r="D6" s="1497"/>
      <c r="E6" s="1162" t="s">
        <v>264</v>
      </c>
      <c r="F6" s="1187"/>
      <c r="G6" s="1187"/>
      <c r="H6" s="1479" t="s">
        <v>988</v>
      </c>
      <c r="I6" s="1479"/>
      <c r="J6" s="1490"/>
      <c r="K6" s="1493"/>
      <c r="L6" s="1497" t="s">
        <v>263</v>
      </c>
      <c r="M6" s="1497"/>
      <c r="N6" s="1159" t="s">
        <v>264</v>
      </c>
      <c r="P6" s="1187"/>
      <c r="Q6" s="1479" t="s">
        <v>365</v>
      </c>
      <c r="R6" s="1479"/>
      <c r="S6" s="1490"/>
      <c r="T6" s="1493"/>
      <c r="U6" s="1497" t="s">
        <v>263</v>
      </c>
      <c r="V6" s="1497"/>
      <c r="W6" s="1159" t="s">
        <v>264</v>
      </c>
      <c r="X6" s="1160"/>
      <c r="Y6" s="1187"/>
      <c r="Z6" s="1479" t="s">
        <v>984</v>
      </c>
      <c r="AA6" s="1479"/>
      <c r="AB6" s="1490"/>
      <c r="AC6" s="1493"/>
      <c r="AD6" s="1497" t="s">
        <v>263</v>
      </c>
      <c r="AE6" s="1497"/>
      <c r="AF6" s="1159" t="s">
        <v>264</v>
      </c>
      <c r="AG6" s="1160"/>
      <c r="AH6" s="1187"/>
      <c r="AI6" s="1479" t="s">
        <v>197</v>
      </c>
      <c r="AJ6" s="1479"/>
      <c r="AK6" s="1221"/>
      <c r="AL6" s="1160"/>
      <c r="AM6" s="1500" t="s">
        <v>991</v>
      </c>
      <c r="AN6" s="1501"/>
      <c r="AO6" s="1501"/>
      <c r="AP6" s="1501"/>
      <c r="AQ6" s="1501"/>
      <c r="AR6" s="1502"/>
    </row>
    <row r="7" spans="1:44" ht="46.5" customHeight="1" x14ac:dyDescent="0.3">
      <c r="A7" s="1082">
        <v>1</v>
      </c>
      <c r="B7" s="1482" t="s">
        <v>265</v>
      </c>
      <c r="C7" s="1482"/>
      <c r="D7" s="1482"/>
      <c r="E7" s="1473"/>
      <c r="F7" s="1188"/>
      <c r="G7" s="1188" t="s">
        <v>989</v>
      </c>
      <c r="H7" s="1189" t="s">
        <v>985</v>
      </c>
      <c r="I7" s="1189" t="s">
        <v>986</v>
      </c>
      <c r="J7" s="1176">
        <v>1</v>
      </c>
      <c r="K7" s="1482" t="s">
        <v>265</v>
      </c>
      <c r="L7" s="1482"/>
      <c r="M7" s="1482"/>
      <c r="N7" s="1482"/>
      <c r="P7" s="1188" t="s">
        <v>989</v>
      </c>
      <c r="Q7" s="1189" t="s">
        <v>985</v>
      </c>
      <c r="R7" s="1189" t="s">
        <v>986</v>
      </c>
      <c r="S7" s="1176">
        <v>1</v>
      </c>
      <c r="T7" s="1482" t="s">
        <v>265</v>
      </c>
      <c r="U7" s="1482"/>
      <c r="V7" s="1482"/>
      <c r="W7" s="1482"/>
      <c r="Y7" s="1188" t="s">
        <v>989</v>
      </c>
      <c r="Z7" s="1189" t="s">
        <v>985</v>
      </c>
      <c r="AA7" s="1189" t="s">
        <v>986</v>
      </c>
      <c r="AB7" s="1176">
        <v>1</v>
      </c>
      <c r="AC7" s="1482" t="s">
        <v>265</v>
      </c>
      <c r="AD7" s="1482"/>
      <c r="AE7" s="1482"/>
      <c r="AF7" s="1482"/>
      <c r="AH7" s="1188" t="s">
        <v>989</v>
      </c>
      <c r="AI7" s="1189" t="s">
        <v>985</v>
      </c>
      <c r="AJ7" s="1189" t="s">
        <v>986</v>
      </c>
      <c r="AM7" s="1189" t="s">
        <v>356</v>
      </c>
      <c r="AN7" s="1188" t="s">
        <v>989</v>
      </c>
      <c r="AO7" s="1189" t="s">
        <v>356</v>
      </c>
      <c r="AP7" s="1189" t="s">
        <v>985</v>
      </c>
      <c r="AQ7" s="1189" t="s">
        <v>356</v>
      </c>
      <c r="AR7" s="1189" t="s">
        <v>986</v>
      </c>
    </row>
    <row r="8" spans="1:44" ht="36.75" customHeight="1" x14ac:dyDescent="0.3">
      <c r="A8" s="1083" t="s">
        <v>266</v>
      </c>
      <c r="B8" s="1483" t="s">
        <v>267</v>
      </c>
      <c r="C8" s="1483"/>
      <c r="D8" s="1483"/>
      <c r="E8" s="1477"/>
      <c r="F8" s="1188"/>
      <c r="G8" s="1188"/>
      <c r="H8" s="1189"/>
      <c r="I8" s="1189"/>
      <c r="J8" s="1177" t="s">
        <v>266</v>
      </c>
      <c r="K8" s="1483" t="s">
        <v>267</v>
      </c>
      <c r="L8" s="1483"/>
      <c r="M8" s="1483"/>
      <c r="N8" s="1483"/>
      <c r="P8" s="1189"/>
      <c r="Q8" s="1189"/>
      <c r="R8" s="1189"/>
      <c r="S8" s="1177" t="s">
        <v>266</v>
      </c>
      <c r="T8" s="1483" t="s">
        <v>267</v>
      </c>
      <c r="U8" s="1483"/>
      <c r="V8" s="1483"/>
      <c r="W8" s="1483"/>
      <c r="Y8" s="1188"/>
      <c r="Z8" s="1188"/>
      <c r="AA8" s="1188"/>
      <c r="AB8" s="1177" t="s">
        <v>266</v>
      </c>
      <c r="AC8" s="1483" t="s">
        <v>267</v>
      </c>
      <c r="AD8" s="1483"/>
      <c r="AE8" s="1483"/>
      <c r="AF8" s="1483"/>
      <c r="AH8" s="1188"/>
      <c r="AI8" s="1188"/>
      <c r="AJ8" s="1188"/>
      <c r="AM8" s="1188"/>
      <c r="AN8" s="1188"/>
      <c r="AO8" s="1188"/>
      <c r="AP8" s="1188"/>
      <c r="AQ8" s="1188"/>
      <c r="AR8" s="1188"/>
    </row>
    <row r="9" spans="1:44" ht="48" customHeight="1" x14ac:dyDescent="0.3">
      <c r="A9" s="1084" t="s">
        <v>270</v>
      </c>
      <c r="B9" s="1085" t="s">
        <v>271</v>
      </c>
      <c r="C9" s="1086">
        <v>899.35509999999999</v>
      </c>
      <c r="D9" s="1087">
        <f>C9*$D$5</f>
        <v>35141401.1774</v>
      </c>
      <c r="E9" s="1163">
        <f>D9/1000</f>
        <v>35141.401177400003</v>
      </c>
      <c r="F9" s="1188">
        <v>211</v>
      </c>
      <c r="G9" s="1190">
        <f>D9+D70</f>
        <v>50504001.1774</v>
      </c>
      <c r="H9" s="1190">
        <f>30201086.87+19857336.32</f>
        <v>50058423.189999998</v>
      </c>
      <c r="I9" s="1191">
        <f>G9-H9</f>
        <v>445577.98740000278</v>
      </c>
      <c r="J9" s="1178" t="s">
        <v>270</v>
      </c>
      <c r="K9" s="1085" t="s">
        <v>271</v>
      </c>
      <c r="L9" s="1086">
        <v>899.35509999999999</v>
      </c>
      <c r="M9" s="1087">
        <f t="shared" ref="M9:M15" si="0">L9*$M$5</f>
        <v>22550429.777399998</v>
      </c>
      <c r="N9" s="1087">
        <f>M9/1000</f>
        <v>22550.429777399997</v>
      </c>
      <c r="O9" s="1076">
        <v>211</v>
      </c>
      <c r="P9" s="1191">
        <f>M9+M70</f>
        <v>32408694.413731061</v>
      </c>
      <c r="Q9" s="1191">
        <f>30201086.87</f>
        <v>30201086.870000001</v>
      </c>
      <c r="R9" s="1191"/>
      <c r="S9" s="1178" t="s">
        <v>270</v>
      </c>
      <c r="T9" s="1085" t="s">
        <v>271</v>
      </c>
      <c r="U9" s="1086">
        <v>899.35509999999999</v>
      </c>
      <c r="V9" s="1087">
        <f>U9*$V$5</f>
        <v>1798710.2</v>
      </c>
      <c r="W9" s="1087">
        <f>V9/1000</f>
        <v>1798.7102</v>
      </c>
      <c r="X9" s="1150">
        <v>211</v>
      </c>
      <c r="Y9" s="1190">
        <f>V9+V70</f>
        <v>2585043.8233812763</v>
      </c>
      <c r="Z9" s="1190">
        <v>8537373.25</v>
      </c>
      <c r="AA9" s="1190"/>
      <c r="AB9" s="1178" t="s">
        <v>270</v>
      </c>
      <c r="AC9" s="1085" t="s">
        <v>271</v>
      </c>
      <c r="AD9" s="1086">
        <v>899.35509999999999</v>
      </c>
      <c r="AE9" s="1087">
        <f>AD9*$AE$5</f>
        <v>10792261.199999999</v>
      </c>
      <c r="AF9" s="1087">
        <f>AE9/1000</f>
        <v>10792.261199999999</v>
      </c>
      <c r="AG9" s="1150">
        <v>211</v>
      </c>
      <c r="AH9" s="1190">
        <f>AE9+AE70</f>
        <v>15510262.940287659</v>
      </c>
      <c r="AI9" s="1190">
        <v>19857336.32</v>
      </c>
      <c r="AJ9" s="1188"/>
      <c r="AK9" s="1149" t="b">
        <f>AM9=G10</f>
        <v>1</v>
      </c>
      <c r="AL9" s="1150">
        <v>211</v>
      </c>
      <c r="AM9" s="1190">
        <f>P10+Y10+AH10</f>
        <v>80665201.783599988</v>
      </c>
      <c r="AN9" s="1190">
        <f>P9+Y9+AH9</f>
        <v>50504001.177399993</v>
      </c>
      <c r="AO9" s="1190">
        <f>H10</f>
        <v>93378135.340000004</v>
      </c>
      <c r="AP9" s="1190">
        <f>Q9+Z9+AI9</f>
        <v>58595796.440000005</v>
      </c>
      <c r="AQ9" s="1190"/>
      <c r="AR9" s="1188"/>
    </row>
    <row r="10" spans="1:44" ht="29.25" customHeight="1" x14ac:dyDescent="0.3">
      <c r="A10" s="1084" t="s">
        <v>272</v>
      </c>
      <c r="B10" s="1085" t="s">
        <v>235</v>
      </c>
      <c r="C10" s="1086">
        <v>1090.4974999999999</v>
      </c>
      <c r="D10" s="1087">
        <f t="shared" ref="D10:D15" si="1">C10*$D$5</f>
        <v>42610099.314999998</v>
      </c>
      <c r="E10" s="1163">
        <f t="shared" ref="E10:E24" si="2">D10/1000</f>
        <v>42610.099314999999</v>
      </c>
      <c r="F10" s="1192" t="s">
        <v>982</v>
      </c>
      <c r="G10" s="1190">
        <f>D10+D11+D12+D13+D14+D15</f>
        <v>80665201.783600003</v>
      </c>
      <c r="H10" s="1190">
        <v>93378135.340000004</v>
      </c>
      <c r="I10" s="1191">
        <f>G10-H10</f>
        <v>-12712933.556400001</v>
      </c>
      <c r="J10" s="1178" t="s">
        <v>272</v>
      </c>
      <c r="K10" s="1085" t="s">
        <v>235</v>
      </c>
      <c r="L10" s="1086">
        <v>1090.4974999999999</v>
      </c>
      <c r="M10" s="1087">
        <f t="shared" si="0"/>
        <v>27343134.314999998</v>
      </c>
      <c r="N10" s="1087">
        <f t="shared" ref="N10:N15" si="3">M10/1000</f>
        <v>27343.134314999999</v>
      </c>
      <c r="O10" s="1149" t="s">
        <v>982</v>
      </c>
      <c r="P10" s="1191">
        <f>M10+M11+M12+M13+M14+M15</f>
        <v>51763302.183599994</v>
      </c>
      <c r="Q10" s="1191">
        <v>93378135.340000004</v>
      </c>
      <c r="R10" s="1189"/>
      <c r="S10" s="1178" t="s">
        <v>272</v>
      </c>
      <c r="T10" s="1085" t="s">
        <v>235</v>
      </c>
      <c r="U10" s="1086">
        <v>1090.4974999999999</v>
      </c>
      <c r="V10" s="1087">
        <f t="shared" ref="V10:V15" si="4">U10*$V$5</f>
        <v>2180995</v>
      </c>
      <c r="W10" s="1087">
        <f t="shared" ref="W10:W15" si="5">V10/1000</f>
        <v>2180.9949999999999</v>
      </c>
      <c r="X10" s="1157" t="s">
        <v>982</v>
      </c>
      <c r="Y10" s="1190">
        <f>V10+V11+V12+V13+V14+V15</f>
        <v>4128842.8</v>
      </c>
      <c r="Z10" s="1188"/>
      <c r="AA10" s="1188"/>
      <c r="AB10" s="1178" t="s">
        <v>272</v>
      </c>
      <c r="AC10" s="1085" t="s">
        <v>235</v>
      </c>
      <c r="AD10" s="1086">
        <v>1090.4974999999999</v>
      </c>
      <c r="AE10" s="1087">
        <f t="shared" ref="AE10:AE15" si="6">AD10*$AE$5</f>
        <v>13085970</v>
      </c>
      <c r="AF10" s="1087">
        <f t="shared" ref="AF10:AF15" si="7">AE10/1000</f>
        <v>13085.97</v>
      </c>
      <c r="AG10" s="1157" t="s">
        <v>982</v>
      </c>
      <c r="AH10" s="1190">
        <f>AE10+AE11+AE12+AE13+AE14+AE15</f>
        <v>24773056.800000001</v>
      </c>
      <c r="AI10" s="1188"/>
      <c r="AJ10" s="1188"/>
      <c r="AK10" s="1149" t="b">
        <f>AN9=G9</f>
        <v>1</v>
      </c>
      <c r="AL10" s="1157"/>
      <c r="AM10" s="1190"/>
      <c r="AN10" s="1190"/>
      <c r="AO10" s="1190"/>
      <c r="AP10" s="1188"/>
      <c r="AQ10" s="1188"/>
      <c r="AR10" s="1188"/>
    </row>
    <row r="11" spans="1:44" ht="29.25" customHeight="1" x14ac:dyDescent="0.3">
      <c r="A11" s="1084"/>
      <c r="B11" s="1085" t="s">
        <v>630</v>
      </c>
      <c r="C11" s="1086">
        <v>155.37700000000001</v>
      </c>
      <c r="D11" s="1087">
        <f t="shared" si="1"/>
        <v>6071200.898</v>
      </c>
      <c r="E11" s="1163">
        <f t="shared" si="2"/>
        <v>6071.2008980000001</v>
      </c>
      <c r="F11" s="1188">
        <v>212</v>
      </c>
      <c r="G11" s="1190">
        <f>H11</f>
        <v>524668.34</v>
      </c>
      <c r="H11" s="1190">
        <v>524668.34</v>
      </c>
      <c r="I11" s="1191">
        <f>G11-H11</f>
        <v>0</v>
      </c>
      <c r="J11" s="1178"/>
      <c r="K11" s="1085" t="s">
        <v>630</v>
      </c>
      <c r="L11" s="1086">
        <v>155.37700000000001</v>
      </c>
      <c r="M11" s="1087">
        <f t="shared" si="0"/>
        <v>3895922.898</v>
      </c>
      <c r="N11" s="1087">
        <f t="shared" si="3"/>
        <v>3895.9228980000003</v>
      </c>
      <c r="P11" s="1189"/>
      <c r="Q11" s="1191">
        <f>347915.5</f>
        <v>347915.5</v>
      </c>
      <c r="R11" s="1189"/>
      <c r="S11" s="1178"/>
      <c r="T11" s="1085" t="s">
        <v>630</v>
      </c>
      <c r="U11" s="1086">
        <v>155.37700000000001</v>
      </c>
      <c r="V11" s="1087">
        <f t="shared" si="4"/>
        <v>310754</v>
      </c>
      <c r="W11" s="1087">
        <f t="shared" si="5"/>
        <v>310.75400000000002</v>
      </c>
      <c r="Y11" s="1188"/>
      <c r="Z11" s="1199">
        <v>75992.320000000007</v>
      </c>
      <c r="AA11" s="1188"/>
      <c r="AB11" s="1178"/>
      <c r="AC11" s="1085" t="s">
        <v>630</v>
      </c>
      <c r="AD11" s="1086">
        <v>155.37700000000001</v>
      </c>
      <c r="AE11" s="1087">
        <f t="shared" si="6"/>
        <v>1864524</v>
      </c>
      <c r="AF11" s="1087">
        <f t="shared" si="7"/>
        <v>1864.5239999999999</v>
      </c>
      <c r="AH11" s="1188"/>
      <c r="AI11" s="1190">
        <v>176752.84</v>
      </c>
      <c r="AJ11" s="1188"/>
      <c r="AK11" s="1149" t="b">
        <f>AN11=G11</f>
        <v>0</v>
      </c>
      <c r="AL11" s="1150">
        <v>212</v>
      </c>
      <c r="AM11" s="1188"/>
      <c r="AN11" s="1190">
        <f>Q11+Z11+AI11</f>
        <v>600660.66</v>
      </c>
      <c r="AO11" s="1188"/>
      <c r="AP11" s="1190">
        <f>Q11+Z11+AI11</f>
        <v>600660.66</v>
      </c>
      <c r="AQ11" s="1188"/>
      <c r="AR11" s="1188"/>
    </row>
    <row r="12" spans="1:44" ht="29.25" customHeight="1" x14ac:dyDescent="0.3">
      <c r="A12" s="1084"/>
      <c r="B12" s="1085" t="s">
        <v>631</v>
      </c>
      <c r="C12" s="1086">
        <v>0</v>
      </c>
      <c r="D12" s="1087">
        <f t="shared" si="1"/>
        <v>0</v>
      </c>
      <c r="E12" s="1163">
        <f t="shared" si="2"/>
        <v>0</v>
      </c>
      <c r="F12" s="1188"/>
      <c r="G12" s="1188"/>
      <c r="H12" s="1190"/>
      <c r="I12" s="1189"/>
      <c r="J12" s="1178"/>
      <c r="K12" s="1085" t="s">
        <v>631</v>
      </c>
      <c r="L12" s="1086">
        <v>0</v>
      </c>
      <c r="M12" s="1087">
        <f t="shared" si="0"/>
        <v>0</v>
      </c>
      <c r="N12" s="1087">
        <f t="shared" si="3"/>
        <v>0</v>
      </c>
      <c r="P12" s="1189"/>
      <c r="Q12" s="1191"/>
      <c r="R12" s="1189"/>
      <c r="S12" s="1178"/>
      <c r="T12" s="1085" t="s">
        <v>631</v>
      </c>
      <c r="U12" s="1086">
        <v>0</v>
      </c>
      <c r="V12" s="1087">
        <f t="shared" si="4"/>
        <v>0</v>
      </c>
      <c r="W12" s="1087">
        <f t="shared" si="5"/>
        <v>0</v>
      </c>
      <c r="Y12" s="1188"/>
      <c r="Z12" s="1199"/>
      <c r="AA12" s="1188"/>
      <c r="AB12" s="1178"/>
      <c r="AC12" s="1085" t="s">
        <v>631</v>
      </c>
      <c r="AD12" s="1086">
        <v>0</v>
      </c>
      <c r="AE12" s="1087">
        <f t="shared" si="6"/>
        <v>0</v>
      </c>
      <c r="AF12" s="1087">
        <f t="shared" si="7"/>
        <v>0</v>
      </c>
      <c r="AH12" s="1188"/>
      <c r="AI12" s="1188"/>
      <c r="AJ12" s="1188"/>
      <c r="AM12" s="1188"/>
      <c r="AN12" s="1188"/>
      <c r="AO12" s="1188"/>
      <c r="AP12" s="1188"/>
      <c r="AQ12" s="1188"/>
      <c r="AR12" s="1188"/>
    </row>
    <row r="13" spans="1:44" ht="29.25" customHeight="1" x14ac:dyDescent="0.3">
      <c r="A13" s="1084"/>
      <c r="B13" s="1085" t="s">
        <v>632</v>
      </c>
      <c r="C13" s="1086">
        <v>504.40449999999998</v>
      </c>
      <c r="D13" s="1087">
        <f t="shared" si="1"/>
        <v>19709101.432999998</v>
      </c>
      <c r="E13" s="1163">
        <f t="shared" si="2"/>
        <v>19709.101433</v>
      </c>
      <c r="F13" s="1188"/>
      <c r="G13" s="1188"/>
      <c r="H13" s="1190"/>
      <c r="I13" s="1189"/>
      <c r="J13" s="1178"/>
      <c r="K13" s="1085" t="s">
        <v>632</v>
      </c>
      <c r="L13" s="1086">
        <v>504.40449999999998</v>
      </c>
      <c r="M13" s="1087">
        <f t="shared" si="0"/>
        <v>12647438.433</v>
      </c>
      <c r="N13" s="1087">
        <f t="shared" si="3"/>
        <v>12647.438432999999</v>
      </c>
      <c r="P13" s="1189"/>
      <c r="Q13" s="1191"/>
      <c r="R13" s="1189"/>
      <c r="S13" s="1178"/>
      <c r="T13" s="1085" t="s">
        <v>632</v>
      </c>
      <c r="U13" s="1086">
        <v>504.40449999999998</v>
      </c>
      <c r="V13" s="1087">
        <f t="shared" si="4"/>
        <v>1008809</v>
      </c>
      <c r="W13" s="1087">
        <f t="shared" si="5"/>
        <v>1008.809</v>
      </c>
      <c r="Y13" s="1188"/>
      <c r="Z13" s="1199"/>
      <c r="AA13" s="1188"/>
      <c r="AB13" s="1178"/>
      <c r="AC13" s="1085" t="s">
        <v>632</v>
      </c>
      <c r="AD13" s="1086">
        <v>504.40449999999998</v>
      </c>
      <c r="AE13" s="1087">
        <f t="shared" si="6"/>
        <v>6052854</v>
      </c>
      <c r="AF13" s="1087">
        <f t="shared" si="7"/>
        <v>6052.8540000000003</v>
      </c>
      <c r="AH13" s="1188"/>
      <c r="AI13" s="1188"/>
      <c r="AJ13" s="1188"/>
      <c r="AM13" s="1188"/>
      <c r="AN13" s="1188"/>
      <c r="AO13" s="1188"/>
      <c r="AP13" s="1188"/>
      <c r="AQ13" s="1188"/>
      <c r="AR13" s="1188"/>
    </row>
    <row r="14" spans="1:44" ht="29.25" customHeight="1" x14ac:dyDescent="0.3">
      <c r="A14" s="1084"/>
      <c r="B14" s="1085" t="s">
        <v>633</v>
      </c>
      <c r="C14" s="1086">
        <v>45.723500000000001</v>
      </c>
      <c r="D14" s="1087">
        <f t="shared" si="1"/>
        <v>1786600.0390000001</v>
      </c>
      <c r="E14" s="1163">
        <f t="shared" si="2"/>
        <v>1786.6000390000002</v>
      </c>
      <c r="F14" s="1188"/>
      <c r="G14" s="1188"/>
      <c r="H14" s="1190"/>
      <c r="I14" s="1189"/>
      <c r="J14" s="1178"/>
      <c r="K14" s="1085" t="s">
        <v>633</v>
      </c>
      <c r="L14" s="1086">
        <v>45.723500000000001</v>
      </c>
      <c r="M14" s="1087">
        <f t="shared" si="0"/>
        <v>1146471.0390000001</v>
      </c>
      <c r="N14" s="1087">
        <f t="shared" si="3"/>
        <v>1146.471039</v>
      </c>
      <c r="P14" s="1189"/>
      <c r="Q14" s="1191"/>
      <c r="R14" s="1189"/>
      <c r="S14" s="1178"/>
      <c r="T14" s="1085" t="s">
        <v>633</v>
      </c>
      <c r="U14" s="1086">
        <v>45.723500000000001</v>
      </c>
      <c r="V14" s="1087">
        <f t="shared" si="4"/>
        <v>91447</v>
      </c>
      <c r="W14" s="1087">
        <f t="shared" si="5"/>
        <v>91.447000000000003</v>
      </c>
      <c r="Y14" s="1188"/>
      <c r="Z14" s="1199"/>
      <c r="AA14" s="1188"/>
      <c r="AB14" s="1178"/>
      <c r="AC14" s="1085" t="s">
        <v>633</v>
      </c>
      <c r="AD14" s="1086">
        <v>45.723500000000001</v>
      </c>
      <c r="AE14" s="1087">
        <f t="shared" si="6"/>
        <v>548682</v>
      </c>
      <c r="AF14" s="1087">
        <f t="shared" si="7"/>
        <v>548.68200000000002</v>
      </c>
      <c r="AH14" s="1188"/>
      <c r="AI14" s="1188"/>
      <c r="AJ14" s="1188"/>
      <c r="AM14" s="1188"/>
      <c r="AN14" s="1188"/>
      <c r="AO14" s="1188"/>
      <c r="AP14" s="1188"/>
      <c r="AQ14" s="1188"/>
      <c r="AR14" s="1188"/>
    </row>
    <row r="15" spans="1:44" ht="29.25" customHeight="1" x14ac:dyDescent="0.3">
      <c r="A15" s="1084"/>
      <c r="B15" s="1085" t="s">
        <v>634</v>
      </c>
      <c r="C15" s="1086">
        <v>268.41890000000001</v>
      </c>
      <c r="D15" s="1087">
        <f t="shared" si="1"/>
        <v>10488200.0986</v>
      </c>
      <c r="E15" s="1163">
        <f t="shared" si="2"/>
        <v>10488.2000986</v>
      </c>
      <c r="F15" s="1188"/>
      <c r="G15" s="1188"/>
      <c r="H15" s="1190"/>
      <c r="I15" s="1189"/>
      <c r="J15" s="1178"/>
      <c r="K15" s="1085" t="s">
        <v>634</v>
      </c>
      <c r="L15" s="1086">
        <v>268.41890000000001</v>
      </c>
      <c r="M15" s="1087">
        <f t="shared" si="0"/>
        <v>6730335.4986000005</v>
      </c>
      <c r="N15" s="1087">
        <f t="shared" si="3"/>
        <v>6730.3354986000004</v>
      </c>
      <c r="P15" s="1189"/>
      <c r="Q15" s="1191"/>
      <c r="R15" s="1189"/>
      <c r="S15" s="1178"/>
      <c r="T15" s="1085" t="s">
        <v>634</v>
      </c>
      <c r="U15" s="1086">
        <v>268.41890000000001</v>
      </c>
      <c r="V15" s="1087">
        <f t="shared" si="4"/>
        <v>536837.80000000005</v>
      </c>
      <c r="W15" s="1087">
        <f t="shared" si="5"/>
        <v>536.83780000000002</v>
      </c>
      <c r="Y15" s="1188"/>
      <c r="Z15" s="1199"/>
      <c r="AA15" s="1188"/>
      <c r="AB15" s="1178"/>
      <c r="AC15" s="1085" t="s">
        <v>634</v>
      </c>
      <c r="AD15" s="1086">
        <v>268.41890000000001</v>
      </c>
      <c r="AE15" s="1087">
        <f t="shared" si="6"/>
        <v>3221026.8000000003</v>
      </c>
      <c r="AF15" s="1087">
        <f t="shared" si="7"/>
        <v>3221.0268000000001</v>
      </c>
      <c r="AH15" s="1188"/>
      <c r="AI15" s="1188"/>
      <c r="AJ15" s="1188"/>
      <c r="AM15" s="1188"/>
      <c r="AN15" s="1188"/>
      <c r="AO15" s="1188"/>
      <c r="AP15" s="1188"/>
      <c r="AQ15" s="1188"/>
      <c r="AR15" s="1188"/>
    </row>
    <row r="16" spans="1:44" ht="29.25" customHeight="1" x14ac:dyDescent="0.3">
      <c r="A16" s="1084"/>
      <c r="B16" s="1085"/>
      <c r="C16" s="1086"/>
      <c r="D16" s="1087"/>
      <c r="E16" s="1163"/>
      <c r="F16" s="1188"/>
      <c r="G16" s="1188"/>
      <c r="H16" s="1190"/>
      <c r="I16" s="1189"/>
      <c r="J16" s="1178"/>
      <c r="K16" s="1085"/>
      <c r="L16" s="1086"/>
      <c r="M16" s="1087"/>
      <c r="N16" s="1087"/>
      <c r="P16" s="1189"/>
      <c r="Q16" s="1191"/>
      <c r="R16" s="1189"/>
      <c r="S16" s="1178"/>
      <c r="T16" s="1085"/>
      <c r="U16" s="1086"/>
      <c r="V16" s="1087"/>
      <c r="W16" s="1087"/>
      <c r="Y16" s="1188"/>
      <c r="Z16" s="1199"/>
      <c r="AA16" s="1188"/>
      <c r="AB16" s="1178"/>
      <c r="AC16" s="1085"/>
      <c r="AD16" s="1086"/>
      <c r="AE16" s="1087"/>
      <c r="AF16" s="1087"/>
      <c r="AH16" s="1188"/>
      <c r="AI16" s="1188"/>
      <c r="AJ16" s="1188"/>
      <c r="AM16" s="1188"/>
      <c r="AN16" s="1188"/>
      <c r="AO16" s="1188"/>
      <c r="AP16" s="1188"/>
      <c r="AQ16" s="1188"/>
      <c r="AR16" s="1188"/>
    </row>
    <row r="17" spans="1:44" s="1091" customFormat="1" ht="29.25" customHeight="1" x14ac:dyDescent="0.3">
      <c r="A17" s="1088"/>
      <c r="B17" s="1089" t="s">
        <v>273</v>
      </c>
      <c r="C17" s="1090">
        <f t="shared" ref="C17:E17" si="8">SUM(C9:C15)</f>
        <v>2963.7765000000004</v>
      </c>
      <c r="D17" s="1090">
        <f t="shared" si="8"/>
        <v>115806602.961</v>
      </c>
      <c r="E17" s="1164">
        <f t="shared" si="8"/>
        <v>115806.602961</v>
      </c>
      <c r="F17" s="1193"/>
      <c r="G17" s="1193"/>
      <c r="H17" s="1190"/>
      <c r="I17" s="1194"/>
      <c r="J17" s="1179"/>
      <c r="K17" s="1089" t="s">
        <v>273</v>
      </c>
      <c r="L17" s="1090">
        <f t="shared" ref="L17:N17" si="9">SUM(L9:L15)</f>
        <v>2963.7765000000004</v>
      </c>
      <c r="M17" s="1090">
        <f t="shared" si="9"/>
        <v>74313731.96100001</v>
      </c>
      <c r="N17" s="1090">
        <f t="shared" si="9"/>
        <v>74313.731960999998</v>
      </c>
      <c r="P17" s="1194"/>
      <c r="Q17" s="1191"/>
      <c r="R17" s="1194"/>
      <c r="S17" s="1179"/>
      <c r="T17" s="1089" t="s">
        <v>273</v>
      </c>
      <c r="U17" s="1090">
        <f t="shared" ref="U17:W17" si="10">SUM(U9:U15)</f>
        <v>2963.7765000000004</v>
      </c>
      <c r="V17" s="1090">
        <f t="shared" si="10"/>
        <v>5927553</v>
      </c>
      <c r="W17" s="1090">
        <f t="shared" si="10"/>
        <v>5927.5530000000008</v>
      </c>
      <c r="X17" s="1152"/>
      <c r="Y17" s="1193"/>
      <c r="Z17" s="1199"/>
      <c r="AA17" s="1193"/>
      <c r="AB17" s="1179"/>
      <c r="AC17" s="1089" t="s">
        <v>273</v>
      </c>
      <c r="AD17" s="1090">
        <f t="shared" ref="AD17:AF17" si="11">SUM(AD9:AD15)</f>
        <v>2963.7765000000004</v>
      </c>
      <c r="AE17" s="1090">
        <f t="shared" si="11"/>
        <v>35565318</v>
      </c>
      <c r="AF17" s="1090">
        <f t="shared" si="11"/>
        <v>35565.317999999999</v>
      </c>
      <c r="AG17" s="1152"/>
      <c r="AH17" s="1193"/>
      <c r="AI17" s="1193"/>
      <c r="AJ17" s="1193"/>
      <c r="AK17" s="1222"/>
      <c r="AL17" s="1152"/>
      <c r="AM17" s="1193"/>
      <c r="AN17" s="1193"/>
      <c r="AO17" s="1193"/>
      <c r="AP17" s="1193"/>
      <c r="AQ17" s="1193"/>
      <c r="AR17" s="1193"/>
    </row>
    <row r="18" spans="1:44" ht="29.25" customHeight="1" x14ac:dyDescent="0.3">
      <c r="A18" s="1084" t="s">
        <v>274</v>
      </c>
      <c r="B18" s="1085" t="s">
        <v>275</v>
      </c>
      <c r="C18" s="1086">
        <v>271.60770000000002</v>
      </c>
      <c r="D18" s="1087">
        <f t="shared" ref="D18:D24" si="12">C18*$D$5</f>
        <v>10612799.269800002</v>
      </c>
      <c r="E18" s="1163">
        <f t="shared" si="2"/>
        <v>10612.799269800002</v>
      </c>
      <c r="F18" s="1188">
        <v>213</v>
      </c>
      <c r="G18" s="1190">
        <f>D18+D71-H11</f>
        <v>14727633.116000002</v>
      </c>
      <c r="H18" s="1190">
        <f>9701799.15+6050331.42</f>
        <v>15752130.57</v>
      </c>
      <c r="I18" s="1191">
        <f>G18-H18</f>
        <v>-1024497.453999998</v>
      </c>
      <c r="J18" s="1178" t="s">
        <v>274</v>
      </c>
      <c r="K18" s="1085" t="s">
        <v>275</v>
      </c>
      <c r="L18" s="1086">
        <v>271.60770000000002</v>
      </c>
      <c r="M18" s="1087">
        <f>L18*$M$5</f>
        <v>6810291.469800001</v>
      </c>
      <c r="N18" s="1087">
        <f t="shared" ref="N18:N24" si="13">M18/1000</f>
        <v>6810.2914698000013</v>
      </c>
      <c r="O18" s="1076">
        <v>213</v>
      </c>
      <c r="P18" s="1191">
        <f>M18+M71</f>
        <v>9787485.4560000002</v>
      </c>
      <c r="Q18" s="1191">
        <f>9701799.15</f>
        <v>9701799.1500000004</v>
      </c>
      <c r="R18" s="1191"/>
      <c r="S18" s="1178" t="s">
        <v>274</v>
      </c>
      <c r="T18" s="1085" t="s">
        <v>275</v>
      </c>
      <c r="U18" s="1086">
        <v>271.60770000000002</v>
      </c>
      <c r="V18" s="1087">
        <f>U18*$V$5</f>
        <v>543215.4</v>
      </c>
      <c r="W18" s="1087">
        <f t="shared" ref="W18:W24" si="14">V18/1000</f>
        <v>543.21540000000005</v>
      </c>
      <c r="X18" s="1150">
        <v>213</v>
      </c>
      <c r="Y18" s="1190">
        <f>V18+V71</f>
        <v>780688</v>
      </c>
      <c r="Z18" s="1199">
        <v>2601252.42</v>
      </c>
      <c r="AA18" s="1190"/>
      <c r="AB18" s="1178" t="s">
        <v>274</v>
      </c>
      <c r="AC18" s="1085" t="s">
        <v>275</v>
      </c>
      <c r="AD18" s="1086">
        <v>271.60770000000002</v>
      </c>
      <c r="AE18" s="1087">
        <f>AD18*$AE$5</f>
        <v>3259292.4000000004</v>
      </c>
      <c r="AF18" s="1087">
        <f t="shared" ref="AF18:AF24" si="15">AE18/1000</f>
        <v>3259.2924000000003</v>
      </c>
      <c r="AG18" s="1150">
        <v>213</v>
      </c>
      <c r="AH18" s="1190">
        <f>AE18+AE71</f>
        <v>4684128</v>
      </c>
      <c r="AI18" s="1190">
        <v>6050331.4199999999</v>
      </c>
      <c r="AJ18" s="1188"/>
      <c r="AK18" s="1226" t="b">
        <f>G19=AM18</f>
        <v>1</v>
      </c>
      <c r="AL18" s="1150">
        <v>213</v>
      </c>
      <c r="AM18" s="1190">
        <f>P19+Y19+AH19</f>
        <v>24360900.206999999</v>
      </c>
      <c r="AN18" s="1190">
        <f>P18+Y18+AH18</f>
        <v>15252301.456</v>
      </c>
      <c r="AO18" s="1190">
        <f>H19</f>
        <v>28172105.170000002</v>
      </c>
      <c r="AP18" s="1190">
        <f>Q18+Z18+AI18</f>
        <v>18353382.990000002</v>
      </c>
      <c r="AQ18" s="1190"/>
      <c r="AR18" s="1188"/>
    </row>
    <row r="19" spans="1:44" ht="29.25" customHeight="1" x14ac:dyDescent="0.3">
      <c r="A19" s="1084" t="s">
        <v>276</v>
      </c>
      <c r="B19" s="1085" t="s">
        <v>277</v>
      </c>
      <c r="C19" s="1086">
        <v>329.32900000000001</v>
      </c>
      <c r="D19" s="1087">
        <f t="shared" si="12"/>
        <v>12868201.346000001</v>
      </c>
      <c r="E19" s="1163">
        <f t="shared" si="2"/>
        <v>12868.201346000002</v>
      </c>
      <c r="F19" s="1192" t="s">
        <v>983</v>
      </c>
      <c r="G19" s="1190">
        <f>D19+D20+D22+D23+D24</f>
        <v>24360900.206999999</v>
      </c>
      <c r="H19" s="1190">
        <v>28172105.170000002</v>
      </c>
      <c r="I19" s="1191">
        <f>G19-H19</f>
        <v>-3811204.9630000032</v>
      </c>
      <c r="J19" s="1178" t="s">
        <v>276</v>
      </c>
      <c r="K19" s="1085" t="s">
        <v>277</v>
      </c>
      <c r="L19" s="1086">
        <v>329.32900000000001</v>
      </c>
      <c r="M19" s="1087">
        <f t="shared" ref="M19:M24" si="16">L19*$M$5</f>
        <v>8257595.3459999999</v>
      </c>
      <c r="N19" s="1087">
        <f t="shared" si="13"/>
        <v>8257.5953460000001</v>
      </c>
      <c r="O19" s="1149" t="s">
        <v>983</v>
      </c>
      <c r="P19" s="1191">
        <f>M19+M20+M22+M23+M24</f>
        <v>15632523.207</v>
      </c>
      <c r="Q19" s="1191">
        <v>28172105.170000002</v>
      </c>
      <c r="R19" s="1189"/>
      <c r="S19" s="1178" t="s">
        <v>276</v>
      </c>
      <c r="T19" s="1085" t="s">
        <v>277</v>
      </c>
      <c r="U19" s="1086">
        <v>329.32900000000001</v>
      </c>
      <c r="V19" s="1087">
        <f t="shared" ref="V19:V24" si="17">U19*$V$5</f>
        <v>658658</v>
      </c>
      <c r="W19" s="1087">
        <f t="shared" si="14"/>
        <v>658.65800000000002</v>
      </c>
      <c r="X19" s="1157" t="s">
        <v>983</v>
      </c>
      <c r="Y19" s="1190">
        <f>V19+V20+V22+V23+V24</f>
        <v>1246910.9999999998</v>
      </c>
      <c r="Z19" s="1199"/>
      <c r="AA19" s="1188"/>
      <c r="AB19" s="1178" t="s">
        <v>276</v>
      </c>
      <c r="AC19" s="1085" t="s">
        <v>277</v>
      </c>
      <c r="AD19" s="1086">
        <v>329.32900000000001</v>
      </c>
      <c r="AE19" s="1087">
        <f t="shared" ref="AE19:AE24" si="18">AD19*$AE$5</f>
        <v>3951948</v>
      </c>
      <c r="AF19" s="1087">
        <f t="shared" si="15"/>
        <v>3951.9479999999999</v>
      </c>
      <c r="AG19" s="1157" t="s">
        <v>983</v>
      </c>
      <c r="AH19" s="1190">
        <f>AE19+AE20+AE22+AE23+AE24</f>
        <v>7481466</v>
      </c>
      <c r="AI19" s="1188"/>
      <c r="AJ19" s="1188"/>
      <c r="AK19" s="1149" t="b">
        <f>AN18-AN11=G18</f>
        <v>0</v>
      </c>
      <c r="AL19" s="1157"/>
      <c r="AM19" s="1190"/>
      <c r="AN19" s="1190"/>
      <c r="AO19" s="1190"/>
      <c r="AP19" s="1188"/>
      <c r="AQ19" s="1188"/>
      <c r="AR19" s="1188"/>
    </row>
    <row r="20" spans="1:44" ht="29.25" customHeight="1" x14ac:dyDescent="0.3">
      <c r="A20" s="1084"/>
      <c r="B20" s="1085" t="s">
        <v>630</v>
      </c>
      <c r="C20" s="1086">
        <v>46.9238</v>
      </c>
      <c r="D20" s="1087">
        <f t="shared" si="12"/>
        <v>1833500.5612000001</v>
      </c>
      <c r="E20" s="1163">
        <f t="shared" si="2"/>
        <v>1833.5005612000002</v>
      </c>
      <c r="F20" s="1188"/>
      <c r="G20" s="1188"/>
      <c r="H20" s="1190"/>
      <c r="I20" s="1189"/>
      <c r="J20" s="1178"/>
      <c r="K20" s="1085" t="s">
        <v>630</v>
      </c>
      <c r="L20" s="1086">
        <v>46.9238</v>
      </c>
      <c r="M20" s="1087">
        <f t="shared" si="16"/>
        <v>1176567.3611999999</v>
      </c>
      <c r="N20" s="1087">
        <f t="shared" si="13"/>
        <v>1176.5673611999998</v>
      </c>
      <c r="P20" s="1189"/>
      <c r="Q20" s="1191"/>
      <c r="R20" s="1189"/>
      <c r="S20" s="1178"/>
      <c r="T20" s="1085" t="s">
        <v>630</v>
      </c>
      <c r="U20" s="1086">
        <v>46.9238</v>
      </c>
      <c r="V20" s="1087">
        <f t="shared" si="17"/>
        <v>93847.6</v>
      </c>
      <c r="W20" s="1087">
        <f t="shared" si="14"/>
        <v>93.8476</v>
      </c>
      <c r="Y20" s="1188"/>
      <c r="Z20" s="1199"/>
      <c r="AA20" s="1188"/>
      <c r="AB20" s="1178"/>
      <c r="AC20" s="1085" t="s">
        <v>630</v>
      </c>
      <c r="AD20" s="1086">
        <v>46.9238</v>
      </c>
      <c r="AE20" s="1087">
        <f t="shared" si="18"/>
        <v>563085.6</v>
      </c>
      <c r="AF20" s="1087">
        <f t="shared" si="15"/>
        <v>563.0856</v>
      </c>
      <c r="AH20" s="1188"/>
      <c r="AI20" s="1188"/>
      <c r="AJ20" s="1188"/>
      <c r="AM20" s="1188"/>
      <c r="AN20" s="1188"/>
      <c r="AO20" s="1188"/>
      <c r="AP20" s="1188"/>
      <c r="AQ20" s="1188"/>
      <c r="AR20" s="1188"/>
    </row>
    <row r="21" spans="1:44" ht="29.25" customHeight="1" x14ac:dyDescent="0.3">
      <c r="A21" s="1084"/>
      <c r="B21" s="1092" t="s">
        <v>635</v>
      </c>
      <c r="C21" s="1086">
        <v>0</v>
      </c>
      <c r="D21" s="1087">
        <f t="shared" si="12"/>
        <v>0</v>
      </c>
      <c r="E21" s="1163">
        <f t="shared" si="2"/>
        <v>0</v>
      </c>
      <c r="F21" s="1188"/>
      <c r="G21" s="1188"/>
      <c r="H21" s="1190"/>
      <c r="I21" s="1189"/>
      <c r="J21" s="1178"/>
      <c r="K21" s="1092" t="s">
        <v>635</v>
      </c>
      <c r="L21" s="1086">
        <v>0</v>
      </c>
      <c r="M21" s="1087">
        <f t="shared" si="16"/>
        <v>0</v>
      </c>
      <c r="N21" s="1087">
        <f t="shared" si="13"/>
        <v>0</v>
      </c>
      <c r="P21" s="1189"/>
      <c r="Q21" s="1191"/>
      <c r="R21" s="1189"/>
      <c r="S21" s="1178"/>
      <c r="T21" s="1092" t="s">
        <v>635</v>
      </c>
      <c r="U21" s="1086">
        <v>0</v>
      </c>
      <c r="V21" s="1087">
        <f t="shared" si="17"/>
        <v>0</v>
      </c>
      <c r="W21" s="1087">
        <f t="shared" si="14"/>
        <v>0</v>
      </c>
      <c r="Y21" s="1188"/>
      <c r="Z21" s="1199"/>
      <c r="AA21" s="1188"/>
      <c r="AB21" s="1178"/>
      <c r="AC21" s="1092" t="s">
        <v>635</v>
      </c>
      <c r="AD21" s="1086">
        <v>0</v>
      </c>
      <c r="AE21" s="1087">
        <f t="shared" si="18"/>
        <v>0</v>
      </c>
      <c r="AF21" s="1087">
        <f t="shared" si="15"/>
        <v>0</v>
      </c>
      <c r="AH21" s="1188"/>
      <c r="AI21" s="1188"/>
      <c r="AJ21" s="1188"/>
      <c r="AM21" s="1188"/>
      <c r="AN21" s="1188"/>
      <c r="AO21" s="1188"/>
      <c r="AP21" s="1188"/>
      <c r="AQ21" s="1188"/>
      <c r="AR21" s="1188"/>
    </row>
    <row r="22" spans="1:44" ht="29.25" customHeight="1" x14ac:dyDescent="0.3">
      <c r="A22" s="1084"/>
      <c r="B22" s="1092" t="s">
        <v>636</v>
      </c>
      <c r="C22" s="1086">
        <v>152.3289</v>
      </c>
      <c r="D22" s="1087">
        <f t="shared" si="12"/>
        <v>5952099.4386</v>
      </c>
      <c r="E22" s="1163">
        <f t="shared" si="2"/>
        <v>5952.0994386000002</v>
      </c>
      <c r="F22" s="1188"/>
      <c r="G22" s="1188"/>
      <c r="H22" s="1190"/>
      <c r="I22" s="1189"/>
      <c r="J22" s="1178"/>
      <c r="K22" s="1092" t="s">
        <v>636</v>
      </c>
      <c r="L22" s="1086">
        <v>152.3289</v>
      </c>
      <c r="M22" s="1087">
        <f t="shared" si="16"/>
        <v>3819494.8385999999</v>
      </c>
      <c r="N22" s="1087">
        <f t="shared" si="13"/>
        <v>3819.4948386000001</v>
      </c>
      <c r="P22" s="1189"/>
      <c r="Q22" s="1191"/>
      <c r="R22" s="1189"/>
      <c r="S22" s="1178"/>
      <c r="T22" s="1092" t="s">
        <v>636</v>
      </c>
      <c r="U22" s="1086">
        <v>152.3289</v>
      </c>
      <c r="V22" s="1087">
        <f t="shared" si="17"/>
        <v>304657.8</v>
      </c>
      <c r="W22" s="1087">
        <f t="shared" si="14"/>
        <v>304.65780000000001</v>
      </c>
      <c r="Y22" s="1188"/>
      <c r="Z22" s="1199"/>
      <c r="AA22" s="1188"/>
      <c r="AB22" s="1178"/>
      <c r="AC22" s="1092" t="s">
        <v>636</v>
      </c>
      <c r="AD22" s="1086">
        <v>152.3289</v>
      </c>
      <c r="AE22" s="1087">
        <f t="shared" si="18"/>
        <v>1827946.8</v>
      </c>
      <c r="AF22" s="1087">
        <f t="shared" si="15"/>
        <v>1827.9467999999999</v>
      </c>
      <c r="AH22" s="1188"/>
      <c r="AI22" s="1188"/>
      <c r="AJ22" s="1188"/>
      <c r="AM22" s="1188"/>
      <c r="AN22" s="1188"/>
      <c r="AO22" s="1188"/>
      <c r="AP22" s="1188"/>
      <c r="AQ22" s="1188"/>
      <c r="AR22" s="1188"/>
    </row>
    <row r="23" spans="1:44" ht="29.25" customHeight="1" x14ac:dyDescent="0.3">
      <c r="A23" s="1084"/>
      <c r="B23" s="1085" t="s">
        <v>633</v>
      </c>
      <c r="C23" s="1086">
        <v>13.809699999999999</v>
      </c>
      <c r="D23" s="1087">
        <f t="shared" si="12"/>
        <v>539600.21779999998</v>
      </c>
      <c r="E23" s="1163">
        <f t="shared" si="2"/>
        <v>539.6002178</v>
      </c>
      <c r="F23" s="1188"/>
      <c r="G23" s="1188"/>
      <c r="H23" s="1190"/>
      <c r="I23" s="1189"/>
      <c r="J23" s="1178"/>
      <c r="K23" s="1085" t="s">
        <v>633</v>
      </c>
      <c r="L23" s="1086">
        <v>13.809699999999999</v>
      </c>
      <c r="M23" s="1087">
        <f t="shared" si="16"/>
        <v>346264.4178</v>
      </c>
      <c r="N23" s="1087">
        <f t="shared" si="13"/>
        <v>346.26441779999999</v>
      </c>
      <c r="P23" s="1189"/>
      <c r="Q23" s="1191"/>
      <c r="R23" s="1189"/>
      <c r="S23" s="1178"/>
      <c r="T23" s="1085" t="s">
        <v>633</v>
      </c>
      <c r="U23" s="1086">
        <v>13.809699999999999</v>
      </c>
      <c r="V23" s="1087">
        <f t="shared" si="17"/>
        <v>27619.399999999998</v>
      </c>
      <c r="W23" s="1087">
        <f t="shared" si="14"/>
        <v>27.619399999999999</v>
      </c>
      <c r="Y23" s="1188"/>
      <c r="Z23" s="1199"/>
      <c r="AA23" s="1188"/>
      <c r="AB23" s="1178"/>
      <c r="AC23" s="1085" t="s">
        <v>633</v>
      </c>
      <c r="AD23" s="1086">
        <v>13.809699999999999</v>
      </c>
      <c r="AE23" s="1087">
        <f t="shared" si="18"/>
        <v>165716.4</v>
      </c>
      <c r="AF23" s="1087">
        <f t="shared" si="15"/>
        <v>165.71639999999999</v>
      </c>
      <c r="AH23" s="1188"/>
      <c r="AI23" s="1188"/>
      <c r="AJ23" s="1188"/>
      <c r="AM23" s="1188"/>
      <c r="AN23" s="1188"/>
      <c r="AO23" s="1188"/>
      <c r="AP23" s="1188"/>
      <c r="AQ23" s="1188"/>
      <c r="AR23" s="1188"/>
    </row>
    <row r="24" spans="1:44" ht="29.25" customHeight="1" x14ac:dyDescent="0.3">
      <c r="A24" s="1084"/>
      <c r="B24" s="1092" t="s">
        <v>637</v>
      </c>
      <c r="C24" s="1086">
        <v>81.064099999999996</v>
      </c>
      <c r="D24" s="1087">
        <f t="shared" si="12"/>
        <v>3167498.6433999999</v>
      </c>
      <c r="E24" s="1163">
        <f t="shared" si="2"/>
        <v>3167.4986433999998</v>
      </c>
      <c r="F24" s="1188"/>
      <c r="G24" s="1188"/>
      <c r="H24" s="1190"/>
      <c r="I24" s="1189"/>
      <c r="J24" s="1178"/>
      <c r="K24" s="1092" t="s">
        <v>637</v>
      </c>
      <c r="L24" s="1086">
        <v>81.064099999999996</v>
      </c>
      <c r="M24" s="1087">
        <f t="shared" si="16"/>
        <v>2032601.2433999998</v>
      </c>
      <c r="N24" s="1087">
        <f t="shared" si="13"/>
        <v>2032.6012433999997</v>
      </c>
      <c r="P24" s="1189"/>
      <c r="Q24" s="1191"/>
      <c r="R24" s="1189"/>
      <c r="S24" s="1178"/>
      <c r="T24" s="1092" t="s">
        <v>637</v>
      </c>
      <c r="U24" s="1086">
        <v>81.064099999999996</v>
      </c>
      <c r="V24" s="1087">
        <f t="shared" si="17"/>
        <v>162128.19999999998</v>
      </c>
      <c r="W24" s="1087">
        <f t="shared" si="14"/>
        <v>162.12819999999999</v>
      </c>
      <c r="Y24" s="1188"/>
      <c r="Z24" s="1199"/>
      <c r="AA24" s="1188"/>
      <c r="AB24" s="1178"/>
      <c r="AC24" s="1092" t="s">
        <v>637</v>
      </c>
      <c r="AD24" s="1086">
        <v>81.064099999999996</v>
      </c>
      <c r="AE24" s="1087">
        <f t="shared" si="18"/>
        <v>972769.2</v>
      </c>
      <c r="AF24" s="1087">
        <f t="shared" si="15"/>
        <v>972.76919999999996</v>
      </c>
      <c r="AH24" s="1188"/>
      <c r="AI24" s="1188"/>
      <c r="AJ24" s="1188"/>
      <c r="AM24" s="1188"/>
      <c r="AN24" s="1188"/>
      <c r="AO24" s="1188"/>
      <c r="AP24" s="1188"/>
      <c r="AQ24" s="1188"/>
      <c r="AR24" s="1188"/>
    </row>
    <row r="25" spans="1:44" ht="29.25" customHeight="1" x14ac:dyDescent="0.3">
      <c r="A25" s="1084"/>
      <c r="B25" s="1092"/>
      <c r="C25" s="1086"/>
      <c r="D25" s="1087"/>
      <c r="E25" s="1163"/>
      <c r="F25" s="1188"/>
      <c r="G25" s="1188"/>
      <c r="H25" s="1190"/>
      <c r="I25" s="1189"/>
      <c r="J25" s="1178"/>
      <c r="K25" s="1092"/>
      <c r="L25" s="1086"/>
      <c r="M25" s="1087"/>
      <c r="N25" s="1087"/>
      <c r="P25" s="1189"/>
      <c r="Q25" s="1191"/>
      <c r="R25" s="1189"/>
      <c r="S25" s="1178"/>
      <c r="T25" s="1092"/>
      <c r="U25" s="1086"/>
      <c r="V25" s="1087"/>
      <c r="W25" s="1087"/>
      <c r="Y25" s="1188"/>
      <c r="Z25" s="1199"/>
      <c r="AA25" s="1188"/>
      <c r="AB25" s="1178"/>
      <c r="AC25" s="1092"/>
      <c r="AD25" s="1086"/>
      <c r="AE25" s="1087"/>
      <c r="AF25" s="1087"/>
      <c r="AH25" s="1188"/>
      <c r="AI25" s="1188"/>
      <c r="AJ25" s="1188"/>
      <c r="AM25" s="1188"/>
      <c r="AN25" s="1188"/>
      <c r="AO25" s="1188"/>
      <c r="AP25" s="1188"/>
      <c r="AQ25" s="1188"/>
      <c r="AR25" s="1188"/>
    </row>
    <row r="26" spans="1:44" s="1091" customFormat="1" ht="29.25" customHeight="1" x14ac:dyDescent="0.3">
      <c r="A26" s="1088"/>
      <c r="B26" s="1089" t="s">
        <v>278</v>
      </c>
      <c r="C26" s="1090">
        <f t="shared" ref="C26:E26" si="19">SUM(C18:C24)</f>
        <v>895.06320000000005</v>
      </c>
      <c r="D26" s="1090">
        <f t="shared" si="19"/>
        <v>34973699.476800002</v>
      </c>
      <c r="E26" s="1164">
        <f t="shared" si="19"/>
        <v>34973.6994768</v>
      </c>
      <c r="F26" s="1193"/>
      <c r="G26" s="1193"/>
      <c r="H26" s="1190"/>
      <c r="I26" s="1194"/>
      <c r="J26" s="1179"/>
      <c r="K26" s="1089" t="s">
        <v>278</v>
      </c>
      <c r="L26" s="1090">
        <f t="shared" ref="L26:N26" si="20">SUM(L18:L24)</f>
        <v>895.06320000000005</v>
      </c>
      <c r="M26" s="1090">
        <f t="shared" si="20"/>
        <v>22442814.676800001</v>
      </c>
      <c r="N26" s="1090">
        <f t="shared" si="20"/>
        <v>22442.814676800001</v>
      </c>
      <c r="P26" s="1194"/>
      <c r="Q26" s="1191"/>
      <c r="R26" s="1194"/>
      <c r="S26" s="1179"/>
      <c r="T26" s="1089" t="s">
        <v>278</v>
      </c>
      <c r="U26" s="1090">
        <f t="shared" ref="U26:W26" si="21">SUM(U18:U24)</f>
        <v>895.06320000000005</v>
      </c>
      <c r="V26" s="1090">
        <f t="shared" si="21"/>
        <v>1790126.4</v>
      </c>
      <c r="W26" s="1090">
        <f t="shared" si="21"/>
        <v>1790.1264000000001</v>
      </c>
      <c r="X26" s="1152"/>
      <c r="Y26" s="1193"/>
      <c r="Z26" s="1199"/>
      <c r="AA26" s="1193"/>
      <c r="AB26" s="1179"/>
      <c r="AC26" s="1089" t="s">
        <v>278</v>
      </c>
      <c r="AD26" s="1090">
        <f t="shared" ref="AD26:AF26" si="22">SUM(AD18:AD24)</f>
        <v>895.06320000000005</v>
      </c>
      <c r="AE26" s="1090">
        <f t="shared" si="22"/>
        <v>10740758.4</v>
      </c>
      <c r="AF26" s="1090">
        <f t="shared" si="22"/>
        <v>10740.758400000001</v>
      </c>
      <c r="AG26" s="1152"/>
      <c r="AH26" s="1193"/>
      <c r="AI26" s="1193"/>
      <c r="AJ26" s="1193"/>
      <c r="AK26" s="1222"/>
      <c r="AL26" s="1152"/>
      <c r="AM26" s="1193"/>
      <c r="AN26" s="1193"/>
      <c r="AO26" s="1193"/>
      <c r="AP26" s="1193"/>
      <c r="AQ26" s="1193"/>
      <c r="AR26" s="1193"/>
    </row>
    <row r="27" spans="1:44" ht="29.25" customHeight="1" x14ac:dyDescent="0.3">
      <c r="A27" s="1093"/>
      <c r="B27" s="1094" t="s">
        <v>279</v>
      </c>
      <c r="C27" s="1095">
        <f>C17+C26</f>
        <v>3858.8397000000004</v>
      </c>
      <c r="D27" s="1096">
        <f>D17+D26</f>
        <v>150780302.43779999</v>
      </c>
      <c r="E27" s="1165">
        <f t="shared" ref="E27" si="23">D27/1000</f>
        <v>150780.30243779998</v>
      </c>
      <c r="F27" s="1188"/>
      <c r="G27" s="1188"/>
      <c r="H27" s="1190"/>
      <c r="I27" s="1189"/>
      <c r="J27" s="1180"/>
      <c r="K27" s="1094" t="s">
        <v>279</v>
      </c>
      <c r="L27" s="1095">
        <f>L17+L26</f>
        <v>3858.8397000000004</v>
      </c>
      <c r="M27" s="1096">
        <f>M17+M26</f>
        <v>96756546.637800008</v>
      </c>
      <c r="N27" s="1097">
        <f t="shared" ref="N27" si="24">M27/1000</f>
        <v>96756.546637800013</v>
      </c>
      <c r="P27" s="1189"/>
      <c r="Q27" s="1191"/>
      <c r="R27" s="1189"/>
      <c r="S27" s="1180"/>
      <c r="T27" s="1094" t="s">
        <v>279</v>
      </c>
      <c r="U27" s="1095">
        <f>U17+U26</f>
        <v>3858.8397000000004</v>
      </c>
      <c r="V27" s="1096">
        <f>V17+V26</f>
        <v>7717679.4000000004</v>
      </c>
      <c r="W27" s="1097">
        <f t="shared" ref="W27" si="25">V27/1000</f>
        <v>7717.6794</v>
      </c>
      <c r="Y27" s="1188"/>
      <c r="Z27" s="1199"/>
      <c r="AA27" s="1188"/>
      <c r="AB27" s="1180"/>
      <c r="AC27" s="1094" t="s">
        <v>279</v>
      </c>
      <c r="AD27" s="1095">
        <f>AD17+AD26</f>
        <v>3858.8397000000004</v>
      </c>
      <c r="AE27" s="1096">
        <f>AE17+AE26</f>
        <v>46306076.399999999</v>
      </c>
      <c r="AF27" s="1097">
        <f t="shared" ref="AF27" si="26">AE27/1000</f>
        <v>46306.076399999998</v>
      </c>
      <c r="AH27" s="1188"/>
      <c r="AI27" s="1188"/>
      <c r="AJ27" s="1188"/>
      <c r="AM27" s="1188"/>
      <c r="AN27" s="1188"/>
      <c r="AO27" s="1188"/>
      <c r="AP27" s="1188"/>
      <c r="AQ27" s="1188"/>
      <c r="AR27" s="1188"/>
    </row>
    <row r="28" spans="1:44" ht="29.25" customHeight="1" x14ac:dyDescent="0.3">
      <c r="A28" s="1098"/>
      <c r="B28" s="1099"/>
      <c r="C28" s="1099">
        <f t="shared" ref="C28:E29" si="27">C10+C19</f>
        <v>1419.8264999999999</v>
      </c>
      <c r="D28" s="1099">
        <f t="shared" si="27"/>
        <v>55478300.660999998</v>
      </c>
      <c r="E28" s="1100">
        <f t="shared" si="27"/>
        <v>55478.300661000001</v>
      </c>
      <c r="F28" s="1188"/>
      <c r="G28" s="1188"/>
      <c r="H28" s="1190"/>
      <c r="I28" s="1189"/>
      <c r="J28" s="1181"/>
      <c r="K28" s="1099"/>
      <c r="L28" s="1099">
        <f t="shared" ref="L28:N29" si="28">L10+L19</f>
        <v>1419.8264999999999</v>
      </c>
      <c r="M28" s="1099">
        <f t="shared" si="28"/>
        <v>35600729.660999998</v>
      </c>
      <c r="N28" s="1099">
        <f t="shared" si="28"/>
        <v>35600.729660999998</v>
      </c>
      <c r="P28" s="1189"/>
      <c r="Q28" s="1191"/>
      <c r="R28" s="1189"/>
      <c r="S28" s="1181"/>
      <c r="T28" s="1099"/>
      <c r="U28" s="1099">
        <f t="shared" ref="U28:W29" si="29">U10+U19</f>
        <v>1419.8264999999999</v>
      </c>
      <c r="V28" s="1099">
        <f t="shared" si="29"/>
        <v>2839653</v>
      </c>
      <c r="W28" s="1099">
        <f t="shared" si="29"/>
        <v>2839.6529999999998</v>
      </c>
      <c r="Y28" s="1188"/>
      <c r="Z28" s="1199"/>
      <c r="AA28" s="1188"/>
      <c r="AB28" s="1181"/>
      <c r="AC28" s="1099"/>
      <c r="AD28" s="1099">
        <f t="shared" ref="AD28:AF29" si="30">AD10+AD19</f>
        <v>1419.8264999999999</v>
      </c>
      <c r="AE28" s="1099">
        <f t="shared" si="30"/>
        <v>17037918</v>
      </c>
      <c r="AF28" s="1099">
        <f t="shared" si="30"/>
        <v>17037.917999999998</v>
      </c>
      <c r="AH28" s="1188"/>
      <c r="AI28" s="1188"/>
      <c r="AJ28" s="1188"/>
      <c r="AM28" s="1188"/>
      <c r="AN28" s="1188"/>
      <c r="AO28" s="1188"/>
      <c r="AP28" s="1188"/>
      <c r="AQ28" s="1188"/>
      <c r="AR28" s="1188"/>
    </row>
    <row r="29" spans="1:44" ht="29.25" customHeight="1" x14ac:dyDescent="0.3">
      <c r="A29" s="1098"/>
      <c r="B29" s="1099"/>
      <c r="C29" s="1099">
        <f t="shared" si="27"/>
        <v>202.30080000000001</v>
      </c>
      <c r="D29" s="1099">
        <f t="shared" si="27"/>
        <v>7904701.4592000004</v>
      </c>
      <c r="E29" s="1100">
        <f t="shared" si="27"/>
        <v>7904.7014592000005</v>
      </c>
      <c r="F29" s="1188"/>
      <c r="G29" s="1188"/>
      <c r="H29" s="1190"/>
      <c r="I29" s="1189"/>
      <c r="J29" s="1181"/>
      <c r="K29" s="1099"/>
      <c r="L29" s="1099">
        <f t="shared" si="28"/>
        <v>202.30080000000001</v>
      </c>
      <c r="M29" s="1099">
        <f t="shared" si="28"/>
        <v>5072490.2592000002</v>
      </c>
      <c r="N29" s="1099">
        <f t="shared" si="28"/>
        <v>5072.4902591999999</v>
      </c>
      <c r="P29" s="1189"/>
      <c r="Q29" s="1191"/>
      <c r="R29" s="1189"/>
      <c r="S29" s="1181"/>
      <c r="T29" s="1099"/>
      <c r="U29" s="1099">
        <f t="shared" si="29"/>
        <v>202.30080000000001</v>
      </c>
      <c r="V29" s="1099">
        <f t="shared" si="29"/>
        <v>404601.59999999998</v>
      </c>
      <c r="W29" s="1099">
        <f t="shared" si="29"/>
        <v>404.60160000000002</v>
      </c>
      <c r="Y29" s="1188"/>
      <c r="Z29" s="1199"/>
      <c r="AA29" s="1188"/>
      <c r="AB29" s="1181"/>
      <c r="AC29" s="1099"/>
      <c r="AD29" s="1099">
        <f t="shared" si="30"/>
        <v>202.30080000000001</v>
      </c>
      <c r="AE29" s="1099">
        <f t="shared" si="30"/>
        <v>2427609.6</v>
      </c>
      <c r="AF29" s="1099">
        <f t="shared" si="30"/>
        <v>2427.6095999999998</v>
      </c>
      <c r="AH29" s="1188"/>
      <c r="AI29" s="1188"/>
      <c r="AJ29" s="1188"/>
      <c r="AM29" s="1188"/>
      <c r="AN29" s="1188"/>
      <c r="AO29" s="1188"/>
      <c r="AP29" s="1188"/>
      <c r="AQ29" s="1188"/>
      <c r="AR29" s="1188"/>
    </row>
    <row r="30" spans="1:44" ht="29.25" customHeight="1" x14ac:dyDescent="0.3">
      <c r="A30" s="1098"/>
      <c r="B30" s="1100"/>
      <c r="C30" s="1101"/>
      <c r="D30" s="1101"/>
      <c r="E30" s="1101"/>
      <c r="F30" s="1188"/>
      <c r="G30" s="1188"/>
      <c r="H30" s="1190"/>
      <c r="I30" s="1189"/>
      <c r="J30" s="1181"/>
      <c r="K30" s="1100"/>
      <c r="L30" s="1101"/>
      <c r="M30" s="1101"/>
      <c r="N30" s="1101"/>
      <c r="P30" s="1189"/>
      <c r="Q30" s="1191"/>
      <c r="R30" s="1189"/>
      <c r="S30" s="1181"/>
      <c r="T30" s="1100"/>
      <c r="U30" s="1101"/>
      <c r="V30" s="1101"/>
      <c r="W30" s="1101"/>
      <c r="Y30" s="1188"/>
      <c r="Z30" s="1199"/>
      <c r="AA30" s="1188"/>
      <c r="AB30" s="1181"/>
      <c r="AC30" s="1100"/>
      <c r="AD30" s="1101"/>
      <c r="AE30" s="1101"/>
      <c r="AF30" s="1101"/>
      <c r="AH30" s="1188"/>
      <c r="AI30" s="1188"/>
      <c r="AJ30" s="1188"/>
      <c r="AM30" s="1188"/>
      <c r="AN30" s="1188"/>
      <c r="AO30" s="1188"/>
      <c r="AP30" s="1188"/>
      <c r="AQ30" s="1188"/>
      <c r="AR30" s="1188"/>
    </row>
    <row r="31" spans="1:44" ht="29.25" customHeight="1" x14ac:dyDescent="0.3">
      <c r="A31" s="1083" t="s">
        <v>280</v>
      </c>
      <c r="B31" s="1477" t="s">
        <v>281</v>
      </c>
      <c r="C31" s="1478"/>
      <c r="D31" s="1478"/>
      <c r="E31" s="1478">
        <f t="shared" ref="E31:E45" si="31">D31/1000</f>
        <v>0</v>
      </c>
      <c r="F31" s="1188"/>
      <c r="G31" s="1188"/>
      <c r="H31" s="1190"/>
      <c r="I31" s="1189"/>
      <c r="J31" s="1177" t="s">
        <v>280</v>
      </c>
      <c r="K31" s="1477" t="s">
        <v>281</v>
      </c>
      <c r="L31" s="1478"/>
      <c r="M31" s="1478"/>
      <c r="N31" s="1478">
        <f t="shared" ref="N31:N34" si="32">M31/1000</f>
        <v>0</v>
      </c>
      <c r="P31" s="1189"/>
      <c r="Q31" s="1191"/>
      <c r="R31" s="1189"/>
      <c r="S31" s="1177" t="s">
        <v>280</v>
      </c>
      <c r="T31" s="1477" t="s">
        <v>281</v>
      </c>
      <c r="U31" s="1478"/>
      <c r="V31" s="1478"/>
      <c r="W31" s="1478">
        <f t="shared" ref="W31:W34" si="33">V31/1000</f>
        <v>0</v>
      </c>
      <c r="Y31" s="1188"/>
      <c r="Z31" s="1199"/>
      <c r="AA31" s="1188"/>
      <c r="AB31" s="1177" t="s">
        <v>280</v>
      </c>
      <c r="AC31" s="1477" t="s">
        <v>281</v>
      </c>
      <c r="AD31" s="1478"/>
      <c r="AE31" s="1478"/>
      <c r="AF31" s="1478">
        <f t="shared" ref="AF31:AF34" si="34">AE31/1000</f>
        <v>0</v>
      </c>
      <c r="AH31" s="1188"/>
      <c r="AI31" s="1188"/>
      <c r="AJ31" s="1188"/>
      <c r="AM31" s="1188"/>
      <c r="AN31" s="1188"/>
      <c r="AO31" s="1188"/>
      <c r="AP31" s="1188"/>
      <c r="AQ31" s="1188"/>
      <c r="AR31" s="1188"/>
    </row>
    <row r="32" spans="1:44" ht="29.25" customHeight="1" x14ac:dyDescent="0.3">
      <c r="A32" s="1084" t="s">
        <v>274</v>
      </c>
      <c r="B32" s="1102" t="s">
        <v>282</v>
      </c>
      <c r="C32" s="1104"/>
      <c r="D32" s="1103">
        <v>12631608</v>
      </c>
      <c r="E32" s="1166">
        <f t="shared" si="31"/>
        <v>12631.608</v>
      </c>
      <c r="F32" s="1188">
        <v>340</v>
      </c>
      <c r="G32" s="1190">
        <f>D37</f>
        <v>17169522.5931</v>
      </c>
      <c r="H32" s="1190">
        <f>13818675.92+8364833.09</f>
        <v>22183509.009999998</v>
      </c>
      <c r="I32" s="1191">
        <f>G32-H32</f>
        <v>-5013986.4168999977</v>
      </c>
      <c r="J32" s="1178" t="s">
        <v>274</v>
      </c>
      <c r="K32" s="1102" t="s">
        <v>282</v>
      </c>
      <c r="L32" s="1104"/>
      <c r="M32" s="1103">
        <v>12631608</v>
      </c>
      <c r="N32" s="1103">
        <f t="shared" si="32"/>
        <v>12631.608</v>
      </c>
      <c r="O32" s="1076">
        <v>340</v>
      </c>
      <c r="P32" s="1191">
        <f>M37</f>
        <v>11017776.769703368</v>
      </c>
      <c r="Q32" s="1191">
        <f>13818675.92</f>
        <v>13818675.92</v>
      </c>
      <c r="R32" s="1189"/>
      <c r="S32" s="1178" t="s">
        <v>274</v>
      </c>
      <c r="T32" s="1102" t="s">
        <v>282</v>
      </c>
      <c r="U32" s="1104"/>
      <c r="V32" s="1103">
        <v>12631608</v>
      </c>
      <c r="W32" s="1103">
        <f t="shared" si="33"/>
        <v>12631.608</v>
      </c>
      <c r="X32" s="1150">
        <v>340</v>
      </c>
      <c r="Y32" s="1190">
        <f>V37</f>
        <v>878820.83191380464</v>
      </c>
      <c r="Z32" s="1199">
        <v>3596338.22</v>
      </c>
      <c r="AA32" s="1188"/>
      <c r="AB32" s="1178" t="s">
        <v>274</v>
      </c>
      <c r="AC32" s="1102" t="s">
        <v>282</v>
      </c>
      <c r="AD32" s="1104"/>
      <c r="AE32" s="1103">
        <v>12631608</v>
      </c>
      <c r="AF32" s="1103">
        <f t="shared" si="34"/>
        <v>12631.608</v>
      </c>
      <c r="AG32" s="1150">
        <v>340</v>
      </c>
      <c r="AH32" s="1190">
        <f>AE37</f>
        <v>5272924.9914828278</v>
      </c>
      <c r="AI32" s="1190">
        <v>8364833.0899999999</v>
      </c>
      <c r="AJ32" s="1188"/>
      <c r="AK32" s="1149" t="b">
        <f>AN32=G32</f>
        <v>1</v>
      </c>
      <c r="AL32" s="1150">
        <v>340</v>
      </c>
      <c r="AM32" s="1190"/>
      <c r="AN32" s="1190">
        <f>P32+Y32+AH32</f>
        <v>17169522.5931</v>
      </c>
      <c r="AO32" s="1190"/>
      <c r="AP32" s="1190">
        <f>Q32+Z32+AI32</f>
        <v>25779847.23</v>
      </c>
      <c r="AQ32" s="1188"/>
      <c r="AR32" s="1188"/>
    </row>
    <row r="33" spans="1:44" ht="29.25" customHeight="1" x14ac:dyDescent="0.3">
      <c r="A33" s="1084" t="s">
        <v>276</v>
      </c>
      <c r="B33" s="1102" t="s">
        <v>283</v>
      </c>
      <c r="C33" s="1104"/>
      <c r="D33" s="1103">
        <v>2252957.2736</v>
      </c>
      <c r="E33" s="1166">
        <f t="shared" si="31"/>
        <v>2252.9572736</v>
      </c>
      <c r="F33" s="1188"/>
      <c r="G33" s="1188"/>
      <c r="H33" s="1190"/>
      <c r="I33" s="1189"/>
      <c r="J33" s="1178" t="s">
        <v>276</v>
      </c>
      <c r="K33" s="1102" t="s">
        <v>283</v>
      </c>
      <c r="L33" s="1104"/>
      <c r="M33" s="1103">
        <v>2252957.2736</v>
      </c>
      <c r="N33" s="1103">
        <f t="shared" si="32"/>
        <v>2252.9572736</v>
      </c>
      <c r="P33" s="1189"/>
      <c r="Q33" s="1191"/>
      <c r="R33" s="1189"/>
      <c r="S33" s="1178" t="s">
        <v>276</v>
      </c>
      <c r="T33" s="1102" t="s">
        <v>283</v>
      </c>
      <c r="U33" s="1104"/>
      <c r="V33" s="1103">
        <v>2252957.2736</v>
      </c>
      <c r="W33" s="1103">
        <f t="shared" si="33"/>
        <v>2252.9572736</v>
      </c>
      <c r="Y33" s="1188"/>
      <c r="Z33" s="1199"/>
      <c r="AA33" s="1188"/>
      <c r="AB33" s="1178" t="s">
        <v>276</v>
      </c>
      <c r="AC33" s="1102" t="s">
        <v>283</v>
      </c>
      <c r="AD33" s="1104"/>
      <c r="AE33" s="1103">
        <v>2252957.2736</v>
      </c>
      <c r="AF33" s="1103">
        <f t="shared" si="34"/>
        <v>2252.9572736</v>
      </c>
      <c r="AH33" s="1188"/>
      <c r="AI33" s="1188"/>
      <c r="AJ33" s="1188"/>
      <c r="AM33" s="1188"/>
      <c r="AN33" s="1188"/>
      <c r="AO33" s="1188"/>
      <c r="AP33" s="1188"/>
      <c r="AQ33" s="1188"/>
      <c r="AR33" s="1188"/>
    </row>
    <row r="34" spans="1:44" ht="29.25" customHeight="1" x14ac:dyDescent="0.3">
      <c r="A34" s="1084" t="s">
        <v>284</v>
      </c>
      <c r="B34" s="1102" t="s">
        <v>285</v>
      </c>
      <c r="C34" s="1104"/>
      <c r="D34" s="1103">
        <v>1389760.2572999999</v>
      </c>
      <c r="E34" s="1166">
        <f t="shared" si="31"/>
        <v>1389.7602572999999</v>
      </c>
      <c r="F34" s="1188"/>
      <c r="G34" s="1188"/>
      <c r="H34" s="1190"/>
      <c r="I34" s="1189"/>
      <c r="J34" s="1178" t="s">
        <v>284</v>
      </c>
      <c r="K34" s="1102" t="s">
        <v>285</v>
      </c>
      <c r="L34" s="1104"/>
      <c r="M34" s="1103">
        <v>1389760.2572999999</v>
      </c>
      <c r="N34" s="1103">
        <f t="shared" si="32"/>
        <v>1389.7602572999999</v>
      </c>
      <c r="P34" s="1189"/>
      <c r="Q34" s="1191"/>
      <c r="R34" s="1189"/>
      <c r="S34" s="1178" t="s">
        <v>284</v>
      </c>
      <c r="T34" s="1102" t="s">
        <v>285</v>
      </c>
      <c r="U34" s="1104"/>
      <c r="V34" s="1103">
        <v>1389760.2572999999</v>
      </c>
      <c r="W34" s="1103">
        <f t="shared" si="33"/>
        <v>1389.7602572999999</v>
      </c>
      <c r="Y34" s="1188"/>
      <c r="Z34" s="1199"/>
      <c r="AA34" s="1188"/>
      <c r="AB34" s="1178" t="s">
        <v>284</v>
      </c>
      <c r="AC34" s="1102" t="s">
        <v>285</v>
      </c>
      <c r="AD34" s="1104"/>
      <c r="AE34" s="1103">
        <v>1389760.2572999999</v>
      </c>
      <c r="AF34" s="1103">
        <f t="shared" si="34"/>
        <v>1389.7602572999999</v>
      </c>
      <c r="AH34" s="1188"/>
      <c r="AI34" s="1188"/>
      <c r="AJ34" s="1188"/>
      <c r="AM34" s="1188"/>
      <c r="AN34" s="1188"/>
      <c r="AO34" s="1188"/>
      <c r="AP34" s="1188"/>
      <c r="AQ34" s="1188"/>
      <c r="AR34" s="1188"/>
    </row>
    <row r="35" spans="1:44" ht="29.25" customHeight="1" x14ac:dyDescent="0.3">
      <c r="A35" s="1084" t="s">
        <v>291</v>
      </c>
      <c r="B35" s="1102" t="s">
        <v>292</v>
      </c>
      <c r="C35" s="1106">
        <v>22.910299999999999</v>
      </c>
      <c r="D35" s="1103">
        <f>C35*D5</f>
        <v>895197.06219999993</v>
      </c>
      <c r="E35" s="1166">
        <f>D35/1000</f>
        <v>895.19706219999989</v>
      </c>
      <c r="F35" s="1188"/>
      <c r="G35" s="1188"/>
      <c r="H35" s="1190"/>
      <c r="I35" s="1189"/>
      <c r="J35" s="1178" t="s">
        <v>291</v>
      </c>
      <c r="K35" s="1102" t="s">
        <v>292</v>
      </c>
      <c r="L35" s="1106">
        <v>22.910299999999999</v>
      </c>
      <c r="M35" s="1103">
        <f>L35*M5</f>
        <v>574452.86219999997</v>
      </c>
      <c r="N35" s="1103">
        <f>M35/1000</f>
        <v>574.45286220000003</v>
      </c>
      <c r="P35" s="1189"/>
      <c r="Q35" s="1191"/>
      <c r="R35" s="1189"/>
      <c r="S35" s="1178" t="s">
        <v>291</v>
      </c>
      <c r="T35" s="1102" t="s">
        <v>292</v>
      </c>
      <c r="U35" s="1106">
        <v>22.910299999999999</v>
      </c>
      <c r="V35" s="1103">
        <f>U35*V5</f>
        <v>45820.6</v>
      </c>
      <c r="W35" s="1103">
        <f>V35/1000</f>
        <v>45.820599999999999</v>
      </c>
      <c r="Y35" s="1188"/>
      <c r="Z35" s="1199"/>
      <c r="AA35" s="1188"/>
      <c r="AB35" s="1178" t="s">
        <v>291</v>
      </c>
      <c r="AC35" s="1102" t="s">
        <v>292</v>
      </c>
      <c r="AD35" s="1106">
        <v>22.910299999999999</v>
      </c>
      <c r="AE35" s="1103">
        <f>AD35*AE5</f>
        <v>274923.59999999998</v>
      </c>
      <c r="AF35" s="1103">
        <f>AE35/1000</f>
        <v>274.92359999999996</v>
      </c>
      <c r="AH35" s="1188"/>
      <c r="AI35" s="1188"/>
      <c r="AJ35" s="1188"/>
      <c r="AM35" s="1188"/>
      <c r="AN35" s="1188"/>
      <c r="AO35" s="1188"/>
      <c r="AP35" s="1188"/>
      <c r="AQ35" s="1188"/>
      <c r="AR35" s="1188"/>
    </row>
    <row r="36" spans="1:44" ht="29.25" customHeight="1" x14ac:dyDescent="0.3">
      <c r="A36" s="1107"/>
      <c r="B36" s="1108" t="s">
        <v>976</v>
      </c>
      <c r="C36" s="1106">
        <v>416.50011595690233</v>
      </c>
      <c r="D36" s="1110">
        <f>C36*D5</f>
        <v>16274325.530900002</v>
      </c>
      <c r="E36" s="1167">
        <f t="shared" si="31"/>
        <v>16274.325530900001</v>
      </c>
      <c r="F36" s="1188"/>
      <c r="G36" s="1188"/>
      <c r="H36" s="1190"/>
      <c r="I36" s="1189"/>
      <c r="J36" s="1107"/>
      <c r="K36" s="1108" t="s">
        <v>976</v>
      </c>
      <c r="L36" s="1106">
        <v>416.50011595690233</v>
      </c>
      <c r="M36" s="1110">
        <f>L36*M5</f>
        <v>10443323.907503368</v>
      </c>
      <c r="N36" s="1110">
        <f t="shared" ref="N36:N38" si="35">M36/1000</f>
        <v>10443.323907503369</v>
      </c>
      <c r="P36" s="1189"/>
      <c r="Q36" s="1191"/>
      <c r="R36" s="1189"/>
      <c r="S36" s="1107"/>
      <c r="T36" s="1108" t="s">
        <v>976</v>
      </c>
      <c r="U36" s="1106">
        <v>416.50011595690233</v>
      </c>
      <c r="V36" s="1110">
        <f>U36*V5</f>
        <v>833000.23191380466</v>
      </c>
      <c r="W36" s="1110">
        <f t="shared" ref="W36:W38" si="36">V36/1000</f>
        <v>833.00023191380467</v>
      </c>
      <c r="Y36" s="1188"/>
      <c r="Z36" s="1199"/>
      <c r="AA36" s="1188"/>
      <c r="AB36" s="1107"/>
      <c r="AC36" s="1108" t="s">
        <v>976</v>
      </c>
      <c r="AD36" s="1106">
        <v>416.50011595690233</v>
      </c>
      <c r="AE36" s="1110">
        <f>AD36*AE5</f>
        <v>4998001.3914828282</v>
      </c>
      <c r="AF36" s="1110">
        <f t="shared" ref="AF36:AF38" si="37">AE36/1000</f>
        <v>4998.0013914828278</v>
      </c>
      <c r="AH36" s="1188"/>
      <c r="AI36" s="1188"/>
      <c r="AJ36" s="1188"/>
      <c r="AM36" s="1188"/>
      <c r="AN36" s="1188"/>
      <c r="AO36" s="1188"/>
      <c r="AP36" s="1188"/>
      <c r="AQ36" s="1188"/>
      <c r="AR36" s="1188"/>
    </row>
    <row r="37" spans="1:44" ht="29.25" customHeight="1" x14ac:dyDescent="0.3">
      <c r="A37" s="1107"/>
      <c r="B37" s="1108" t="s">
        <v>638</v>
      </c>
      <c r="C37" s="1109">
        <f>C36+C35</f>
        <v>439.41041595690234</v>
      </c>
      <c r="D37" s="1110">
        <f>D36+D35</f>
        <v>17169522.5931</v>
      </c>
      <c r="E37" s="1167">
        <f t="shared" si="31"/>
        <v>17169.522593099999</v>
      </c>
      <c r="F37" s="1188"/>
      <c r="G37" s="1188"/>
      <c r="H37" s="1190"/>
      <c r="I37" s="1189"/>
      <c r="J37" s="1107"/>
      <c r="K37" s="1108" t="s">
        <v>638</v>
      </c>
      <c r="L37" s="1109">
        <f>L36+L35</f>
        <v>439.41041595690234</v>
      </c>
      <c r="M37" s="1110">
        <f>M36+M35</f>
        <v>11017776.769703368</v>
      </c>
      <c r="N37" s="1110">
        <f t="shared" si="35"/>
        <v>11017.776769703367</v>
      </c>
      <c r="P37" s="1189"/>
      <c r="Q37" s="1191"/>
      <c r="R37" s="1189"/>
      <c r="S37" s="1107"/>
      <c r="T37" s="1108" t="s">
        <v>638</v>
      </c>
      <c r="U37" s="1109">
        <f>U36+U35</f>
        <v>439.41041595690234</v>
      </c>
      <c r="V37" s="1110">
        <f>V36+V35</f>
        <v>878820.83191380464</v>
      </c>
      <c r="W37" s="1110">
        <f t="shared" si="36"/>
        <v>878.82083191380468</v>
      </c>
      <c r="Y37" s="1188"/>
      <c r="Z37" s="1199"/>
      <c r="AA37" s="1188"/>
      <c r="AB37" s="1107"/>
      <c r="AC37" s="1108" t="s">
        <v>638</v>
      </c>
      <c r="AD37" s="1109">
        <f>AD36+AD35</f>
        <v>439.41041595690234</v>
      </c>
      <c r="AE37" s="1110">
        <f>AE36+AE35</f>
        <v>5272924.9914828278</v>
      </c>
      <c r="AF37" s="1110">
        <f t="shared" si="37"/>
        <v>5272.9249914828279</v>
      </c>
      <c r="AH37" s="1188"/>
      <c r="AI37" s="1188"/>
      <c r="AJ37" s="1188"/>
      <c r="AM37" s="1188"/>
      <c r="AN37" s="1188"/>
      <c r="AO37" s="1188"/>
      <c r="AP37" s="1188"/>
      <c r="AQ37" s="1188"/>
      <c r="AR37" s="1188"/>
    </row>
    <row r="38" spans="1:44" ht="29.25" customHeight="1" x14ac:dyDescent="0.3">
      <c r="A38" s="1084" t="s">
        <v>287</v>
      </c>
      <c r="B38" s="1102" t="s">
        <v>288</v>
      </c>
      <c r="C38" s="1106">
        <f t="shared" ref="C38" si="38">D38/$D$5</f>
        <v>0</v>
      </c>
      <c r="D38" s="1111"/>
      <c r="E38" s="1168">
        <f t="shared" si="31"/>
        <v>0</v>
      </c>
      <c r="F38" s="1188"/>
      <c r="G38" s="1188"/>
      <c r="H38" s="1190"/>
      <c r="I38" s="1189"/>
      <c r="J38" s="1178" t="s">
        <v>287</v>
      </c>
      <c r="K38" s="1102" t="s">
        <v>288</v>
      </c>
      <c r="L38" s="1106">
        <f t="shared" ref="L38" si="39">M38/$D$5</f>
        <v>0</v>
      </c>
      <c r="M38" s="1111"/>
      <c r="N38" s="1111">
        <f t="shared" si="35"/>
        <v>0</v>
      </c>
      <c r="P38" s="1189"/>
      <c r="Q38" s="1191"/>
      <c r="R38" s="1189"/>
      <c r="S38" s="1178" t="s">
        <v>287</v>
      </c>
      <c r="T38" s="1102" t="s">
        <v>288</v>
      </c>
      <c r="U38" s="1106">
        <f t="shared" ref="U38" si="40">V38/$D$5</f>
        <v>0</v>
      </c>
      <c r="V38" s="1111"/>
      <c r="W38" s="1111">
        <f t="shared" si="36"/>
        <v>0</v>
      </c>
      <c r="Y38" s="1188"/>
      <c r="Z38" s="1199"/>
      <c r="AA38" s="1188"/>
      <c r="AB38" s="1178" t="s">
        <v>287</v>
      </c>
      <c r="AC38" s="1102" t="s">
        <v>288</v>
      </c>
      <c r="AD38" s="1106">
        <f t="shared" ref="AD38" si="41">AE38/$D$5</f>
        <v>0</v>
      </c>
      <c r="AE38" s="1111"/>
      <c r="AF38" s="1111">
        <f t="shared" si="37"/>
        <v>0</v>
      </c>
      <c r="AH38" s="1188"/>
      <c r="AI38" s="1188"/>
      <c r="AJ38" s="1188"/>
      <c r="AM38" s="1188"/>
      <c r="AN38" s="1188"/>
      <c r="AO38" s="1188"/>
      <c r="AP38" s="1188"/>
      <c r="AQ38" s="1188"/>
      <c r="AR38" s="1188"/>
    </row>
    <row r="39" spans="1:44" s="1079" customFormat="1" ht="29.25" customHeight="1" x14ac:dyDescent="0.3">
      <c r="A39" s="1227" t="s">
        <v>289</v>
      </c>
      <c r="B39" s="1111" t="s">
        <v>290</v>
      </c>
      <c r="C39" s="1086">
        <v>58.831300000000006</v>
      </c>
      <c r="D39" s="1087">
        <f>C39*D5</f>
        <v>2298774.2162000001</v>
      </c>
      <c r="E39" s="1163">
        <f>D39/1000</f>
        <v>2298.7742162</v>
      </c>
      <c r="F39" s="1228">
        <v>310</v>
      </c>
      <c r="G39" s="1229">
        <f>D39+D42+D75+D65</f>
        <v>5864184.8378138188</v>
      </c>
      <c r="H39" s="1229">
        <v>2019992.7</v>
      </c>
      <c r="I39" s="1230">
        <f>G39-H39</f>
        <v>3844192.1378138186</v>
      </c>
      <c r="J39" s="1231" t="s">
        <v>289</v>
      </c>
      <c r="K39" s="1111" t="s">
        <v>290</v>
      </c>
      <c r="L39" s="1086">
        <v>58.831300000000006</v>
      </c>
      <c r="M39" s="1087">
        <f>L39*M5</f>
        <v>1475136.0162000002</v>
      </c>
      <c r="N39" s="1087">
        <f>M39/1000</f>
        <v>1475.1360162000001</v>
      </c>
      <c r="O39" s="1079">
        <v>310</v>
      </c>
      <c r="P39" s="1230">
        <f>M39+M42+M65+M75</f>
        <v>3763079.5573359188</v>
      </c>
      <c r="Q39" s="1230">
        <f>1247751.54</f>
        <v>1247751.54</v>
      </c>
      <c r="R39" s="1232"/>
      <c r="S39" s="1231" t="s">
        <v>289</v>
      </c>
      <c r="T39" s="1111" t="s">
        <v>290</v>
      </c>
      <c r="U39" s="1086">
        <v>58.831300000000006</v>
      </c>
      <c r="V39" s="1087">
        <f>U39*V5</f>
        <v>117662.6</v>
      </c>
      <c r="W39" s="1087">
        <f>V39/1000</f>
        <v>117.66260000000001</v>
      </c>
      <c r="X39" s="1233">
        <v>310</v>
      </c>
      <c r="Y39" s="1230">
        <f>V39+V42+V65+V75</f>
        <v>300157.89721112855</v>
      </c>
      <c r="Z39" s="1229">
        <v>332013.81</v>
      </c>
      <c r="AA39" s="1228"/>
      <c r="AB39" s="1231" t="s">
        <v>289</v>
      </c>
      <c r="AC39" s="1111" t="s">
        <v>290</v>
      </c>
      <c r="AD39" s="1086">
        <v>58.831300000000006</v>
      </c>
      <c r="AE39" s="1087">
        <f>AD39*AE5</f>
        <v>705975.60000000009</v>
      </c>
      <c r="AF39" s="1087">
        <f>AE39/1000</f>
        <v>705.9756000000001</v>
      </c>
      <c r="AG39" s="1233">
        <v>310</v>
      </c>
      <c r="AH39" s="1230">
        <f>AE39+AE42+AE65+AE75</f>
        <v>1800947.3832667712</v>
      </c>
      <c r="AI39" s="1228">
        <v>772241.16</v>
      </c>
      <c r="AJ39" s="1228"/>
      <c r="AK39" s="1234" t="b">
        <f>AN39=G39</f>
        <v>1</v>
      </c>
      <c r="AL39" s="1233">
        <v>310</v>
      </c>
      <c r="AM39" s="1229"/>
      <c r="AN39" s="1229">
        <f>P39+Y39+AH39</f>
        <v>5864184.8378138188</v>
      </c>
      <c r="AO39" s="1229"/>
      <c r="AP39" s="1229">
        <f>Q39+Z39+AI39</f>
        <v>2352006.5100000002</v>
      </c>
      <c r="AQ39" s="1228"/>
      <c r="AR39" s="1228"/>
    </row>
    <row r="40" spans="1:44" ht="29.25" customHeight="1" x14ac:dyDescent="0.3">
      <c r="A40" s="1112"/>
      <c r="B40" s="1113" t="s">
        <v>977</v>
      </c>
      <c r="C40" s="1114">
        <f>C39</f>
        <v>58.831300000000006</v>
      </c>
      <c r="D40" s="1115">
        <f t="shared" ref="D40:E40" si="42">D39</f>
        <v>2298774.2162000001</v>
      </c>
      <c r="E40" s="1115">
        <f t="shared" si="42"/>
        <v>2298.7742162</v>
      </c>
      <c r="F40" s="1188"/>
      <c r="G40" s="1188"/>
      <c r="H40" s="1190"/>
      <c r="I40" s="1189"/>
      <c r="J40" s="1112"/>
      <c r="K40" s="1113" t="s">
        <v>977</v>
      </c>
      <c r="L40" s="1114">
        <f>L39</f>
        <v>58.831300000000006</v>
      </c>
      <c r="M40" s="1115">
        <f t="shared" ref="M40:N40" si="43">M39</f>
        <v>1475136.0162000002</v>
      </c>
      <c r="N40" s="1115">
        <f t="shared" si="43"/>
        <v>1475.1360162000001</v>
      </c>
      <c r="P40" s="1189"/>
      <c r="Q40" s="1191"/>
      <c r="R40" s="1189"/>
      <c r="S40" s="1112"/>
      <c r="T40" s="1113" t="s">
        <v>977</v>
      </c>
      <c r="U40" s="1114">
        <f>U39</f>
        <v>58.831300000000006</v>
      </c>
      <c r="V40" s="1115">
        <f t="shared" ref="V40:W40" si="44">V39</f>
        <v>117662.6</v>
      </c>
      <c r="W40" s="1115">
        <f t="shared" si="44"/>
        <v>117.66260000000001</v>
      </c>
      <c r="Y40" s="1188"/>
      <c r="Z40" s="1199"/>
      <c r="AA40" s="1188"/>
      <c r="AB40" s="1112"/>
      <c r="AC40" s="1113" t="s">
        <v>977</v>
      </c>
      <c r="AD40" s="1114">
        <f>AD39</f>
        <v>58.831300000000006</v>
      </c>
      <c r="AE40" s="1115">
        <f t="shared" ref="AE40:AF40" si="45">AE39</f>
        <v>705975.60000000009</v>
      </c>
      <c r="AF40" s="1115">
        <f t="shared" si="45"/>
        <v>705.9756000000001</v>
      </c>
      <c r="AH40" s="1188"/>
      <c r="AI40" s="1188"/>
      <c r="AJ40" s="1188"/>
      <c r="AM40" s="1188"/>
      <c r="AN40" s="1188"/>
      <c r="AO40" s="1188"/>
      <c r="AP40" s="1188"/>
      <c r="AQ40" s="1188"/>
      <c r="AR40" s="1188"/>
    </row>
    <row r="41" spans="1:44" ht="29.25" customHeight="1" x14ac:dyDescent="0.3">
      <c r="F41" s="1188"/>
      <c r="G41" s="1188"/>
      <c r="H41" s="1190"/>
      <c r="I41" s="1189"/>
      <c r="J41" s="1077"/>
      <c r="K41" s="1143"/>
      <c r="L41" s="1079"/>
      <c r="M41" s="1079"/>
      <c r="N41" s="1079"/>
      <c r="P41" s="1189"/>
      <c r="Q41" s="1191"/>
      <c r="R41" s="1189"/>
      <c r="S41" s="1077"/>
      <c r="T41" s="1143"/>
      <c r="U41" s="1079"/>
      <c r="V41" s="1079"/>
      <c r="W41" s="1079"/>
      <c r="Y41" s="1188"/>
      <c r="Z41" s="1199"/>
      <c r="AA41" s="1188"/>
      <c r="AB41" s="1077"/>
      <c r="AC41" s="1143"/>
      <c r="AD41" s="1079"/>
      <c r="AE41" s="1079"/>
      <c r="AF41" s="1079"/>
      <c r="AH41" s="1188"/>
      <c r="AI41" s="1188"/>
      <c r="AJ41" s="1188"/>
      <c r="AM41" s="1188"/>
      <c r="AN41" s="1188"/>
      <c r="AO41" s="1188"/>
      <c r="AP41" s="1188"/>
      <c r="AQ41" s="1188"/>
      <c r="AR41" s="1188"/>
    </row>
    <row r="42" spans="1:44" ht="29.25" customHeight="1" x14ac:dyDescent="0.3">
      <c r="A42" s="1084" t="s">
        <v>639</v>
      </c>
      <c r="B42" s="1102" t="s">
        <v>331</v>
      </c>
      <c r="C42" s="1106">
        <v>41.424900000000001</v>
      </c>
      <c r="D42" s="1103">
        <f>C42*D5</f>
        <v>1618636.5426</v>
      </c>
      <c r="E42" s="1166">
        <f t="shared" si="31"/>
        <v>1618.6365426</v>
      </c>
      <c r="F42" s="1188"/>
      <c r="G42" s="1190"/>
      <c r="H42" s="1190"/>
      <c r="I42" s="1189"/>
      <c r="J42" s="1178" t="s">
        <v>639</v>
      </c>
      <c r="K42" s="1102" t="s">
        <v>331</v>
      </c>
      <c r="L42" s="1106">
        <v>41.424900000000001</v>
      </c>
      <c r="M42" s="1103">
        <f>L42*M5</f>
        <v>1038687.9426000001</v>
      </c>
      <c r="N42" s="1103">
        <f t="shared" ref="N42" si="46">M42/1000</f>
        <v>1038.6879426</v>
      </c>
      <c r="P42" s="1191"/>
      <c r="Q42" s="1191"/>
      <c r="R42" s="1189"/>
      <c r="S42" s="1178" t="s">
        <v>639</v>
      </c>
      <c r="T42" s="1102" t="s">
        <v>331</v>
      </c>
      <c r="U42" s="1106">
        <v>41.424900000000001</v>
      </c>
      <c r="V42" s="1103">
        <f>U42*V5</f>
        <v>82849.8</v>
      </c>
      <c r="W42" s="1103">
        <f t="shared" ref="W42" si="47">V42/1000</f>
        <v>82.849800000000002</v>
      </c>
      <c r="Y42" s="1190"/>
      <c r="Z42" s="1199"/>
      <c r="AA42" s="1188"/>
      <c r="AB42" s="1178" t="s">
        <v>639</v>
      </c>
      <c r="AC42" s="1102" t="s">
        <v>331</v>
      </c>
      <c r="AD42" s="1106">
        <v>41.424900000000001</v>
      </c>
      <c r="AE42" s="1103">
        <f>AD42*AE5</f>
        <v>497098.8</v>
      </c>
      <c r="AF42" s="1103">
        <f t="shared" ref="AF42" si="48">AE42/1000</f>
        <v>497.09879999999998</v>
      </c>
      <c r="AH42" s="1190"/>
      <c r="AI42" s="1188"/>
      <c r="AJ42" s="1188"/>
      <c r="AM42" s="1190"/>
      <c r="AN42" s="1190"/>
      <c r="AO42" s="1190"/>
      <c r="AP42" s="1188"/>
      <c r="AQ42" s="1188"/>
      <c r="AR42" s="1188"/>
    </row>
    <row r="43" spans="1:44" s="1091" customFormat="1" ht="29.25" customHeight="1" x14ac:dyDescent="0.3">
      <c r="A43" s="1084"/>
      <c r="B43" s="1108" t="s">
        <v>978</v>
      </c>
      <c r="C43" s="1109">
        <f>C39+C42</f>
        <v>100.25620000000001</v>
      </c>
      <c r="D43" s="1110">
        <f>D39+D42</f>
        <v>3917410.7588</v>
      </c>
      <c r="E43" s="1167">
        <f>D43/1000</f>
        <v>3917.4107588000002</v>
      </c>
      <c r="F43" s="1193"/>
      <c r="G43" s="1193"/>
      <c r="H43" s="1190"/>
      <c r="I43" s="1194"/>
      <c r="J43" s="1178"/>
      <c r="K43" s="1108" t="s">
        <v>978</v>
      </c>
      <c r="L43" s="1109">
        <f>L39+L42</f>
        <v>100.25620000000001</v>
      </c>
      <c r="M43" s="1110">
        <f>M39+M42</f>
        <v>2513823.9588000001</v>
      </c>
      <c r="N43" s="1110">
        <f>M43/1000</f>
        <v>2513.8239588000001</v>
      </c>
      <c r="P43" s="1194"/>
      <c r="Q43" s="1191"/>
      <c r="R43" s="1194"/>
      <c r="S43" s="1178"/>
      <c r="T43" s="1108" t="s">
        <v>978</v>
      </c>
      <c r="U43" s="1109">
        <f>U39+U42</f>
        <v>100.25620000000001</v>
      </c>
      <c r="V43" s="1110">
        <f>V39+V42</f>
        <v>200512.40000000002</v>
      </c>
      <c r="W43" s="1110">
        <f>V43/1000</f>
        <v>200.51240000000001</v>
      </c>
      <c r="X43" s="1152"/>
      <c r="Y43" s="1193"/>
      <c r="Z43" s="1199"/>
      <c r="AA43" s="1193"/>
      <c r="AB43" s="1178"/>
      <c r="AC43" s="1108" t="s">
        <v>978</v>
      </c>
      <c r="AD43" s="1109">
        <f>AD39+AD42</f>
        <v>100.25620000000001</v>
      </c>
      <c r="AE43" s="1110">
        <f>AE39+AE42</f>
        <v>1203074.4000000001</v>
      </c>
      <c r="AF43" s="1110">
        <f>AE43/1000</f>
        <v>1203.0744000000002</v>
      </c>
      <c r="AG43" s="1152"/>
      <c r="AH43" s="1193"/>
      <c r="AI43" s="1193"/>
      <c r="AJ43" s="1193"/>
      <c r="AK43" s="1222"/>
      <c r="AL43" s="1152"/>
      <c r="AM43" s="1193"/>
      <c r="AN43" s="1193"/>
      <c r="AO43" s="1193"/>
      <c r="AP43" s="1193"/>
      <c r="AQ43" s="1193"/>
      <c r="AR43" s="1193"/>
    </row>
    <row r="44" spans="1:44" s="1120" customFormat="1" ht="29.25" customHeight="1" x14ac:dyDescent="0.3">
      <c r="A44" s="1084"/>
      <c r="B44" s="1116" t="s">
        <v>979</v>
      </c>
      <c r="C44" s="1117">
        <f>C37+C40</f>
        <v>498.24171595690234</v>
      </c>
      <c r="D44" s="1118">
        <f>D37+D43</f>
        <v>21086933.3519</v>
      </c>
      <c r="E44" s="1169">
        <f>D44/1000</f>
        <v>21086.933351899999</v>
      </c>
      <c r="F44" s="1195"/>
      <c r="G44" s="1195"/>
      <c r="H44" s="1190"/>
      <c r="I44" s="1196"/>
      <c r="J44" s="1178"/>
      <c r="K44" s="1116" t="s">
        <v>979</v>
      </c>
      <c r="L44" s="1117">
        <f>L37+L40</f>
        <v>498.24171595690234</v>
      </c>
      <c r="M44" s="1118">
        <f>M37+M43</f>
        <v>13531600.728503369</v>
      </c>
      <c r="N44" s="1118">
        <f>M44/1000</f>
        <v>13531.600728503368</v>
      </c>
      <c r="P44" s="1196"/>
      <c r="Q44" s="1191"/>
      <c r="R44" s="1196"/>
      <c r="S44" s="1178"/>
      <c r="T44" s="1116" t="s">
        <v>979</v>
      </c>
      <c r="U44" s="1117">
        <f>U37+U40</f>
        <v>498.24171595690234</v>
      </c>
      <c r="V44" s="1118">
        <f>V37+V43</f>
        <v>1079333.2319138045</v>
      </c>
      <c r="W44" s="1118">
        <f>V44/1000</f>
        <v>1079.3332319138046</v>
      </c>
      <c r="X44" s="1153"/>
      <c r="Y44" s="1195"/>
      <c r="Z44" s="1199"/>
      <c r="AA44" s="1195"/>
      <c r="AB44" s="1178"/>
      <c r="AC44" s="1116" t="s">
        <v>979</v>
      </c>
      <c r="AD44" s="1117">
        <f>AD37+AD40</f>
        <v>498.24171595690234</v>
      </c>
      <c r="AE44" s="1118">
        <f>AE37+AE43</f>
        <v>6475999.3914828282</v>
      </c>
      <c r="AF44" s="1118">
        <f>AE44/1000</f>
        <v>6475.9993914828283</v>
      </c>
      <c r="AG44" s="1153"/>
      <c r="AH44" s="1195"/>
      <c r="AI44" s="1195"/>
      <c r="AJ44" s="1195"/>
      <c r="AK44" s="1223"/>
      <c r="AL44" s="1153"/>
      <c r="AM44" s="1195"/>
      <c r="AN44" s="1195"/>
      <c r="AO44" s="1195"/>
      <c r="AP44" s="1195"/>
      <c r="AQ44" s="1195"/>
      <c r="AR44" s="1195"/>
    </row>
    <row r="45" spans="1:44" ht="29.25" customHeight="1" x14ac:dyDescent="0.3">
      <c r="A45" s="1121"/>
      <c r="B45" s="1122" t="s">
        <v>295</v>
      </c>
      <c r="C45" s="1123">
        <f>C44+C27+C42</f>
        <v>4398.5063159569027</v>
      </c>
      <c r="D45" s="1122">
        <f>D27+D44</f>
        <v>171867235.7897</v>
      </c>
      <c r="E45" s="1170">
        <f t="shared" si="31"/>
        <v>171867.2357897</v>
      </c>
      <c r="F45" s="1188"/>
      <c r="G45" s="1188"/>
      <c r="H45" s="1190"/>
      <c r="I45" s="1189"/>
      <c r="J45" s="1182"/>
      <c r="K45" s="1122" t="s">
        <v>295</v>
      </c>
      <c r="L45" s="1123">
        <f>L44+L27+L42</f>
        <v>4398.5063159569027</v>
      </c>
      <c r="M45" s="1122">
        <f>M27+M44</f>
        <v>110288147.36630338</v>
      </c>
      <c r="N45" s="1122">
        <f t="shared" ref="N45" si="49">M45/1000</f>
        <v>110288.14736630338</v>
      </c>
      <c r="P45" s="1189"/>
      <c r="Q45" s="1191"/>
      <c r="R45" s="1189"/>
      <c r="S45" s="1182"/>
      <c r="T45" s="1122" t="s">
        <v>295</v>
      </c>
      <c r="U45" s="1123">
        <f>U44+U27+U42</f>
        <v>4398.5063159569027</v>
      </c>
      <c r="V45" s="1122">
        <f>V27+V44</f>
        <v>8797012.6319138054</v>
      </c>
      <c r="W45" s="1122">
        <f t="shared" ref="W45" si="50">V45/1000</f>
        <v>8797.0126319138053</v>
      </c>
      <c r="Y45" s="1188"/>
      <c r="Z45" s="1199"/>
      <c r="AA45" s="1188"/>
      <c r="AB45" s="1182"/>
      <c r="AC45" s="1122" t="s">
        <v>295</v>
      </c>
      <c r="AD45" s="1123">
        <f>AD44+AD27+AD42</f>
        <v>4398.5063159569027</v>
      </c>
      <c r="AE45" s="1122">
        <f>AE27+AE44</f>
        <v>52782075.791482829</v>
      </c>
      <c r="AF45" s="1122">
        <f t="shared" ref="AF45" si="51">AE45/1000</f>
        <v>52782.075791482828</v>
      </c>
      <c r="AH45" s="1188"/>
      <c r="AI45" s="1188"/>
      <c r="AJ45" s="1188"/>
      <c r="AM45" s="1188"/>
      <c r="AN45" s="1188"/>
      <c r="AO45" s="1188"/>
      <c r="AP45" s="1188"/>
      <c r="AQ45" s="1188"/>
      <c r="AR45" s="1188"/>
    </row>
    <row r="46" spans="1:44" s="1125" customFormat="1" ht="36.75" customHeight="1" x14ac:dyDescent="0.3">
      <c r="A46" s="1124" t="s">
        <v>296</v>
      </c>
      <c r="B46" s="1473" t="s">
        <v>297</v>
      </c>
      <c r="C46" s="1474"/>
      <c r="D46" s="1474"/>
      <c r="E46" s="1474"/>
      <c r="F46" s="1197"/>
      <c r="G46" s="1197"/>
      <c r="H46" s="1190"/>
      <c r="I46" s="1198"/>
      <c r="J46" s="1183" t="s">
        <v>296</v>
      </c>
      <c r="K46" s="1473" t="s">
        <v>297</v>
      </c>
      <c r="L46" s="1474"/>
      <c r="M46" s="1474"/>
      <c r="N46" s="1474"/>
      <c r="P46" s="1198"/>
      <c r="Q46" s="1191"/>
      <c r="R46" s="1198"/>
      <c r="S46" s="1183" t="s">
        <v>296</v>
      </c>
      <c r="T46" s="1473" t="s">
        <v>297</v>
      </c>
      <c r="U46" s="1474"/>
      <c r="V46" s="1474"/>
      <c r="W46" s="1474"/>
      <c r="X46" s="1154"/>
      <c r="Y46" s="1197"/>
      <c r="Z46" s="1199"/>
      <c r="AA46" s="1197"/>
      <c r="AB46" s="1183" t="s">
        <v>296</v>
      </c>
      <c r="AC46" s="1473" t="s">
        <v>297</v>
      </c>
      <c r="AD46" s="1474"/>
      <c r="AE46" s="1474"/>
      <c r="AF46" s="1474"/>
      <c r="AG46" s="1154"/>
      <c r="AH46" s="1197"/>
      <c r="AI46" s="1197"/>
      <c r="AJ46" s="1197"/>
      <c r="AK46" s="1224"/>
      <c r="AL46" s="1154"/>
      <c r="AM46" s="1197"/>
      <c r="AN46" s="1197"/>
      <c r="AO46" s="1197"/>
      <c r="AP46" s="1197"/>
      <c r="AQ46" s="1197"/>
      <c r="AR46" s="1197"/>
    </row>
    <row r="47" spans="1:44" s="1125" customFormat="1" ht="29.25" customHeight="1" x14ac:dyDescent="0.3">
      <c r="A47" s="1084" t="s">
        <v>298</v>
      </c>
      <c r="B47" s="1477" t="s">
        <v>299</v>
      </c>
      <c r="C47" s="1478"/>
      <c r="D47" s="1478"/>
      <c r="E47" s="1478"/>
      <c r="F47" s="1197"/>
      <c r="G47" s="1197"/>
      <c r="H47" s="1190"/>
      <c r="I47" s="1198"/>
      <c r="J47" s="1178" t="s">
        <v>298</v>
      </c>
      <c r="K47" s="1477" t="s">
        <v>299</v>
      </c>
      <c r="L47" s="1478"/>
      <c r="M47" s="1478"/>
      <c r="N47" s="1478"/>
      <c r="P47" s="1198"/>
      <c r="Q47" s="1191"/>
      <c r="R47" s="1198"/>
      <c r="S47" s="1178" t="s">
        <v>298</v>
      </c>
      <c r="T47" s="1477" t="s">
        <v>299</v>
      </c>
      <c r="U47" s="1478"/>
      <c r="V47" s="1478"/>
      <c r="W47" s="1478"/>
      <c r="X47" s="1154"/>
      <c r="Y47" s="1197"/>
      <c r="Z47" s="1199"/>
      <c r="AA47" s="1197"/>
      <c r="AB47" s="1178" t="s">
        <v>298</v>
      </c>
      <c r="AC47" s="1477" t="s">
        <v>299</v>
      </c>
      <c r="AD47" s="1478"/>
      <c r="AE47" s="1478"/>
      <c r="AF47" s="1478"/>
      <c r="AG47" s="1154"/>
      <c r="AH47" s="1197"/>
      <c r="AI47" s="1197"/>
      <c r="AJ47" s="1197"/>
      <c r="AK47" s="1224"/>
      <c r="AL47" s="1154"/>
      <c r="AM47" s="1197"/>
      <c r="AN47" s="1197"/>
      <c r="AO47" s="1197"/>
      <c r="AP47" s="1197"/>
      <c r="AQ47" s="1197"/>
      <c r="AR47" s="1197"/>
    </row>
    <row r="48" spans="1:44" s="1125" customFormat="1" ht="29.25" customHeight="1" x14ac:dyDescent="0.3">
      <c r="A48" s="1084" t="s">
        <v>300</v>
      </c>
      <c r="B48" s="1102" t="s">
        <v>301</v>
      </c>
      <c r="C48" s="1126">
        <v>110.11466883349543</v>
      </c>
      <c r="D48" s="1103">
        <f>C48*D5</f>
        <v>4302620.57</v>
      </c>
      <c r="E48" s="1166">
        <f>D48/1000</f>
        <v>4302.62057</v>
      </c>
      <c r="F48" s="1197">
        <v>223</v>
      </c>
      <c r="G48" s="1199">
        <f>D54</f>
        <v>10376177.309999999</v>
      </c>
      <c r="H48" s="1190">
        <v>11180271.91</v>
      </c>
      <c r="I48" s="1200">
        <f>G48-H48</f>
        <v>-804094.60000000149</v>
      </c>
      <c r="J48" s="1178" t="s">
        <v>300</v>
      </c>
      <c r="K48" s="1102" t="s">
        <v>301</v>
      </c>
      <c r="L48" s="1126">
        <v>110.11466883349543</v>
      </c>
      <c r="M48" s="1103">
        <f>L48*M5</f>
        <v>2761015.2063310645</v>
      </c>
      <c r="N48" s="1103">
        <f>M48/1000</f>
        <v>2761.0152063310643</v>
      </c>
      <c r="O48" s="1125">
        <v>223</v>
      </c>
      <c r="P48" s="1200">
        <f>M54</f>
        <v>6658449.8610569695</v>
      </c>
      <c r="Q48" s="1191">
        <f>7064216.52</f>
        <v>7064216.5199999996</v>
      </c>
      <c r="R48" s="1198"/>
      <c r="S48" s="1178" t="s">
        <v>300</v>
      </c>
      <c r="T48" s="1102" t="s">
        <v>301</v>
      </c>
      <c r="U48" s="1126">
        <v>110.11466883349543</v>
      </c>
      <c r="V48" s="1103">
        <f>U48*V5</f>
        <v>220229.33766699085</v>
      </c>
      <c r="W48" s="1103">
        <f>V48/1000</f>
        <v>220.22933766699086</v>
      </c>
      <c r="X48" s="1154">
        <v>223</v>
      </c>
      <c r="Y48" s="1199">
        <f>V54</f>
        <v>531103.92127757589</v>
      </c>
      <c r="Z48" s="1199">
        <v>1769638.53</v>
      </c>
      <c r="AA48" s="1197"/>
      <c r="AB48" s="1178" t="s">
        <v>300</v>
      </c>
      <c r="AC48" s="1102" t="s">
        <v>301</v>
      </c>
      <c r="AD48" s="1126">
        <v>110.11466883349543</v>
      </c>
      <c r="AE48" s="1103">
        <f>AD48*AE5</f>
        <v>1321376.0260019451</v>
      </c>
      <c r="AF48" s="1103">
        <f>AE48/1000</f>
        <v>1321.3760260019451</v>
      </c>
      <c r="AG48" s="1154">
        <v>223</v>
      </c>
      <c r="AH48" s="1199">
        <f>AE54</f>
        <v>3186623.5276654554</v>
      </c>
      <c r="AI48" s="1197">
        <v>4116055.39</v>
      </c>
      <c r="AJ48" s="1197"/>
      <c r="AK48" s="1224" t="b">
        <f>AN48=G48</f>
        <v>1</v>
      </c>
      <c r="AL48" s="1154">
        <v>223</v>
      </c>
      <c r="AM48" s="1199"/>
      <c r="AN48" s="1199">
        <f>P48+Y48+AH48</f>
        <v>10376177.310000001</v>
      </c>
      <c r="AO48" s="1199"/>
      <c r="AP48" s="1199">
        <f>Q48+Z48+AI48</f>
        <v>12949910.439999999</v>
      </c>
      <c r="AQ48" s="1197"/>
      <c r="AR48" s="1197"/>
    </row>
    <row r="49" spans="1:44" s="1125" customFormat="1" ht="29.25" customHeight="1" x14ac:dyDescent="0.3">
      <c r="A49" s="1084" t="s">
        <v>302</v>
      </c>
      <c r="B49" s="1102" t="s">
        <v>303</v>
      </c>
      <c r="C49" s="1126">
        <v>125.77523289143677</v>
      </c>
      <c r="D49" s="1103">
        <f>C49*D5</f>
        <v>4914541.45</v>
      </c>
      <c r="E49" s="1166">
        <f t="shared" ref="E49:E68" si="52">D49/1000</f>
        <v>4914.5414500000006</v>
      </c>
      <c r="F49" s="1197"/>
      <c r="G49" s="1197"/>
      <c r="H49" s="1190"/>
      <c r="I49" s="1198"/>
      <c r="J49" s="1178" t="s">
        <v>302</v>
      </c>
      <c r="K49" s="1102" t="s">
        <v>303</v>
      </c>
      <c r="L49" s="1126">
        <v>125.77523289143677</v>
      </c>
      <c r="M49" s="1103">
        <f>L49*M5</f>
        <v>3153688.1895198855</v>
      </c>
      <c r="N49" s="1103">
        <f t="shared" ref="N49:N54" si="53">M49/1000</f>
        <v>3153.6881895198853</v>
      </c>
      <c r="P49" s="1198"/>
      <c r="Q49" s="1191"/>
      <c r="R49" s="1198"/>
      <c r="S49" s="1178" t="s">
        <v>302</v>
      </c>
      <c r="T49" s="1102" t="s">
        <v>303</v>
      </c>
      <c r="U49" s="1126">
        <v>125.77523289143677</v>
      </c>
      <c r="V49" s="1103">
        <f>U49*V5</f>
        <v>251550.46578287354</v>
      </c>
      <c r="W49" s="1103">
        <f t="shared" ref="W49:W54" si="54">V49/1000</f>
        <v>251.55046578287354</v>
      </c>
      <c r="X49" s="1154"/>
      <c r="Y49" s="1197"/>
      <c r="Z49" s="1199"/>
      <c r="AA49" s="1197"/>
      <c r="AB49" s="1178" t="s">
        <v>302</v>
      </c>
      <c r="AC49" s="1102" t="s">
        <v>303</v>
      </c>
      <c r="AD49" s="1126">
        <v>125.77523289143677</v>
      </c>
      <c r="AE49" s="1103">
        <f>AD49*AE5</f>
        <v>1509302.7946972412</v>
      </c>
      <c r="AF49" s="1103">
        <f t="shared" ref="AF49:AF54" si="55">AE49/1000</f>
        <v>1509.3027946972411</v>
      </c>
      <c r="AG49" s="1154"/>
      <c r="AH49" s="1197"/>
      <c r="AI49" s="1197"/>
      <c r="AJ49" s="1197"/>
      <c r="AK49" s="1224"/>
      <c r="AL49" s="1154"/>
      <c r="AM49" s="1197"/>
      <c r="AN49" s="1197"/>
      <c r="AO49" s="1197"/>
      <c r="AP49" s="1197"/>
      <c r="AQ49" s="1197"/>
      <c r="AR49" s="1197"/>
    </row>
    <row r="50" spans="1:44" s="1125" customFormat="1" ht="29.25" customHeight="1" x14ac:dyDescent="0.3">
      <c r="A50" s="1084" t="s">
        <v>304</v>
      </c>
      <c r="B50" s="1102" t="s">
        <v>305</v>
      </c>
      <c r="C50" s="1126">
        <v>0</v>
      </c>
      <c r="D50" s="1103">
        <v>0</v>
      </c>
      <c r="E50" s="1166">
        <f t="shared" si="52"/>
        <v>0</v>
      </c>
      <c r="F50" s="1197"/>
      <c r="G50" s="1197"/>
      <c r="H50" s="1190"/>
      <c r="I50" s="1198"/>
      <c r="J50" s="1178" t="s">
        <v>304</v>
      </c>
      <c r="K50" s="1102" t="s">
        <v>305</v>
      </c>
      <c r="L50" s="1126">
        <v>0</v>
      </c>
      <c r="M50" s="1103">
        <v>0</v>
      </c>
      <c r="N50" s="1103">
        <f t="shared" si="53"/>
        <v>0</v>
      </c>
      <c r="P50" s="1198"/>
      <c r="Q50" s="1191"/>
      <c r="R50" s="1198"/>
      <c r="S50" s="1178" t="s">
        <v>304</v>
      </c>
      <c r="T50" s="1102" t="s">
        <v>305</v>
      </c>
      <c r="U50" s="1126">
        <v>0</v>
      </c>
      <c r="V50" s="1103">
        <v>0</v>
      </c>
      <c r="W50" s="1103">
        <f t="shared" si="54"/>
        <v>0</v>
      </c>
      <c r="X50" s="1154"/>
      <c r="Y50" s="1197"/>
      <c r="Z50" s="1199"/>
      <c r="AA50" s="1197"/>
      <c r="AB50" s="1178" t="s">
        <v>304</v>
      </c>
      <c r="AC50" s="1102" t="s">
        <v>305</v>
      </c>
      <c r="AD50" s="1126">
        <v>0</v>
      </c>
      <c r="AE50" s="1103">
        <v>0</v>
      </c>
      <c r="AF50" s="1103">
        <f t="shared" si="55"/>
        <v>0</v>
      </c>
      <c r="AG50" s="1154"/>
      <c r="AH50" s="1197"/>
      <c r="AI50" s="1197"/>
      <c r="AJ50" s="1197"/>
      <c r="AK50" s="1224"/>
      <c r="AL50" s="1154"/>
      <c r="AM50" s="1197"/>
      <c r="AN50" s="1197"/>
      <c r="AO50" s="1197"/>
      <c r="AP50" s="1197"/>
      <c r="AQ50" s="1197"/>
      <c r="AR50" s="1197"/>
    </row>
    <row r="51" spans="1:44" s="1125" customFormat="1" ht="29.25" customHeight="1" x14ac:dyDescent="0.3">
      <c r="A51" s="1084" t="s">
        <v>306</v>
      </c>
      <c r="B51" s="1102" t="s">
        <v>307</v>
      </c>
      <c r="C51" s="1126">
        <v>0</v>
      </c>
      <c r="D51" s="1103">
        <v>0</v>
      </c>
      <c r="E51" s="1166">
        <f t="shared" si="52"/>
        <v>0</v>
      </c>
      <c r="F51" s="1197"/>
      <c r="G51" s="1197"/>
      <c r="H51" s="1190"/>
      <c r="I51" s="1198"/>
      <c r="J51" s="1178" t="s">
        <v>306</v>
      </c>
      <c r="K51" s="1102" t="s">
        <v>307</v>
      </c>
      <c r="L51" s="1126">
        <v>0</v>
      </c>
      <c r="M51" s="1103">
        <v>0</v>
      </c>
      <c r="N51" s="1103">
        <f t="shared" si="53"/>
        <v>0</v>
      </c>
      <c r="P51" s="1198"/>
      <c r="Q51" s="1191"/>
      <c r="R51" s="1198"/>
      <c r="S51" s="1178" t="s">
        <v>306</v>
      </c>
      <c r="T51" s="1102" t="s">
        <v>307</v>
      </c>
      <c r="U51" s="1126">
        <v>0</v>
      </c>
      <c r="V51" s="1103">
        <v>0</v>
      </c>
      <c r="W51" s="1103">
        <f t="shared" si="54"/>
        <v>0</v>
      </c>
      <c r="X51" s="1154"/>
      <c r="Y51" s="1197"/>
      <c r="Z51" s="1199"/>
      <c r="AA51" s="1197"/>
      <c r="AB51" s="1178" t="s">
        <v>306</v>
      </c>
      <c r="AC51" s="1102" t="s">
        <v>307</v>
      </c>
      <c r="AD51" s="1126">
        <v>0</v>
      </c>
      <c r="AE51" s="1103">
        <v>0</v>
      </c>
      <c r="AF51" s="1103">
        <f t="shared" si="55"/>
        <v>0</v>
      </c>
      <c r="AG51" s="1154"/>
      <c r="AH51" s="1197"/>
      <c r="AI51" s="1197"/>
      <c r="AJ51" s="1197"/>
      <c r="AK51" s="1224"/>
      <c r="AL51" s="1154"/>
      <c r="AM51" s="1197"/>
      <c r="AN51" s="1197"/>
      <c r="AO51" s="1197"/>
      <c r="AP51" s="1197"/>
      <c r="AQ51" s="1197"/>
      <c r="AR51" s="1197"/>
    </row>
    <row r="52" spans="1:44" s="1125" customFormat="1" ht="29.25" customHeight="1" x14ac:dyDescent="0.3">
      <c r="A52" s="1084" t="s">
        <v>308</v>
      </c>
      <c r="B52" s="1102" t="s">
        <v>309</v>
      </c>
      <c r="C52" s="1126">
        <v>0</v>
      </c>
      <c r="D52" s="1103">
        <v>0</v>
      </c>
      <c r="E52" s="1166">
        <f t="shared" si="52"/>
        <v>0</v>
      </c>
      <c r="F52" s="1197"/>
      <c r="G52" s="1197"/>
      <c r="H52" s="1190"/>
      <c r="I52" s="1198"/>
      <c r="J52" s="1178" t="s">
        <v>308</v>
      </c>
      <c r="K52" s="1102" t="s">
        <v>309</v>
      </c>
      <c r="L52" s="1126">
        <v>0</v>
      </c>
      <c r="M52" s="1103">
        <v>0</v>
      </c>
      <c r="N52" s="1103">
        <f t="shared" si="53"/>
        <v>0</v>
      </c>
      <c r="P52" s="1198"/>
      <c r="Q52" s="1191"/>
      <c r="R52" s="1198"/>
      <c r="S52" s="1178" t="s">
        <v>308</v>
      </c>
      <c r="T52" s="1102" t="s">
        <v>309</v>
      </c>
      <c r="U52" s="1126">
        <v>0</v>
      </c>
      <c r="V52" s="1103">
        <v>0</v>
      </c>
      <c r="W52" s="1103">
        <f t="shared" si="54"/>
        <v>0</v>
      </c>
      <c r="X52" s="1154"/>
      <c r="Y52" s="1197"/>
      <c r="Z52" s="1199"/>
      <c r="AA52" s="1197"/>
      <c r="AB52" s="1178" t="s">
        <v>308</v>
      </c>
      <c r="AC52" s="1102" t="s">
        <v>309</v>
      </c>
      <c r="AD52" s="1126">
        <v>0</v>
      </c>
      <c r="AE52" s="1103">
        <v>0</v>
      </c>
      <c r="AF52" s="1103">
        <f t="shared" si="55"/>
        <v>0</v>
      </c>
      <c r="AG52" s="1154"/>
      <c r="AH52" s="1197"/>
      <c r="AI52" s="1197"/>
      <c r="AJ52" s="1197"/>
      <c r="AK52" s="1224"/>
      <c r="AL52" s="1154"/>
      <c r="AM52" s="1197"/>
      <c r="AN52" s="1197"/>
      <c r="AO52" s="1197"/>
      <c r="AP52" s="1197"/>
      <c r="AQ52" s="1197"/>
      <c r="AR52" s="1197"/>
    </row>
    <row r="53" spans="1:44" s="1125" customFormat="1" ht="29.25" customHeight="1" x14ac:dyDescent="0.3">
      <c r="A53" s="1084" t="s">
        <v>310</v>
      </c>
      <c r="B53" s="1102" t="s">
        <v>311</v>
      </c>
      <c r="C53" s="1127">
        <v>29.662058913855763</v>
      </c>
      <c r="D53" s="1103">
        <f>C53*D5</f>
        <v>1159015.29</v>
      </c>
      <c r="E53" s="1166">
        <f t="shared" si="52"/>
        <v>1159.01529</v>
      </c>
      <c r="F53" s="1197"/>
      <c r="G53" s="1197"/>
      <c r="H53" s="1190"/>
      <c r="I53" s="1198"/>
      <c r="J53" s="1178" t="s">
        <v>310</v>
      </c>
      <c r="K53" s="1102" t="s">
        <v>311</v>
      </c>
      <c r="L53" s="1127">
        <v>29.662058913855763</v>
      </c>
      <c r="M53" s="1103">
        <f>L53*M5</f>
        <v>743746.46520601935</v>
      </c>
      <c r="N53" s="1103">
        <f t="shared" si="53"/>
        <v>743.74646520601937</v>
      </c>
      <c r="P53" s="1198"/>
      <c r="Q53" s="1191"/>
      <c r="R53" s="1198"/>
      <c r="S53" s="1178" t="s">
        <v>310</v>
      </c>
      <c r="T53" s="1102" t="s">
        <v>311</v>
      </c>
      <c r="U53" s="1127">
        <v>29.662058913855763</v>
      </c>
      <c r="V53" s="1103">
        <f>U53*V5</f>
        <v>59324.117827711525</v>
      </c>
      <c r="W53" s="1103">
        <f t="shared" si="54"/>
        <v>59.324117827711525</v>
      </c>
      <c r="X53" s="1154"/>
      <c r="Y53" s="1197"/>
      <c r="Z53" s="1199"/>
      <c r="AA53" s="1197"/>
      <c r="AB53" s="1178" t="s">
        <v>310</v>
      </c>
      <c r="AC53" s="1102" t="s">
        <v>311</v>
      </c>
      <c r="AD53" s="1127">
        <v>29.662058913855763</v>
      </c>
      <c r="AE53" s="1103">
        <f>AD53*AE5</f>
        <v>355944.70696626918</v>
      </c>
      <c r="AF53" s="1103">
        <f t="shared" si="55"/>
        <v>355.94470696626917</v>
      </c>
      <c r="AG53" s="1154"/>
      <c r="AH53" s="1197"/>
      <c r="AI53" s="1197"/>
      <c r="AJ53" s="1197"/>
      <c r="AK53" s="1224"/>
      <c r="AL53" s="1154"/>
      <c r="AM53" s="1197"/>
      <c r="AN53" s="1197"/>
      <c r="AO53" s="1197"/>
      <c r="AP53" s="1197"/>
      <c r="AQ53" s="1197"/>
      <c r="AR53" s="1197"/>
    </row>
    <row r="54" spans="1:44" s="1125" customFormat="1" ht="29.25" customHeight="1" x14ac:dyDescent="0.3">
      <c r="A54" s="1084"/>
      <c r="B54" s="1108" t="s">
        <v>312</v>
      </c>
      <c r="C54" s="1117">
        <f>SUM(C48:C53)</f>
        <v>265.55196063878799</v>
      </c>
      <c r="D54" s="1128">
        <f>SUM(D48:D53)</f>
        <v>10376177.309999999</v>
      </c>
      <c r="E54" s="1171">
        <f t="shared" si="52"/>
        <v>10376.177309999999</v>
      </c>
      <c r="F54" s="1197"/>
      <c r="G54" s="1197"/>
      <c r="H54" s="1190"/>
      <c r="I54" s="1198"/>
      <c r="J54" s="1178"/>
      <c r="K54" s="1108" t="s">
        <v>312</v>
      </c>
      <c r="L54" s="1117">
        <f>SUM(L48:L53)</f>
        <v>265.55196063878799</v>
      </c>
      <c r="M54" s="1128">
        <f>SUM(M48:M53)</f>
        <v>6658449.8610569695</v>
      </c>
      <c r="N54" s="1128">
        <f t="shared" si="53"/>
        <v>6658.4498610569699</v>
      </c>
      <c r="P54" s="1198"/>
      <c r="Q54" s="1191"/>
      <c r="R54" s="1198"/>
      <c r="S54" s="1178"/>
      <c r="T54" s="1108" t="s">
        <v>312</v>
      </c>
      <c r="U54" s="1117">
        <f>SUM(U48:U53)</f>
        <v>265.55196063878799</v>
      </c>
      <c r="V54" s="1128">
        <f>SUM(V48:V53)</f>
        <v>531103.92127757589</v>
      </c>
      <c r="W54" s="1128">
        <f t="shared" si="54"/>
        <v>531.10392127757586</v>
      </c>
      <c r="X54" s="1154"/>
      <c r="Y54" s="1197"/>
      <c r="Z54" s="1199"/>
      <c r="AA54" s="1197"/>
      <c r="AB54" s="1178"/>
      <c r="AC54" s="1108" t="s">
        <v>312</v>
      </c>
      <c r="AD54" s="1117">
        <f>SUM(AD48:AD53)</f>
        <v>265.55196063878799</v>
      </c>
      <c r="AE54" s="1128">
        <f>SUM(AE48:AE53)</f>
        <v>3186623.5276654554</v>
      </c>
      <c r="AF54" s="1128">
        <f t="shared" si="55"/>
        <v>3186.6235276654552</v>
      </c>
      <c r="AG54" s="1154"/>
      <c r="AH54" s="1197"/>
      <c r="AI54" s="1197"/>
      <c r="AJ54" s="1197"/>
      <c r="AK54" s="1224"/>
      <c r="AL54" s="1154"/>
      <c r="AM54" s="1197"/>
      <c r="AN54" s="1197"/>
      <c r="AO54" s="1197"/>
      <c r="AP54" s="1197"/>
      <c r="AQ54" s="1197"/>
      <c r="AR54" s="1197"/>
    </row>
    <row r="55" spans="1:44" ht="29.25" customHeight="1" x14ac:dyDescent="0.3">
      <c r="A55" s="1124" t="s">
        <v>313</v>
      </c>
      <c r="B55" s="1477" t="s">
        <v>314</v>
      </c>
      <c r="C55" s="1478"/>
      <c r="D55" s="1478"/>
      <c r="E55" s="1478">
        <f>D55/1000</f>
        <v>0</v>
      </c>
      <c r="F55" s="1188"/>
      <c r="G55" s="1188"/>
      <c r="H55" s="1190"/>
      <c r="I55" s="1189"/>
      <c r="J55" s="1183" t="s">
        <v>313</v>
      </c>
      <c r="K55" s="1477" t="s">
        <v>314</v>
      </c>
      <c r="L55" s="1478"/>
      <c r="M55" s="1478"/>
      <c r="N55" s="1478">
        <f>M55/1000</f>
        <v>0</v>
      </c>
      <c r="P55" s="1189"/>
      <c r="Q55" s="1191"/>
      <c r="R55" s="1189"/>
      <c r="S55" s="1183" t="s">
        <v>313</v>
      </c>
      <c r="T55" s="1477" t="s">
        <v>314</v>
      </c>
      <c r="U55" s="1478"/>
      <c r="V55" s="1478"/>
      <c r="W55" s="1478">
        <f>V55/1000</f>
        <v>0</v>
      </c>
      <c r="Y55" s="1188"/>
      <c r="Z55" s="1199"/>
      <c r="AA55" s="1188"/>
      <c r="AB55" s="1183" t="s">
        <v>313</v>
      </c>
      <c r="AC55" s="1477" t="s">
        <v>314</v>
      </c>
      <c r="AD55" s="1478"/>
      <c r="AE55" s="1478"/>
      <c r="AF55" s="1478">
        <f>AE55/1000</f>
        <v>0</v>
      </c>
      <c r="AH55" s="1188"/>
      <c r="AI55" s="1188"/>
      <c r="AJ55" s="1188"/>
      <c r="AM55" s="1188"/>
      <c r="AN55" s="1188"/>
      <c r="AO55" s="1188"/>
      <c r="AP55" s="1188"/>
      <c r="AQ55" s="1188"/>
      <c r="AR55" s="1188"/>
    </row>
    <row r="56" spans="1:44" ht="29.25" customHeight="1" x14ac:dyDescent="0.3">
      <c r="A56" s="1084" t="s">
        <v>315</v>
      </c>
      <c r="B56" s="1129" t="s">
        <v>316</v>
      </c>
      <c r="C56" s="1106">
        <v>67.163957874801667</v>
      </c>
      <c r="D56" s="1103">
        <f>C56*D5</f>
        <v>2624364.4900000002</v>
      </c>
      <c r="E56" s="1166">
        <f>D56/1000</f>
        <v>2624.3644900000004</v>
      </c>
      <c r="F56" s="1188">
        <v>225</v>
      </c>
      <c r="G56" s="1190">
        <f>D58+D63</f>
        <v>6506591.7784000002</v>
      </c>
      <c r="H56" s="1190">
        <v>6515818.2999999998</v>
      </c>
      <c r="I56" s="1191">
        <f>G56-H56</f>
        <v>-9226.521599999629</v>
      </c>
      <c r="J56" s="1178" t="s">
        <v>315</v>
      </c>
      <c r="K56" s="1129" t="s">
        <v>316</v>
      </c>
      <c r="L56" s="1106">
        <v>67.163957874801667</v>
      </c>
      <c r="M56" s="1103">
        <f>L56*M5</f>
        <v>1684069.079752777</v>
      </c>
      <c r="N56" s="1103">
        <f>M56/1000</f>
        <v>1684.069079752777</v>
      </c>
      <c r="O56" s="1076">
        <v>225</v>
      </c>
      <c r="P56" s="1191">
        <f>M58+M63</f>
        <v>4175315.6127246153</v>
      </c>
      <c r="Q56" s="1191">
        <f>3934762.54</f>
        <v>3934762.54</v>
      </c>
      <c r="R56" s="1189"/>
      <c r="S56" s="1178" t="s">
        <v>315</v>
      </c>
      <c r="T56" s="1129" t="s">
        <v>316</v>
      </c>
      <c r="U56" s="1106">
        <v>67.163957874801667</v>
      </c>
      <c r="V56" s="1103">
        <f>U56*V5</f>
        <v>134327.91574960333</v>
      </c>
      <c r="W56" s="1103">
        <f>V56/1000</f>
        <v>134.32791574960333</v>
      </c>
      <c r="X56" s="1150">
        <v>225</v>
      </c>
      <c r="Y56" s="1190">
        <f>V58+V63</f>
        <v>333039.45223934075</v>
      </c>
      <c r="Z56" s="1199">
        <v>1109687.28</v>
      </c>
      <c r="AA56" s="1188"/>
      <c r="AB56" s="1178" t="s">
        <v>315</v>
      </c>
      <c r="AC56" s="1129" t="s">
        <v>316</v>
      </c>
      <c r="AD56" s="1106">
        <v>67.163957874801667</v>
      </c>
      <c r="AE56" s="1103">
        <f>AD56*AE5</f>
        <v>805967.49449762003</v>
      </c>
      <c r="AF56" s="1103">
        <f>AE56/1000</f>
        <v>805.96749449762001</v>
      </c>
      <c r="AG56" s="1150">
        <v>225</v>
      </c>
      <c r="AH56" s="1190">
        <f>AE58+AE63</f>
        <v>1998236.7134360445</v>
      </c>
      <c r="AI56" s="1188">
        <v>2581055.7599999998</v>
      </c>
      <c r="AJ56" s="1188"/>
      <c r="AK56" s="1149" t="b">
        <f>AN56=G56</f>
        <v>1</v>
      </c>
      <c r="AL56" s="1150">
        <v>225</v>
      </c>
      <c r="AM56" s="1190"/>
      <c r="AN56" s="1190">
        <f>P56+Y56+AH56</f>
        <v>6506591.7784000011</v>
      </c>
      <c r="AO56" s="1190"/>
      <c r="AP56" s="1190">
        <f>Q56+Z56+AI56</f>
        <v>7625505.5800000001</v>
      </c>
      <c r="AQ56" s="1188"/>
      <c r="AR56" s="1188"/>
    </row>
    <row r="57" spans="1:44" ht="29.25" customHeight="1" x14ac:dyDescent="0.3">
      <c r="A57" s="1084" t="s">
        <v>317</v>
      </c>
      <c r="B57" s="1102" t="s">
        <v>318</v>
      </c>
      <c r="C57" s="1106">
        <v>1.1091682448687106</v>
      </c>
      <c r="D57" s="1103">
        <f>C57*D5</f>
        <v>43339.64</v>
      </c>
      <c r="E57" s="1166">
        <f>D57/1000</f>
        <v>43.339640000000003</v>
      </c>
      <c r="F57" s="1188"/>
      <c r="G57" s="1188"/>
      <c r="H57" s="1190"/>
      <c r="I57" s="1189"/>
      <c r="J57" s="1178" t="s">
        <v>317</v>
      </c>
      <c r="K57" s="1102" t="s">
        <v>318</v>
      </c>
      <c r="L57" s="1106">
        <v>1.1091682448687106</v>
      </c>
      <c r="M57" s="1103">
        <f>L57*M5</f>
        <v>27811.284571838049</v>
      </c>
      <c r="N57" s="1103">
        <f>M57/1000</f>
        <v>27.811284571838048</v>
      </c>
      <c r="P57" s="1189"/>
      <c r="Q57" s="1191"/>
      <c r="R57" s="1189"/>
      <c r="S57" s="1178" t="s">
        <v>317</v>
      </c>
      <c r="T57" s="1102" t="s">
        <v>318</v>
      </c>
      <c r="U57" s="1106">
        <v>1.1091682448687106</v>
      </c>
      <c r="V57" s="1103">
        <f>U57*V5</f>
        <v>2218.3364897374213</v>
      </c>
      <c r="W57" s="1103">
        <f>V57/1000</f>
        <v>2.2183364897374211</v>
      </c>
      <c r="Y57" s="1188"/>
      <c r="Z57" s="1199"/>
      <c r="AA57" s="1188"/>
      <c r="AB57" s="1178" t="s">
        <v>317</v>
      </c>
      <c r="AC57" s="1102" t="s">
        <v>318</v>
      </c>
      <c r="AD57" s="1106">
        <v>1.1091682448687106</v>
      </c>
      <c r="AE57" s="1103">
        <f>AD57*AE5</f>
        <v>13310.018938424528</v>
      </c>
      <c r="AF57" s="1103">
        <f>AE57/1000</f>
        <v>13.310018938424527</v>
      </c>
      <c r="AH57" s="1188"/>
      <c r="AI57" s="1188"/>
      <c r="AJ57" s="1188"/>
      <c r="AM57" s="1188"/>
      <c r="AN57" s="1188"/>
      <c r="AO57" s="1188"/>
      <c r="AP57" s="1188"/>
      <c r="AQ57" s="1188"/>
      <c r="AR57" s="1188"/>
    </row>
    <row r="58" spans="1:44" ht="29.25" customHeight="1" x14ac:dyDescent="0.3">
      <c r="A58" s="1084"/>
      <c r="B58" s="1108" t="s">
        <v>319</v>
      </c>
      <c r="C58" s="1117">
        <f>SUM(C56:C57)</f>
        <v>68.27312611967038</v>
      </c>
      <c r="D58" s="1128">
        <f>SUM(D56:D57)</f>
        <v>2667704.1300000004</v>
      </c>
      <c r="E58" s="1171">
        <f>D58/1000</f>
        <v>2667.7041300000005</v>
      </c>
      <c r="F58" s="1188"/>
      <c r="G58" s="1188"/>
      <c r="H58" s="1190"/>
      <c r="I58" s="1189"/>
      <c r="J58" s="1178"/>
      <c r="K58" s="1108" t="s">
        <v>319</v>
      </c>
      <c r="L58" s="1117">
        <f>SUM(L56:L57)</f>
        <v>68.27312611967038</v>
      </c>
      <c r="M58" s="1128">
        <f>SUM(M56:M57)</f>
        <v>1711880.3643246151</v>
      </c>
      <c r="N58" s="1128">
        <f>M58/1000</f>
        <v>1711.8803643246151</v>
      </c>
      <c r="P58" s="1189"/>
      <c r="Q58" s="1191"/>
      <c r="R58" s="1189"/>
      <c r="S58" s="1178"/>
      <c r="T58" s="1108" t="s">
        <v>319</v>
      </c>
      <c r="U58" s="1117">
        <f>SUM(U56:U57)</f>
        <v>68.27312611967038</v>
      </c>
      <c r="V58" s="1128">
        <f>SUM(V56:V57)</f>
        <v>136546.25223934074</v>
      </c>
      <c r="W58" s="1128">
        <f>V58/1000</f>
        <v>136.54625223934073</v>
      </c>
      <c r="Y58" s="1188"/>
      <c r="Z58" s="1199"/>
      <c r="AA58" s="1188"/>
      <c r="AB58" s="1178"/>
      <c r="AC58" s="1108" t="s">
        <v>319</v>
      </c>
      <c r="AD58" s="1117">
        <f>SUM(AD56:AD57)</f>
        <v>68.27312611967038</v>
      </c>
      <c r="AE58" s="1128">
        <f>SUM(AE56:AE57)</f>
        <v>819277.51343604457</v>
      </c>
      <c r="AF58" s="1128">
        <f>AE58/1000</f>
        <v>819.27751343604461</v>
      </c>
      <c r="AH58" s="1188"/>
      <c r="AI58" s="1188"/>
      <c r="AJ58" s="1188"/>
      <c r="AM58" s="1188"/>
      <c r="AN58" s="1188"/>
      <c r="AO58" s="1188"/>
      <c r="AP58" s="1188"/>
      <c r="AQ58" s="1188"/>
      <c r="AR58" s="1188"/>
    </row>
    <row r="59" spans="1:44" ht="29.25" customHeight="1" x14ac:dyDescent="0.3">
      <c r="A59" s="1124" t="s">
        <v>320</v>
      </c>
      <c r="B59" s="1477" t="s">
        <v>321</v>
      </c>
      <c r="C59" s="1478"/>
      <c r="D59" s="1478"/>
      <c r="E59" s="1478"/>
      <c r="F59" s="1188"/>
      <c r="G59" s="1188"/>
      <c r="H59" s="1190"/>
      <c r="I59" s="1189"/>
      <c r="J59" s="1183" t="s">
        <v>320</v>
      </c>
      <c r="K59" s="1477" t="s">
        <v>321</v>
      </c>
      <c r="L59" s="1478"/>
      <c r="M59" s="1478"/>
      <c r="N59" s="1478"/>
      <c r="P59" s="1189"/>
      <c r="Q59" s="1191"/>
      <c r="R59" s="1189"/>
      <c r="S59" s="1183" t="s">
        <v>320</v>
      </c>
      <c r="T59" s="1477" t="s">
        <v>321</v>
      </c>
      <c r="U59" s="1478"/>
      <c r="V59" s="1478"/>
      <c r="W59" s="1478"/>
      <c r="Y59" s="1188"/>
      <c r="Z59" s="1199"/>
      <c r="AA59" s="1188"/>
      <c r="AB59" s="1183" t="s">
        <v>320</v>
      </c>
      <c r="AC59" s="1477" t="s">
        <v>321</v>
      </c>
      <c r="AD59" s="1478"/>
      <c r="AE59" s="1478"/>
      <c r="AF59" s="1478"/>
      <c r="AH59" s="1188"/>
      <c r="AI59" s="1188"/>
      <c r="AJ59" s="1188"/>
      <c r="AM59" s="1188"/>
      <c r="AN59" s="1188"/>
      <c r="AO59" s="1188"/>
      <c r="AP59" s="1188"/>
      <c r="AQ59" s="1188"/>
      <c r="AR59" s="1188"/>
    </row>
    <row r="60" spans="1:44" ht="29.25" customHeight="1" x14ac:dyDescent="0.3">
      <c r="A60" s="1084" t="s">
        <v>322</v>
      </c>
      <c r="B60" s="1102" t="s">
        <v>323</v>
      </c>
      <c r="C60" s="1484"/>
      <c r="D60" s="1485">
        <f>C63*D5</f>
        <v>3838887.6483999998</v>
      </c>
      <c r="E60" s="1505">
        <f>D60/1000</f>
        <v>3838.8876483999998</v>
      </c>
      <c r="F60" s="1188"/>
      <c r="G60" s="1188"/>
      <c r="H60" s="1190"/>
      <c r="I60" s="1189"/>
      <c r="J60" s="1178" t="s">
        <v>322</v>
      </c>
      <c r="K60" s="1102" t="s">
        <v>323</v>
      </c>
      <c r="L60" s="1484"/>
      <c r="M60" s="1485">
        <f>L63*M5</f>
        <v>2463435.2483999999</v>
      </c>
      <c r="N60" s="1485">
        <f>M60/1000</f>
        <v>2463.4352484000001</v>
      </c>
      <c r="P60" s="1189"/>
      <c r="Q60" s="1191"/>
      <c r="R60" s="1189"/>
      <c r="S60" s="1178" t="s">
        <v>322</v>
      </c>
      <c r="T60" s="1102" t="s">
        <v>323</v>
      </c>
      <c r="U60" s="1484"/>
      <c r="V60" s="1485">
        <f>U63*V5</f>
        <v>196493.2</v>
      </c>
      <c r="W60" s="1485">
        <f>V60/1000</f>
        <v>196.4932</v>
      </c>
      <c r="Y60" s="1188"/>
      <c r="Z60" s="1199"/>
      <c r="AA60" s="1188"/>
      <c r="AB60" s="1178" t="s">
        <v>322</v>
      </c>
      <c r="AC60" s="1102" t="s">
        <v>323</v>
      </c>
      <c r="AD60" s="1484"/>
      <c r="AE60" s="1485">
        <f>AD63*AE5</f>
        <v>1178959.2</v>
      </c>
      <c r="AF60" s="1485">
        <f>AE60/1000</f>
        <v>1178.9592</v>
      </c>
      <c r="AH60" s="1188"/>
      <c r="AI60" s="1188"/>
      <c r="AJ60" s="1188"/>
      <c r="AM60" s="1188"/>
      <c r="AN60" s="1188"/>
      <c r="AO60" s="1188"/>
      <c r="AP60" s="1188"/>
      <c r="AQ60" s="1188"/>
      <c r="AR60" s="1188"/>
    </row>
    <row r="61" spans="1:44" ht="29.25" customHeight="1" x14ac:dyDescent="0.3">
      <c r="A61" s="1084" t="s">
        <v>324</v>
      </c>
      <c r="B61" s="1102" t="s">
        <v>325</v>
      </c>
      <c r="C61" s="1484"/>
      <c r="D61" s="1485"/>
      <c r="E61" s="1505"/>
      <c r="F61" s="1188"/>
      <c r="G61" s="1188"/>
      <c r="H61" s="1190"/>
      <c r="I61" s="1189"/>
      <c r="J61" s="1178" t="s">
        <v>324</v>
      </c>
      <c r="K61" s="1102" t="s">
        <v>325</v>
      </c>
      <c r="L61" s="1484"/>
      <c r="M61" s="1485"/>
      <c r="N61" s="1485"/>
      <c r="P61" s="1189"/>
      <c r="Q61" s="1191"/>
      <c r="R61" s="1189"/>
      <c r="S61" s="1178" t="s">
        <v>324</v>
      </c>
      <c r="T61" s="1102" t="s">
        <v>325</v>
      </c>
      <c r="U61" s="1484"/>
      <c r="V61" s="1485"/>
      <c r="W61" s="1485"/>
      <c r="Y61" s="1188"/>
      <c r="Z61" s="1199"/>
      <c r="AA61" s="1188"/>
      <c r="AB61" s="1178" t="s">
        <v>324</v>
      </c>
      <c r="AC61" s="1102" t="s">
        <v>325</v>
      </c>
      <c r="AD61" s="1484"/>
      <c r="AE61" s="1485"/>
      <c r="AF61" s="1485"/>
      <c r="AH61" s="1188"/>
      <c r="AI61" s="1188"/>
      <c r="AJ61" s="1188"/>
      <c r="AM61" s="1188"/>
      <c r="AN61" s="1188"/>
      <c r="AO61" s="1188"/>
      <c r="AP61" s="1188"/>
      <c r="AQ61" s="1188"/>
      <c r="AR61" s="1188"/>
    </row>
    <row r="62" spans="1:44" ht="29.25" customHeight="1" x14ac:dyDescent="0.3">
      <c r="A62" s="1084" t="s">
        <v>326</v>
      </c>
      <c r="B62" s="1102" t="s">
        <v>318</v>
      </c>
      <c r="C62" s="1484"/>
      <c r="D62" s="1485"/>
      <c r="E62" s="1505"/>
      <c r="F62" s="1188"/>
      <c r="G62" s="1188"/>
      <c r="H62" s="1190"/>
      <c r="I62" s="1189"/>
      <c r="J62" s="1178" t="s">
        <v>326</v>
      </c>
      <c r="K62" s="1102" t="s">
        <v>318</v>
      </c>
      <c r="L62" s="1484"/>
      <c r="M62" s="1485"/>
      <c r="N62" s="1485"/>
      <c r="P62" s="1189"/>
      <c r="Q62" s="1191"/>
      <c r="R62" s="1189"/>
      <c r="S62" s="1178" t="s">
        <v>326</v>
      </c>
      <c r="T62" s="1102" t="s">
        <v>318</v>
      </c>
      <c r="U62" s="1484"/>
      <c r="V62" s="1485"/>
      <c r="W62" s="1485"/>
      <c r="Y62" s="1188"/>
      <c r="Z62" s="1199"/>
      <c r="AA62" s="1188"/>
      <c r="AB62" s="1178" t="s">
        <v>326</v>
      </c>
      <c r="AC62" s="1102" t="s">
        <v>318</v>
      </c>
      <c r="AD62" s="1484"/>
      <c r="AE62" s="1485"/>
      <c r="AF62" s="1485"/>
      <c r="AH62" s="1188"/>
      <c r="AI62" s="1188"/>
      <c r="AJ62" s="1188"/>
      <c r="AM62" s="1188"/>
      <c r="AN62" s="1188"/>
      <c r="AO62" s="1188"/>
      <c r="AP62" s="1188"/>
      <c r="AQ62" s="1188"/>
      <c r="AR62" s="1188"/>
    </row>
    <row r="63" spans="1:44" ht="29.25" customHeight="1" x14ac:dyDescent="0.3">
      <c r="A63" s="1084"/>
      <c r="B63" s="1108" t="s">
        <v>327</v>
      </c>
      <c r="C63" s="1117">
        <v>98.246600000000001</v>
      </c>
      <c r="D63" s="1128">
        <f>SUM(D60)</f>
        <v>3838887.6483999998</v>
      </c>
      <c r="E63" s="1171">
        <f>SUM(E60)</f>
        <v>3838.8876483999998</v>
      </c>
      <c r="F63" s="1188"/>
      <c r="G63" s="1188"/>
      <c r="H63" s="1190"/>
      <c r="I63" s="1189"/>
      <c r="J63" s="1178"/>
      <c r="K63" s="1108" t="s">
        <v>327</v>
      </c>
      <c r="L63" s="1117">
        <v>98.246600000000001</v>
      </c>
      <c r="M63" s="1128">
        <f>SUM(M60)</f>
        <v>2463435.2483999999</v>
      </c>
      <c r="N63" s="1128">
        <f>SUM(N60)</f>
        <v>2463.4352484000001</v>
      </c>
      <c r="P63" s="1189"/>
      <c r="Q63" s="1191"/>
      <c r="R63" s="1189"/>
      <c r="S63" s="1178"/>
      <c r="T63" s="1108" t="s">
        <v>327</v>
      </c>
      <c r="U63" s="1117">
        <v>98.246600000000001</v>
      </c>
      <c r="V63" s="1128">
        <f>SUM(V60)</f>
        <v>196493.2</v>
      </c>
      <c r="W63" s="1128">
        <f>SUM(W60)</f>
        <v>196.4932</v>
      </c>
      <c r="Y63" s="1188"/>
      <c r="Z63" s="1199"/>
      <c r="AA63" s="1188"/>
      <c r="AB63" s="1178"/>
      <c r="AC63" s="1108" t="s">
        <v>327</v>
      </c>
      <c r="AD63" s="1117">
        <v>98.246600000000001</v>
      </c>
      <c r="AE63" s="1128">
        <f>SUM(AE60)</f>
        <v>1178959.2</v>
      </c>
      <c r="AF63" s="1128">
        <f>SUM(AF60)</f>
        <v>1178.9592</v>
      </c>
      <c r="AH63" s="1188"/>
      <c r="AI63" s="1188"/>
      <c r="AJ63" s="1188"/>
      <c r="AM63" s="1188"/>
      <c r="AN63" s="1188"/>
      <c r="AO63" s="1188"/>
      <c r="AP63" s="1188"/>
      <c r="AQ63" s="1188"/>
      <c r="AR63" s="1188"/>
    </row>
    <row r="64" spans="1:44" ht="29.25" customHeight="1" x14ac:dyDescent="0.3">
      <c r="A64" s="1124" t="s">
        <v>328</v>
      </c>
      <c r="B64" s="1480" t="s">
        <v>329</v>
      </c>
      <c r="C64" s="1481"/>
      <c r="D64" s="1481"/>
      <c r="E64" s="1481"/>
      <c r="F64" s="1188"/>
      <c r="G64" s="1188"/>
      <c r="H64" s="1190"/>
      <c r="I64" s="1189"/>
      <c r="J64" s="1183" t="s">
        <v>328</v>
      </c>
      <c r="K64" s="1480" t="s">
        <v>329</v>
      </c>
      <c r="L64" s="1481"/>
      <c r="M64" s="1481"/>
      <c r="N64" s="1481"/>
      <c r="P64" s="1189"/>
      <c r="Q64" s="1191"/>
      <c r="R64" s="1189"/>
      <c r="S64" s="1183" t="s">
        <v>328</v>
      </c>
      <c r="T64" s="1480" t="s">
        <v>329</v>
      </c>
      <c r="U64" s="1481"/>
      <c r="V64" s="1481"/>
      <c r="W64" s="1481"/>
      <c r="Y64" s="1188"/>
      <c r="Z64" s="1199"/>
      <c r="AA64" s="1188"/>
      <c r="AB64" s="1183" t="s">
        <v>328</v>
      </c>
      <c r="AC64" s="1480" t="s">
        <v>329</v>
      </c>
      <c r="AD64" s="1481"/>
      <c r="AE64" s="1481"/>
      <c r="AF64" s="1481"/>
      <c r="AH64" s="1188"/>
      <c r="AI64" s="1188"/>
      <c r="AJ64" s="1188"/>
      <c r="AM64" s="1188"/>
      <c r="AN64" s="1188"/>
      <c r="AO64" s="1188"/>
      <c r="AP64" s="1188"/>
      <c r="AQ64" s="1188"/>
      <c r="AR64" s="1188"/>
    </row>
    <row r="65" spans="1:44" ht="29.25" customHeight="1" x14ac:dyDescent="0.3">
      <c r="A65" s="1130" t="s">
        <v>330</v>
      </c>
      <c r="B65" s="1111" t="s">
        <v>331</v>
      </c>
      <c r="C65" s="1131">
        <v>13.686803329579773</v>
      </c>
      <c r="D65" s="1132">
        <f>C65*D5</f>
        <v>534798.15330000001</v>
      </c>
      <c r="E65" s="1172">
        <f>D65/1000</f>
        <v>534.79815329999997</v>
      </c>
      <c r="F65" s="1188"/>
      <c r="G65" s="1190"/>
      <c r="H65" s="1190"/>
      <c r="I65" s="1189"/>
      <c r="J65" s="1184" t="s">
        <v>330</v>
      </c>
      <c r="K65" s="1111" t="s">
        <v>331</v>
      </c>
      <c r="L65" s="1131">
        <v>13.686803329579773</v>
      </c>
      <c r="M65" s="1132">
        <f>L65*M5</f>
        <v>343182.90668588324</v>
      </c>
      <c r="N65" s="1133">
        <f>M65/1000</f>
        <v>343.18290668588321</v>
      </c>
      <c r="O65" s="1076">
        <v>310</v>
      </c>
      <c r="P65" s="1191"/>
      <c r="R65" s="1189"/>
      <c r="S65" s="1184" t="s">
        <v>330</v>
      </c>
      <c r="T65" s="1111" t="s">
        <v>331</v>
      </c>
      <c r="U65" s="1131">
        <v>13.686803329579773</v>
      </c>
      <c r="V65" s="1132">
        <f>U65*V5</f>
        <v>27373.606659159545</v>
      </c>
      <c r="W65" s="1133">
        <f>V65/1000</f>
        <v>27.373606659159545</v>
      </c>
      <c r="Y65" s="1190"/>
      <c r="AA65" s="1188"/>
      <c r="AB65" s="1184" t="s">
        <v>330</v>
      </c>
      <c r="AC65" s="1111" t="s">
        <v>331</v>
      </c>
      <c r="AD65" s="1131">
        <v>13.686803329579773</v>
      </c>
      <c r="AE65" s="1132">
        <f>AD65*AE5</f>
        <v>164241.63995495727</v>
      </c>
      <c r="AF65" s="1133">
        <f>AE65/1000</f>
        <v>164.24163995495726</v>
      </c>
      <c r="AG65" s="1150">
        <v>310</v>
      </c>
      <c r="AH65" s="1190"/>
      <c r="AI65" s="1188"/>
      <c r="AJ65" s="1188"/>
      <c r="AM65" s="1190"/>
      <c r="AN65" s="1190"/>
      <c r="AO65" s="1190"/>
      <c r="AP65" s="1188"/>
      <c r="AQ65" s="1188"/>
      <c r="AR65" s="1188"/>
    </row>
    <row r="66" spans="1:44" ht="29.25" customHeight="1" x14ac:dyDescent="0.3">
      <c r="A66" s="1124" t="s">
        <v>332</v>
      </c>
      <c r="B66" s="1477" t="s">
        <v>333</v>
      </c>
      <c r="C66" s="1478"/>
      <c r="D66" s="1478"/>
      <c r="E66" s="1478">
        <f t="shared" si="52"/>
        <v>0</v>
      </c>
      <c r="F66" s="1188"/>
      <c r="G66" s="1188"/>
      <c r="H66" s="1190"/>
      <c r="I66" s="1189"/>
      <c r="J66" s="1183" t="s">
        <v>332</v>
      </c>
      <c r="K66" s="1477" t="s">
        <v>333</v>
      </c>
      <c r="L66" s="1478"/>
      <c r="M66" s="1478"/>
      <c r="N66" s="1478">
        <f t="shared" ref="N66:N68" si="56">M66/1000</f>
        <v>0</v>
      </c>
      <c r="P66" s="1189"/>
      <c r="Q66" s="1191"/>
      <c r="R66" s="1189"/>
      <c r="S66" s="1183" t="s">
        <v>332</v>
      </c>
      <c r="T66" s="1477" t="s">
        <v>333</v>
      </c>
      <c r="U66" s="1478"/>
      <c r="V66" s="1478"/>
      <c r="W66" s="1478">
        <f t="shared" ref="W66:W68" si="57">V66/1000</f>
        <v>0</v>
      </c>
      <c r="Y66" s="1188"/>
      <c r="Z66" s="1199"/>
      <c r="AA66" s="1188"/>
      <c r="AB66" s="1183" t="s">
        <v>332</v>
      </c>
      <c r="AC66" s="1477" t="s">
        <v>333</v>
      </c>
      <c r="AD66" s="1478"/>
      <c r="AE66" s="1478"/>
      <c r="AF66" s="1478">
        <f t="shared" ref="AF66:AF68" si="58">AE66/1000</f>
        <v>0</v>
      </c>
      <c r="AH66" s="1188"/>
      <c r="AI66" s="1188"/>
      <c r="AJ66" s="1188"/>
      <c r="AM66" s="1188"/>
      <c r="AN66" s="1188"/>
      <c r="AO66" s="1188"/>
      <c r="AP66" s="1188"/>
      <c r="AQ66" s="1188"/>
      <c r="AR66" s="1188"/>
    </row>
    <row r="67" spans="1:44" ht="29.25" customHeight="1" x14ac:dyDescent="0.3">
      <c r="A67" s="1084" t="s">
        <v>330</v>
      </c>
      <c r="B67" s="1102" t="s">
        <v>334</v>
      </c>
      <c r="C67" s="1134"/>
      <c r="D67" s="1103">
        <f>C68*D5</f>
        <v>550086.28</v>
      </c>
      <c r="E67" s="1166">
        <f t="shared" si="52"/>
        <v>550.08627999999999</v>
      </c>
      <c r="F67" s="1188">
        <v>221</v>
      </c>
      <c r="G67" s="1190">
        <f>D68</f>
        <v>550086.28</v>
      </c>
      <c r="H67" s="1190">
        <v>935479.38</v>
      </c>
      <c r="I67" s="1191">
        <f>G67-H67</f>
        <v>-385393.1</v>
      </c>
      <c r="J67" s="1178" t="s">
        <v>330</v>
      </c>
      <c r="K67" s="1102" t="s">
        <v>334</v>
      </c>
      <c r="L67" s="1134"/>
      <c r="M67" s="1103">
        <f>L68*M5</f>
        <v>352993.38139734865</v>
      </c>
      <c r="N67" s="1103">
        <f t="shared" si="56"/>
        <v>352.99338139734863</v>
      </c>
      <c r="O67" s="1076">
        <v>221</v>
      </c>
      <c r="P67" s="1191">
        <f>M68</f>
        <v>352993.38139734865</v>
      </c>
      <c r="Q67" s="1191">
        <f>717269.39</f>
        <v>717269.39</v>
      </c>
      <c r="R67" s="1189"/>
      <c r="S67" s="1178" t="s">
        <v>330</v>
      </c>
      <c r="T67" s="1102" t="s">
        <v>334</v>
      </c>
      <c r="U67" s="1134"/>
      <c r="V67" s="1103">
        <f>U68*V5</f>
        <v>28156.128371807343</v>
      </c>
      <c r="W67" s="1103">
        <f t="shared" si="57"/>
        <v>28.156128371807341</v>
      </c>
      <c r="X67" s="1150">
        <v>221</v>
      </c>
      <c r="Y67" s="1190">
        <f>V68</f>
        <v>28156.128371807343</v>
      </c>
      <c r="Z67" s="1199">
        <v>93816.46</v>
      </c>
      <c r="AA67" s="1188"/>
      <c r="AB67" s="1178" t="s">
        <v>330</v>
      </c>
      <c r="AC67" s="1102" t="s">
        <v>334</v>
      </c>
      <c r="AD67" s="1134"/>
      <c r="AE67" s="1103">
        <f>AD68*AE5</f>
        <v>168936.77023084403</v>
      </c>
      <c r="AF67" s="1103">
        <f t="shared" si="58"/>
        <v>168.93677023084405</v>
      </c>
      <c r="AG67" s="1150">
        <v>221</v>
      </c>
      <c r="AH67" s="1190">
        <f>AE68</f>
        <v>168936.77023084403</v>
      </c>
      <c r="AI67" s="1188">
        <v>218209.99</v>
      </c>
      <c r="AJ67" s="1188"/>
      <c r="AK67" s="1149" t="b">
        <f>AN67=G67</f>
        <v>1</v>
      </c>
      <c r="AL67" s="1150">
        <v>221</v>
      </c>
      <c r="AM67" s="1190"/>
      <c r="AN67" s="1190">
        <f>P67+Y67+AH67</f>
        <v>550086.28</v>
      </c>
      <c r="AO67" s="1190"/>
      <c r="AP67" s="1190">
        <f>Q67+Z67+AI67</f>
        <v>1029295.84</v>
      </c>
      <c r="AQ67" s="1188"/>
      <c r="AR67" s="1188"/>
    </row>
    <row r="68" spans="1:44" ht="29.25" customHeight="1" x14ac:dyDescent="0.3">
      <c r="A68" s="1084"/>
      <c r="B68" s="1108" t="s">
        <v>335</v>
      </c>
      <c r="C68" s="1117">
        <v>14.078064185903671</v>
      </c>
      <c r="D68" s="1128">
        <f>SUM(D67)</f>
        <v>550086.28</v>
      </c>
      <c r="E68" s="1171">
        <f t="shared" si="52"/>
        <v>550.08627999999999</v>
      </c>
      <c r="F68" s="1188"/>
      <c r="G68" s="1188"/>
      <c r="H68" s="1190"/>
      <c r="I68" s="1189"/>
      <c r="J68" s="1178"/>
      <c r="K68" s="1108" t="s">
        <v>335</v>
      </c>
      <c r="L68" s="1117">
        <v>14.078064185903671</v>
      </c>
      <c r="M68" s="1128">
        <f>SUM(M67)</f>
        <v>352993.38139734865</v>
      </c>
      <c r="N68" s="1128">
        <f t="shared" si="56"/>
        <v>352.99338139734863</v>
      </c>
      <c r="P68" s="1189"/>
      <c r="Q68" s="1191"/>
      <c r="R68" s="1189"/>
      <c r="S68" s="1178"/>
      <c r="T68" s="1108" t="s">
        <v>335</v>
      </c>
      <c r="U68" s="1117">
        <v>14.078064185903671</v>
      </c>
      <c r="V68" s="1128">
        <f>SUM(V67)</f>
        <v>28156.128371807343</v>
      </c>
      <c r="W68" s="1128">
        <f t="shared" si="57"/>
        <v>28.156128371807341</v>
      </c>
      <c r="Y68" s="1188"/>
      <c r="Z68" s="1199"/>
      <c r="AA68" s="1188"/>
      <c r="AB68" s="1178"/>
      <c r="AC68" s="1108" t="s">
        <v>335</v>
      </c>
      <c r="AD68" s="1117">
        <v>14.078064185903671</v>
      </c>
      <c r="AE68" s="1128">
        <f>SUM(AE67)</f>
        <v>168936.77023084403</v>
      </c>
      <c r="AF68" s="1128">
        <f t="shared" si="58"/>
        <v>168.93677023084405</v>
      </c>
      <c r="AH68" s="1188"/>
      <c r="AI68" s="1188"/>
      <c r="AJ68" s="1188"/>
      <c r="AM68" s="1188"/>
      <c r="AN68" s="1188"/>
      <c r="AO68" s="1188"/>
      <c r="AP68" s="1188"/>
      <c r="AQ68" s="1188"/>
      <c r="AR68" s="1188"/>
    </row>
    <row r="69" spans="1:44" ht="42" customHeight="1" x14ac:dyDescent="0.3">
      <c r="A69" s="1124" t="s">
        <v>336</v>
      </c>
      <c r="B69" s="1473" t="s">
        <v>337</v>
      </c>
      <c r="C69" s="1474"/>
      <c r="D69" s="1474"/>
      <c r="E69" s="1474"/>
      <c r="F69" s="1188"/>
      <c r="G69" s="1188"/>
      <c r="H69" s="1190"/>
      <c r="I69" s="1189"/>
      <c r="J69" s="1183" t="s">
        <v>336</v>
      </c>
      <c r="K69" s="1473" t="s">
        <v>337</v>
      </c>
      <c r="L69" s="1474"/>
      <c r="M69" s="1474"/>
      <c r="N69" s="1474"/>
      <c r="P69" s="1189"/>
      <c r="Q69" s="1191"/>
      <c r="R69" s="1189"/>
      <c r="S69" s="1183" t="s">
        <v>336</v>
      </c>
      <c r="T69" s="1473" t="s">
        <v>337</v>
      </c>
      <c r="U69" s="1474"/>
      <c r="V69" s="1474"/>
      <c r="W69" s="1474"/>
      <c r="Y69" s="1188"/>
      <c r="Z69" s="1199"/>
      <c r="AA69" s="1188"/>
      <c r="AB69" s="1183" t="s">
        <v>336</v>
      </c>
      <c r="AC69" s="1473" t="s">
        <v>337</v>
      </c>
      <c r="AD69" s="1474"/>
      <c r="AE69" s="1474"/>
      <c r="AF69" s="1474"/>
      <c r="AH69" s="1188"/>
      <c r="AI69" s="1188"/>
      <c r="AJ69" s="1188"/>
      <c r="AM69" s="1188"/>
      <c r="AN69" s="1188"/>
      <c r="AO69" s="1188"/>
      <c r="AP69" s="1188"/>
      <c r="AQ69" s="1188"/>
      <c r="AR69" s="1188"/>
    </row>
    <row r="70" spans="1:44" ht="29.25" customHeight="1" x14ac:dyDescent="0.3">
      <c r="A70" s="1084" t="s">
        <v>338</v>
      </c>
      <c r="B70" s="1085" t="s">
        <v>271</v>
      </c>
      <c r="C70" s="1135">
        <v>393.16681169063827</v>
      </c>
      <c r="D70" s="1103">
        <f>C70*D5</f>
        <v>15362600</v>
      </c>
      <c r="E70" s="1166">
        <f>D70/1000</f>
        <v>15362.6</v>
      </c>
      <c r="F70" s="1188"/>
      <c r="G70" s="1188"/>
      <c r="H70" s="1190"/>
      <c r="I70" s="1189"/>
      <c r="J70" s="1178" t="s">
        <v>338</v>
      </c>
      <c r="K70" s="1085" t="s">
        <v>271</v>
      </c>
      <c r="L70" s="1135">
        <v>393.16681169063827</v>
      </c>
      <c r="M70" s="1103">
        <f>L70*M5</f>
        <v>9858264.6363310646</v>
      </c>
      <c r="N70" s="1103">
        <f>M70/1000</f>
        <v>9858.264636331065</v>
      </c>
      <c r="P70" s="1189"/>
      <c r="Q70" s="1191"/>
      <c r="R70" s="1189"/>
      <c r="S70" s="1178" t="s">
        <v>338</v>
      </c>
      <c r="T70" s="1085" t="s">
        <v>271</v>
      </c>
      <c r="U70" s="1135">
        <v>393.16681169063827</v>
      </c>
      <c r="V70" s="1103">
        <f>U70*V5</f>
        <v>786333.6233812765</v>
      </c>
      <c r="W70" s="1103">
        <f>V70/1000</f>
        <v>786.33362338127654</v>
      </c>
      <c r="Y70" s="1188"/>
      <c r="Z70" s="1199"/>
      <c r="AA70" s="1188"/>
      <c r="AB70" s="1178" t="s">
        <v>338</v>
      </c>
      <c r="AC70" s="1085" t="s">
        <v>271</v>
      </c>
      <c r="AD70" s="1135">
        <v>393.16681169063827</v>
      </c>
      <c r="AE70" s="1103">
        <f>AD70*AE5</f>
        <v>4718001.7402876597</v>
      </c>
      <c r="AF70" s="1103">
        <f>AE70/1000</f>
        <v>4718.0017402876601</v>
      </c>
      <c r="AH70" s="1188"/>
      <c r="AI70" s="1188"/>
      <c r="AJ70" s="1188"/>
      <c r="AM70" s="1188"/>
      <c r="AN70" s="1188"/>
      <c r="AO70" s="1188"/>
      <c r="AP70" s="1188"/>
      <c r="AQ70" s="1188"/>
      <c r="AR70" s="1188"/>
    </row>
    <row r="71" spans="1:44" ht="29.25" customHeight="1" x14ac:dyDescent="0.3">
      <c r="A71" s="1084" t="s">
        <v>339</v>
      </c>
      <c r="B71" s="1085" t="s">
        <v>275</v>
      </c>
      <c r="C71" s="1135">
        <v>118.7363</v>
      </c>
      <c r="D71" s="1103">
        <f>C71*D5</f>
        <v>4639502.1862000003</v>
      </c>
      <c r="E71" s="1166">
        <f t="shared" ref="E71:E72" si="59">D71/1000</f>
        <v>4639.5021862000003</v>
      </c>
      <c r="F71" s="1188"/>
      <c r="G71" s="1188"/>
      <c r="H71" s="1190"/>
      <c r="I71" s="1189"/>
      <c r="J71" s="1178" t="s">
        <v>339</v>
      </c>
      <c r="K71" s="1085" t="s">
        <v>275</v>
      </c>
      <c r="L71" s="1135">
        <v>118.7363</v>
      </c>
      <c r="M71" s="1103">
        <f>L71*M5</f>
        <v>2977193.9862000002</v>
      </c>
      <c r="N71" s="1103">
        <f t="shared" ref="N71:N72" si="60">M71/1000</f>
        <v>2977.1939862000004</v>
      </c>
      <c r="P71" s="1189"/>
      <c r="Q71" s="1191"/>
      <c r="R71" s="1189"/>
      <c r="S71" s="1178" t="s">
        <v>339</v>
      </c>
      <c r="T71" s="1085" t="s">
        <v>275</v>
      </c>
      <c r="U71" s="1135">
        <v>118.7363</v>
      </c>
      <c r="V71" s="1103">
        <f>U71*V5</f>
        <v>237472.6</v>
      </c>
      <c r="W71" s="1103">
        <f t="shared" ref="W71:W72" si="61">V71/1000</f>
        <v>237.4726</v>
      </c>
      <c r="Y71" s="1188"/>
      <c r="Z71" s="1199"/>
      <c r="AA71" s="1188"/>
      <c r="AB71" s="1178" t="s">
        <v>339</v>
      </c>
      <c r="AC71" s="1085" t="s">
        <v>275</v>
      </c>
      <c r="AD71" s="1135">
        <v>118.7363</v>
      </c>
      <c r="AE71" s="1103">
        <f>AD71*AE5</f>
        <v>1424835.6</v>
      </c>
      <c r="AF71" s="1103">
        <f t="shared" ref="AF71:AF72" si="62">AE71/1000</f>
        <v>1424.8356000000001</v>
      </c>
      <c r="AH71" s="1188"/>
      <c r="AI71" s="1188"/>
      <c r="AJ71" s="1188"/>
      <c r="AM71" s="1188"/>
      <c r="AN71" s="1188"/>
      <c r="AO71" s="1188"/>
      <c r="AP71" s="1188"/>
      <c r="AQ71" s="1188"/>
      <c r="AR71" s="1188"/>
    </row>
    <row r="72" spans="1:44" ht="29.25" customHeight="1" x14ac:dyDescent="0.3">
      <c r="A72" s="1084"/>
      <c r="B72" s="1108" t="s">
        <v>340</v>
      </c>
      <c r="C72" s="1117">
        <f>SUM(C70:C71)</f>
        <v>511.9031116906383</v>
      </c>
      <c r="D72" s="1128">
        <f>SUM(D70:D71)</f>
        <v>20002102.1862</v>
      </c>
      <c r="E72" s="1171">
        <f t="shared" si="59"/>
        <v>20002.102186200002</v>
      </c>
      <c r="F72" s="1188"/>
      <c r="G72" s="1188"/>
      <c r="H72" s="1190"/>
      <c r="I72" s="1189"/>
      <c r="J72" s="1178"/>
      <c r="K72" s="1108" t="s">
        <v>340</v>
      </c>
      <c r="L72" s="1117">
        <f>SUM(L70:L71)</f>
        <v>511.9031116906383</v>
      </c>
      <c r="M72" s="1128">
        <f>SUM(M70:M71)</f>
        <v>12835458.622531064</v>
      </c>
      <c r="N72" s="1128">
        <f t="shared" si="60"/>
        <v>12835.458622531063</v>
      </c>
      <c r="P72" s="1189"/>
      <c r="Q72" s="1191"/>
      <c r="R72" s="1189"/>
      <c r="S72" s="1178"/>
      <c r="T72" s="1108" t="s">
        <v>340</v>
      </c>
      <c r="U72" s="1117">
        <f>SUM(U70:U71)</f>
        <v>511.9031116906383</v>
      </c>
      <c r="V72" s="1128">
        <f>SUM(V70:V71)</f>
        <v>1023806.2233812765</v>
      </c>
      <c r="W72" s="1128">
        <f t="shared" si="61"/>
        <v>1023.8062233812765</v>
      </c>
      <c r="Y72" s="1188"/>
      <c r="Z72" s="1199"/>
      <c r="AA72" s="1188"/>
      <c r="AB72" s="1178"/>
      <c r="AC72" s="1108" t="s">
        <v>340</v>
      </c>
      <c r="AD72" s="1117">
        <f>SUM(AD70:AD71)</f>
        <v>511.9031116906383</v>
      </c>
      <c r="AE72" s="1128">
        <f>SUM(AE70:AE71)</f>
        <v>6142837.3402876593</v>
      </c>
      <c r="AF72" s="1128">
        <f t="shared" si="62"/>
        <v>6142.8373402876596</v>
      </c>
      <c r="AH72" s="1188"/>
      <c r="AI72" s="1188"/>
      <c r="AJ72" s="1188"/>
      <c r="AM72" s="1188"/>
      <c r="AN72" s="1188"/>
      <c r="AO72" s="1188"/>
      <c r="AP72" s="1188"/>
      <c r="AQ72" s="1188"/>
      <c r="AR72" s="1188"/>
    </row>
    <row r="73" spans="1:44" s="1125" customFormat="1" ht="29.25" customHeight="1" x14ac:dyDescent="0.3">
      <c r="A73" s="1124" t="s">
        <v>341</v>
      </c>
      <c r="B73" s="1473" t="s">
        <v>342</v>
      </c>
      <c r="C73" s="1474"/>
      <c r="D73" s="1474"/>
      <c r="E73" s="1474"/>
      <c r="F73" s="1197"/>
      <c r="G73" s="1197"/>
      <c r="H73" s="1190"/>
      <c r="I73" s="1198"/>
      <c r="J73" s="1183" t="s">
        <v>341</v>
      </c>
      <c r="K73" s="1473" t="s">
        <v>342</v>
      </c>
      <c r="L73" s="1474"/>
      <c r="M73" s="1474"/>
      <c r="N73" s="1474"/>
      <c r="P73" s="1198"/>
      <c r="Q73" s="1191"/>
      <c r="R73" s="1198"/>
      <c r="S73" s="1183" t="s">
        <v>341</v>
      </c>
      <c r="T73" s="1473" t="s">
        <v>342</v>
      </c>
      <c r="U73" s="1474"/>
      <c r="V73" s="1474"/>
      <c r="W73" s="1474"/>
      <c r="X73" s="1154"/>
      <c r="Y73" s="1197"/>
      <c r="Z73" s="1199"/>
      <c r="AA73" s="1197"/>
      <c r="AB73" s="1183" t="s">
        <v>341</v>
      </c>
      <c r="AC73" s="1473" t="s">
        <v>342</v>
      </c>
      <c r="AD73" s="1474"/>
      <c r="AE73" s="1474"/>
      <c r="AF73" s="1474"/>
      <c r="AG73" s="1154"/>
      <c r="AH73" s="1197"/>
      <c r="AI73" s="1197"/>
      <c r="AJ73" s="1197"/>
      <c r="AK73" s="1224"/>
      <c r="AL73" s="1154"/>
      <c r="AM73" s="1197"/>
      <c r="AN73" s="1197"/>
      <c r="AO73" s="1197"/>
      <c r="AP73" s="1197"/>
      <c r="AQ73" s="1197"/>
      <c r="AR73" s="1197"/>
    </row>
    <row r="74" spans="1:44" ht="29.25" customHeight="1" x14ac:dyDescent="0.3">
      <c r="A74" s="1084" t="s">
        <v>343</v>
      </c>
      <c r="B74" s="1102" t="s">
        <v>344</v>
      </c>
      <c r="C74" s="1126">
        <v>92.279872805446075</v>
      </c>
      <c r="D74" s="1103">
        <f>C74*D5</f>
        <v>3605743.75</v>
      </c>
      <c r="E74" s="1166">
        <f t="shared" ref="E74:E80" si="63">D74/1000</f>
        <v>3605.7437500000001</v>
      </c>
      <c r="F74" s="1188">
        <v>226</v>
      </c>
      <c r="G74" s="1190">
        <f>D74-H75</f>
        <v>3604709.75</v>
      </c>
      <c r="H74" s="1190">
        <v>3819615.47</v>
      </c>
      <c r="I74" s="1191">
        <f>G74-H74</f>
        <v>-214905.7200000002</v>
      </c>
      <c r="J74" s="1178" t="s">
        <v>343</v>
      </c>
      <c r="K74" s="1102" t="s">
        <v>344</v>
      </c>
      <c r="L74" s="1126">
        <v>92.279872805446075</v>
      </c>
      <c r="M74" s="1103">
        <f>L74*M5</f>
        <v>2313825.5307237548</v>
      </c>
      <c r="N74" s="1103">
        <f t="shared" ref="N74:N75" si="64">M74/1000</f>
        <v>2313.8255307237546</v>
      </c>
      <c r="O74" s="1076">
        <v>226</v>
      </c>
      <c r="P74" s="1191">
        <f>M74-Q75</f>
        <v>2312791.5307237548</v>
      </c>
      <c r="Q74" s="1191">
        <f>2389277.44</f>
        <v>2389277.44</v>
      </c>
      <c r="R74" s="1189"/>
      <c r="S74" s="1178" t="s">
        <v>343</v>
      </c>
      <c r="T74" s="1102" t="s">
        <v>344</v>
      </c>
      <c r="U74" s="1126">
        <v>92.279872805446075</v>
      </c>
      <c r="V74" s="1103">
        <f>U74*V5</f>
        <v>184559.74561089216</v>
      </c>
      <c r="W74" s="1103">
        <f t="shared" ref="W74:W75" si="65">V74/1000</f>
        <v>184.55974561089215</v>
      </c>
      <c r="X74" s="1150">
        <v>226</v>
      </c>
      <c r="Y74" s="1190">
        <f>V74</f>
        <v>184559.74561089216</v>
      </c>
      <c r="Z74" s="1199">
        <v>614953.25</v>
      </c>
      <c r="AA74" s="1188"/>
      <c r="AB74" s="1178" t="s">
        <v>343</v>
      </c>
      <c r="AC74" s="1102" t="s">
        <v>344</v>
      </c>
      <c r="AD74" s="1126">
        <v>92.279872805446075</v>
      </c>
      <c r="AE74" s="1103">
        <f>AD74*AE5</f>
        <v>1107358.4736653529</v>
      </c>
      <c r="AF74" s="1103">
        <f t="shared" ref="AF74:AF75" si="66">AE74/1000</f>
        <v>1107.3584736653529</v>
      </c>
      <c r="AG74" s="1150">
        <v>226</v>
      </c>
      <c r="AH74" s="1190">
        <f>AE74</f>
        <v>1107358.4736653529</v>
      </c>
      <c r="AI74" s="1188">
        <v>1430338.03</v>
      </c>
      <c r="AJ74" s="1188"/>
      <c r="AK74" s="1149" t="b">
        <f>AN74=G74</f>
        <v>1</v>
      </c>
      <c r="AL74" s="1150">
        <v>226</v>
      </c>
      <c r="AM74" s="1190"/>
      <c r="AN74" s="1190">
        <f>P74+Y74+AH74</f>
        <v>3604709.75</v>
      </c>
      <c r="AO74" s="1190"/>
      <c r="AP74" s="1190">
        <f>Q74+Z74+AI74</f>
        <v>4434568.72</v>
      </c>
      <c r="AQ74" s="1188"/>
      <c r="AR74" s="1188"/>
    </row>
    <row r="75" spans="1:44" ht="29.25" customHeight="1" x14ac:dyDescent="0.3">
      <c r="A75" s="1084" t="s">
        <v>345</v>
      </c>
      <c r="B75" s="1102" t="s">
        <v>288</v>
      </c>
      <c r="C75" s="1126">
        <f>36.1352068459845+0.0007+0.00003843</f>
        <v>36.135945275984497</v>
      </c>
      <c r="D75" s="1103">
        <f>C75*D5</f>
        <v>1411975.9257138183</v>
      </c>
      <c r="E75" s="1166">
        <f t="shared" si="63"/>
        <v>1411.9759257138182</v>
      </c>
      <c r="F75" s="1192" t="s">
        <v>987</v>
      </c>
      <c r="G75" s="1190">
        <f>H75</f>
        <v>1034</v>
      </c>
      <c r="H75" s="1190">
        <v>1034</v>
      </c>
      <c r="I75" s="1191">
        <f>G75-H75</f>
        <v>0</v>
      </c>
      <c r="J75" s="1178" t="s">
        <v>345</v>
      </c>
      <c r="K75" s="1102" t="s">
        <v>288</v>
      </c>
      <c r="L75" s="1126">
        <f>36.1352068459845+0.0007+0.00003843</f>
        <v>36.135945275984497</v>
      </c>
      <c r="M75" s="1103">
        <f>L75*M5</f>
        <v>906072.69185003533</v>
      </c>
      <c r="N75" s="1103">
        <f t="shared" si="64"/>
        <v>906.07269185003531</v>
      </c>
      <c r="O75" s="1076" t="s">
        <v>990</v>
      </c>
      <c r="P75" s="1191">
        <v>1034</v>
      </c>
      <c r="Q75" s="1191">
        <v>1034</v>
      </c>
      <c r="R75" s="1189"/>
      <c r="S75" s="1178" t="s">
        <v>345</v>
      </c>
      <c r="T75" s="1102" t="s">
        <v>288</v>
      </c>
      <c r="U75" s="1126">
        <f>36.1352068459845+0.0007+0.00003843</f>
        <v>36.135945275984497</v>
      </c>
      <c r="V75" s="1103">
        <f>U75*V5</f>
        <v>72271.890551968987</v>
      </c>
      <c r="W75" s="1103">
        <f t="shared" si="65"/>
        <v>72.271890551968994</v>
      </c>
      <c r="Y75" s="1190"/>
      <c r="Z75" s="1199"/>
      <c r="AA75" s="1188"/>
      <c r="AB75" s="1178" t="s">
        <v>345</v>
      </c>
      <c r="AC75" s="1102" t="s">
        <v>288</v>
      </c>
      <c r="AD75" s="1126">
        <f>36.1352068459845+0.0007+0.00003843</f>
        <v>36.135945275984497</v>
      </c>
      <c r="AE75" s="1103">
        <f>AD75*AE5</f>
        <v>433631.34331181395</v>
      </c>
      <c r="AF75" s="1103">
        <f t="shared" si="66"/>
        <v>433.63134331181396</v>
      </c>
      <c r="AG75" s="1150">
        <v>310</v>
      </c>
      <c r="AH75" s="1190"/>
      <c r="AI75" s="1188"/>
      <c r="AJ75" s="1188"/>
      <c r="AK75" s="1149" t="b">
        <f>AN75=G75</f>
        <v>1</v>
      </c>
      <c r="AL75" s="1150" t="s">
        <v>990</v>
      </c>
      <c r="AM75" s="1190"/>
      <c r="AN75" s="1190">
        <f>P75</f>
        <v>1034</v>
      </c>
      <c r="AO75" s="1190"/>
      <c r="AP75" s="1190">
        <f>Q75+Z75+AI75</f>
        <v>1034</v>
      </c>
      <c r="AQ75" s="1188"/>
      <c r="AR75" s="1188"/>
    </row>
    <row r="76" spans="1:44" ht="29.25" customHeight="1" x14ac:dyDescent="0.3">
      <c r="A76" s="1084"/>
      <c r="B76" s="1108" t="s">
        <v>346</v>
      </c>
      <c r="C76" s="1119">
        <f>C74+C75</f>
        <v>128.41581808143059</v>
      </c>
      <c r="D76" s="1128">
        <f>SUM(D74:D75)</f>
        <v>5017719.6757138185</v>
      </c>
      <c r="E76" s="1171">
        <f>D76/1000</f>
        <v>5017.7196757138181</v>
      </c>
      <c r="F76" s="1188"/>
      <c r="G76" s="1188"/>
      <c r="H76" s="1189"/>
      <c r="I76" s="1189"/>
      <c r="J76" s="1178"/>
      <c r="K76" s="1108" t="s">
        <v>346</v>
      </c>
      <c r="L76" s="1119">
        <f>L74+L75</f>
        <v>128.41581808143059</v>
      </c>
      <c r="M76" s="1128">
        <f>SUM(M74:M75)</f>
        <v>3219898.2225737902</v>
      </c>
      <c r="N76" s="1128">
        <f>M76/1000</f>
        <v>3219.89822257379</v>
      </c>
      <c r="P76" s="1189"/>
      <c r="Q76" s="1191"/>
      <c r="R76" s="1189"/>
      <c r="S76" s="1178"/>
      <c r="T76" s="1108" t="s">
        <v>346</v>
      </c>
      <c r="U76" s="1119">
        <f>U74+U75</f>
        <v>128.41581808143059</v>
      </c>
      <c r="V76" s="1128">
        <f>SUM(V74:V75)</f>
        <v>256831.63616286113</v>
      </c>
      <c r="W76" s="1128">
        <f>V76/1000</f>
        <v>256.83163616286112</v>
      </c>
      <c r="Y76" s="1188"/>
      <c r="Z76" s="1199"/>
      <c r="AA76" s="1188"/>
      <c r="AB76" s="1178"/>
      <c r="AC76" s="1108" t="s">
        <v>346</v>
      </c>
      <c r="AD76" s="1119">
        <f>AD74+AD75</f>
        <v>128.41581808143059</v>
      </c>
      <c r="AE76" s="1128">
        <f>SUM(AE74:AE75)</f>
        <v>1540989.8169771668</v>
      </c>
      <c r="AF76" s="1128">
        <f>AE76/1000</f>
        <v>1540.9898169771668</v>
      </c>
      <c r="AH76" s="1188"/>
      <c r="AI76" s="1188"/>
      <c r="AJ76" s="1188"/>
      <c r="AM76" s="1188"/>
      <c r="AN76" s="1188"/>
      <c r="AO76" s="1188"/>
      <c r="AP76" s="1188"/>
      <c r="AQ76" s="1188"/>
      <c r="AR76" s="1188"/>
    </row>
    <row r="77" spans="1:44" ht="29.25" customHeight="1" x14ac:dyDescent="0.3">
      <c r="A77" s="1121"/>
      <c r="B77" s="1122" t="s">
        <v>347</v>
      </c>
      <c r="C77" s="1123">
        <f>C54+C68+C58+C63+C72+C76+C65</f>
        <v>1100.1554840460108</v>
      </c>
      <c r="D77" s="1136">
        <f>D54+D58+D63+D65+D68+D72+D76</f>
        <v>42987475.383613825</v>
      </c>
      <c r="E77" s="1170">
        <f>D77/1000</f>
        <v>42987.475383613826</v>
      </c>
      <c r="F77" s="1188"/>
      <c r="G77" s="1190">
        <f>SUM(G9:G76)</f>
        <v>214854711.17331383</v>
      </c>
      <c r="H77" s="1190">
        <f>SUM(H9:H76)</f>
        <v>234541183.38</v>
      </c>
      <c r="I77" s="1191">
        <f>G77-+H77</f>
        <v>-19686472.206686169</v>
      </c>
      <c r="J77" s="1182"/>
      <c r="K77" s="1122" t="s">
        <v>347</v>
      </c>
      <c r="L77" s="1123">
        <f>L54+L68+L58+L63+L72+L76+L65</f>
        <v>1100.1554840460108</v>
      </c>
      <c r="M77" s="1136">
        <f>M54+M58+M63+M65+M68+M72+M76</f>
        <v>27585298.606969673</v>
      </c>
      <c r="N77" s="1122">
        <f>M77/1000</f>
        <v>27585.298606969674</v>
      </c>
      <c r="P77" s="1189"/>
      <c r="Q77" s="1191"/>
      <c r="R77" s="1189"/>
      <c r="S77" s="1182"/>
      <c r="T77" s="1122" t="s">
        <v>347</v>
      </c>
      <c r="U77" s="1123">
        <f>U54+U68+U58+U63+U72+U76+U65</f>
        <v>1100.1554840460108</v>
      </c>
      <c r="V77" s="1136">
        <f>V54+V58+V63+V65+V68+V72+V76</f>
        <v>2200310.9680920211</v>
      </c>
      <c r="W77" s="1122">
        <f>V77/1000</f>
        <v>2200.3109680920211</v>
      </c>
      <c r="Y77" s="1188"/>
      <c r="Z77" s="1199"/>
      <c r="AA77" s="1188"/>
      <c r="AB77" s="1182"/>
      <c r="AC77" s="1122" t="s">
        <v>347</v>
      </c>
      <c r="AD77" s="1123">
        <f>AD54+AD68+AD58+AD63+AD72+AD76+AD65</f>
        <v>1100.1554840460108</v>
      </c>
      <c r="AE77" s="1136">
        <f>AE54+AE58+AE63+AE65+AE68+AE72+AE76</f>
        <v>13201865.808552127</v>
      </c>
      <c r="AF77" s="1122">
        <f>AE77/1000</f>
        <v>13201.865808552127</v>
      </c>
      <c r="AH77" s="1188"/>
      <c r="AI77" s="1188"/>
      <c r="AJ77" s="1188"/>
      <c r="AM77" s="1188"/>
      <c r="AN77" s="1188"/>
      <c r="AO77" s="1188"/>
      <c r="AP77" s="1188"/>
      <c r="AQ77" s="1188"/>
      <c r="AR77" s="1188"/>
    </row>
    <row r="78" spans="1:44" ht="29.25" customHeight="1" x14ac:dyDescent="0.3">
      <c r="A78" s="1121"/>
      <c r="B78" s="1137"/>
      <c r="C78" s="1138">
        <f>C45+C77</f>
        <v>5498.6618000029139</v>
      </c>
      <c r="D78" s="1138">
        <f>D45+D77</f>
        <v>214854711.17331383</v>
      </c>
      <c r="E78" s="1173">
        <f t="shared" ref="E78" si="67">E45+E77</f>
        <v>214854.71117331384</v>
      </c>
      <c r="F78" s="1201"/>
      <c r="G78" s="1190">
        <f>C78*D5</f>
        <v>214854711.17331386</v>
      </c>
      <c r="H78" s="1190"/>
      <c r="I78" s="1202"/>
      <c r="J78" s="1182"/>
      <c r="K78" s="1137"/>
      <c r="L78" s="1138">
        <f>L45+L77</f>
        <v>5498.6618000029139</v>
      </c>
      <c r="M78" s="1138">
        <f>M45+M77</f>
        <v>137873445.97327307</v>
      </c>
      <c r="N78" s="1138">
        <f t="shared" ref="N78" si="68">N45+N77</f>
        <v>137873.44597327305</v>
      </c>
      <c r="O78" s="1139"/>
      <c r="P78" s="1202"/>
      <c r="Q78" s="1191"/>
      <c r="R78" s="1202"/>
      <c r="S78" s="1182"/>
      <c r="T78" s="1137"/>
      <c r="U78" s="1138">
        <f>U45+U77</f>
        <v>5498.6618000029139</v>
      </c>
      <c r="V78" s="1138">
        <f>V45+V77</f>
        <v>10997323.600005826</v>
      </c>
      <c r="W78" s="1138">
        <f t="shared" ref="W78" si="69">W45+W77</f>
        <v>10997.323600005826</v>
      </c>
      <c r="X78" s="1155"/>
      <c r="Y78" s="1201"/>
      <c r="Z78" s="1199"/>
      <c r="AA78" s="1201"/>
      <c r="AB78" s="1182"/>
      <c r="AC78" s="1137"/>
      <c r="AD78" s="1138">
        <f>AD45+AD77</f>
        <v>5498.6618000029139</v>
      </c>
      <c r="AE78" s="1138">
        <f>AE45+AE77</f>
        <v>65983941.600034952</v>
      </c>
      <c r="AF78" s="1138">
        <f t="shared" ref="AF78" si="70">AF45+AF77</f>
        <v>65983.941600034959</v>
      </c>
      <c r="AG78" s="1155"/>
      <c r="AH78" s="1201"/>
      <c r="AI78" s="1190"/>
      <c r="AJ78" s="1188"/>
      <c r="AL78" s="1155"/>
      <c r="AM78" s="1201"/>
      <c r="AN78" s="1201"/>
      <c r="AO78" s="1201"/>
      <c r="AP78" s="1190"/>
      <c r="AQ78" s="1190"/>
      <c r="AR78" s="1188"/>
    </row>
    <row r="79" spans="1:44" ht="33" customHeight="1" x14ac:dyDescent="0.3">
      <c r="A79" s="1124" t="s">
        <v>348</v>
      </c>
      <c r="B79" s="1475" t="s">
        <v>349</v>
      </c>
      <c r="C79" s="1476"/>
      <c r="D79" s="1476"/>
      <c r="E79" s="1476"/>
      <c r="F79" s="1188"/>
      <c r="G79" s="1188"/>
      <c r="H79" s="1189"/>
      <c r="I79" s="1189"/>
      <c r="J79" s="1183" t="s">
        <v>348</v>
      </c>
      <c r="K79" s="1475" t="s">
        <v>349</v>
      </c>
      <c r="L79" s="1476"/>
      <c r="M79" s="1476"/>
      <c r="N79" s="1476"/>
      <c r="P79" s="1189"/>
      <c r="Q79" s="1191"/>
      <c r="R79" s="1189"/>
      <c r="S79" s="1183" t="s">
        <v>348</v>
      </c>
      <c r="T79" s="1475" t="s">
        <v>349</v>
      </c>
      <c r="U79" s="1476"/>
      <c r="V79" s="1476"/>
      <c r="W79" s="1476"/>
      <c r="Y79" s="1188"/>
      <c r="Z79" s="1199"/>
      <c r="AA79" s="1188"/>
      <c r="AB79" s="1183" t="s">
        <v>348</v>
      </c>
      <c r="AC79" s="1475" t="s">
        <v>349</v>
      </c>
      <c r="AD79" s="1476"/>
      <c r="AE79" s="1476"/>
      <c r="AF79" s="1476"/>
      <c r="AH79" s="1188"/>
      <c r="AI79" s="1188"/>
      <c r="AJ79" s="1188"/>
      <c r="AM79" s="1188"/>
      <c r="AN79" s="1188"/>
      <c r="AO79" s="1188"/>
      <c r="AP79" s="1188"/>
      <c r="AQ79" s="1188"/>
      <c r="AR79" s="1188"/>
    </row>
    <row r="80" spans="1:44" s="1211" customFormat="1" ht="29.25" customHeight="1" x14ac:dyDescent="0.3">
      <c r="A80" s="1204" t="s">
        <v>350</v>
      </c>
      <c r="B80" s="1205" t="s">
        <v>351</v>
      </c>
      <c r="C80" s="1140">
        <f>D80/39074</f>
        <v>97.633233096176497</v>
      </c>
      <c r="D80" s="1205">
        <v>3814920.95</v>
      </c>
      <c r="E80" s="1206">
        <f t="shared" si="63"/>
        <v>3814.9209500000002</v>
      </c>
      <c r="F80" s="1207">
        <v>290</v>
      </c>
      <c r="G80" s="1208">
        <f>D80</f>
        <v>3814920.95</v>
      </c>
      <c r="H80" s="1208">
        <v>5201007.5999999996</v>
      </c>
      <c r="I80" s="1209">
        <f>G80-H80</f>
        <v>-1386086.6499999994</v>
      </c>
      <c r="J80" s="1210" t="s">
        <v>350</v>
      </c>
      <c r="K80" s="1205" t="s">
        <v>351</v>
      </c>
      <c r="L80" s="1140">
        <f>C80</f>
        <v>97.633233096176497</v>
      </c>
      <c r="M80" s="1205">
        <f>L80*M5</f>
        <v>2448055.6866535293</v>
      </c>
      <c r="N80" s="1205">
        <f t="shared" ref="N80" si="71">M80/1000</f>
        <v>2448.0556866535294</v>
      </c>
      <c r="O80" s="1211">
        <v>290</v>
      </c>
      <c r="P80" s="1209">
        <f>M80</f>
        <v>2448055.6866535293</v>
      </c>
      <c r="Q80" s="1209">
        <f>3687692.49</f>
        <v>3687692.49</v>
      </c>
      <c r="R80" s="1212"/>
      <c r="S80" s="1210" t="s">
        <v>350</v>
      </c>
      <c r="T80" s="1205" t="s">
        <v>351</v>
      </c>
      <c r="U80" s="1140">
        <f>L80</f>
        <v>97.633233096176497</v>
      </c>
      <c r="V80" s="1205">
        <f>U80*V5</f>
        <v>195266.46619235299</v>
      </c>
      <c r="W80" s="1205">
        <f t="shared" ref="W80" si="72">V80/1000</f>
        <v>195.26646619235299</v>
      </c>
      <c r="X80" s="1213">
        <v>290</v>
      </c>
      <c r="Y80" s="1208">
        <f>V80</f>
        <v>195266.46619235299</v>
      </c>
      <c r="Z80" s="1208">
        <v>650627.64</v>
      </c>
      <c r="AA80" s="1207"/>
      <c r="AB80" s="1210" t="s">
        <v>350</v>
      </c>
      <c r="AC80" s="1205" t="s">
        <v>351</v>
      </c>
      <c r="AD80" s="1140">
        <f>U80</f>
        <v>97.633233096176497</v>
      </c>
      <c r="AE80" s="1205">
        <f>AD80*AE5</f>
        <v>1171598.7971541181</v>
      </c>
      <c r="AF80" s="1205">
        <f t="shared" ref="AF80" si="73">AE80/1000</f>
        <v>1171.5987971541181</v>
      </c>
      <c r="AG80" s="1213">
        <v>290</v>
      </c>
      <c r="AH80" s="1208">
        <f>AE80</f>
        <v>1171598.7971541181</v>
      </c>
      <c r="AI80" s="1208">
        <v>1513315.11</v>
      </c>
      <c r="AJ80" s="1207"/>
      <c r="AK80" s="1225" t="b">
        <f>AN80=G80</f>
        <v>1</v>
      </c>
      <c r="AL80" s="1213">
        <v>290</v>
      </c>
      <c r="AM80" s="1208"/>
      <c r="AN80" s="1208">
        <f>P80+Y80+AH80</f>
        <v>3814920.95</v>
      </c>
      <c r="AO80" s="1208"/>
      <c r="AP80" s="1208">
        <f>Q80+Z80+AI80</f>
        <v>5851635.2400000002</v>
      </c>
      <c r="AQ80" s="1207"/>
      <c r="AR80" s="1207"/>
    </row>
    <row r="81" spans="1:44" ht="29.25" customHeight="1" x14ac:dyDescent="0.3">
      <c r="A81" s="1141"/>
      <c r="B81" s="1137"/>
      <c r="C81" s="1138">
        <f>C45+C77+C80</f>
        <v>5596.2950330990907</v>
      </c>
      <c r="D81" s="1138">
        <f t="shared" ref="D81:E81" si="74">D45+D77+D80</f>
        <v>218669632.12331381</v>
      </c>
      <c r="E81" s="1174">
        <f t="shared" si="74"/>
        <v>218669.63212331384</v>
      </c>
      <c r="F81" s="1188"/>
      <c r="G81" s="1190">
        <f>SUM(G9:G80)-G78-G77</f>
        <v>218669632.12331393</v>
      </c>
      <c r="H81" s="1203">
        <f>SUM(H9:H80)-H78-H77</f>
        <v>239742190.98000002</v>
      </c>
      <c r="I81" s="1203">
        <f>SUM(I9:I80)-I78-I77</f>
        <v>-21072558.856686182</v>
      </c>
      <c r="J81" s="1185"/>
      <c r="K81" s="1137"/>
      <c r="L81" s="1138">
        <f>L45+L77+L80</f>
        <v>5596.2950330990907</v>
      </c>
      <c r="M81" s="1138">
        <f t="shared" ref="M81:N81" si="75">M45+M77+M80</f>
        <v>140321501.65992659</v>
      </c>
      <c r="N81" s="1142">
        <f t="shared" si="75"/>
        <v>140321.50165992658</v>
      </c>
      <c r="P81" s="1191">
        <f>SUM(P9:P80)</f>
        <v>140321501.65992653</v>
      </c>
      <c r="Q81" s="1191">
        <f>SUM(Q9:Q80)</f>
        <v>194661721.87</v>
      </c>
      <c r="R81" s="1189"/>
      <c r="S81" s="1185"/>
      <c r="T81" s="1137"/>
      <c r="U81" s="1138">
        <f>U45+U77+U80</f>
        <v>5596.2950330990907</v>
      </c>
      <c r="V81" s="1138">
        <f t="shared" ref="V81:W81" si="76">V45+V77+V80</f>
        <v>11192590.066198179</v>
      </c>
      <c r="W81" s="1142">
        <f t="shared" si="76"/>
        <v>11192.59006619818</v>
      </c>
      <c r="Y81" s="1190">
        <f>SUM(Y9:Y80)</f>
        <v>11192590.066198178</v>
      </c>
      <c r="Z81" s="1190">
        <f>SUM(Z9:Z80)</f>
        <v>19381693.180000003</v>
      </c>
      <c r="AA81" s="1188"/>
      <c r="AB81" s="1185"/>
      <c r="AC81" s="1137"/>
      <c r="AD81" s="1138">
        <f>AD45+AD77+AD80</f>
        <v>5596.2950330990907</v>
      </c>
      <c r="AE81" s="1138">
        <f t="shared" ref="AE81:AF81" si="77">AE45+AE77+AE80</f>
        <v>67155540.397189066</v>
      </c>
      <c r="AF81" s="1142">
        <f t="shared" si="77"/>
        <v>67155.540397189077</v>
      </c>
      <c r="AH81" s="1190">
        <f>SUM(AH9:AH80)-AH10-AH19</f>
        <v>34901017.597189069</v>
      </c>
      <c r="AI81" s="1190">
        <f>SUM(AI9:AI80)</f>
        <v>45080469.109999999</v>
      </c>
      <c r="AJ81" s="1188"/>
      <c r="AM81" s="1190"/>
      <c r="AN81" s="1190"/>
      <c r="AO81" s="1190"/>
      <c r="AP81" s="1190"/>
      <c r="AQ81" s="1190"/>
      <c r="AR81" s="1188"/>
    </row>
    <row r="82" spans="1:44" ht="29.25" customHeight="1" x14ac:dyDescent="0.3">
      <c r="C82" s="861">
        <f>C81*39074</f>
        <v>218669632.12331387</v>
      </c>
      <c r="D82" s="1105">
        <f>D17+D70</f>
        <v>131169202.961</v>
      </c>
      <c r="E82" s="1175">
        <f>E17+E70</f>
        <v>131169.202961</v>
      </c>
      <c r="F82" s="1188"/>
      <c r="G82" s="1188"/>
      <c r="H82" s="1191">
        <f>G81-H81</f>
        <v>-21072558.856686085</v>
      </c>
      <c r="I82" s="1189"/>
      <c r="J82" s="1077"/>
      <c r="K82" s="1143"/>
      <c r="L82" s="861">
        <f>L81*39074</f>
        <v>218669632.12331387</v>
      </c>
      <c r="M82" s="1105">
        <f>M17+M70</f>
        <v>84171996.597331077</v>
      </c>
      <c r="N82" s="1105">
        <f>N17+N70</f>
        <v>84171.996597331061</v>
      </c>
      <c r="P82" s="1189"/>
      <c r="Q82" s="1189"/>
      <c r="R82" s="1189"/>
      <c r="S82" s="1077"/>
      <c r="T82" s="1143"/>
      <c r="U82" s="861">
        <f>U81*39074</f>
        <v>218669632.12331387</v>
      </c>
      <c r="V82" s="1105">
        <f>V17+V70</f>
        <v>6713886.6233812766</v>
      </c>
      <c r="W82" s="1105">
        <f>W17+W70</f>
        <v>6713.8866233812769</v>
      </c>
      <c r="Y82" s="1188"/>
      <c r="Z82" s="1188"/>
      <c r="AA82" s="1188"/>
      <c r="AB82" s="1077"/>
      <c r="AC82" s="1143"/>
      <c r="AD82" s="861">
        <f>AD81*39074</f>
        <v>218669632.12331387</v>
      </c>
      <c r="AE82" s="1105">
        <f>AE17+AE70</f>
        <v>40283319.740287662</v>
      </c>
      <c r="AF82" s="1105">
        <f>AF17+AF70</f>
        <v>40283.319740287661</v>
      </c>
      <c r="AH82" s="1188"/>
      <c r="AI82" s="1188"/>
      <c r="AJ82" s="1188"/>
      <c r="AM82" s="1190">
        <f>SUM(AM9:AM81)</f>
        <v>105026101.99059999</v>
      </c>
      <c r="AN82" s="1190">
        <f>SUM(AN9:AN81)</f>
        <v>114244190.79271382</v>
      </c>
      <c r="AO82" s="1190">
        <f>SUM(AO9:AO81)</f>
        <v>121550240.51000001</v>
      </c>
      <c r="AP82" s="1190">
        <f>SUM(AP9:AP81)</f>
        <v>137573643.65000001</v>
      </c>
      <c r="AQ82" s="1188"/>
      <c r="AR82" s="1188"/>
    </row>
    <row r="83" spans="1:44" ht="29.25" customHeight="1" x14ac:dyDescent="0.3">
      <c r="A83" s="1076"/>
      <c r="C83" s="1104"/>
      <c r="D83" s="1105">
        <f>D26+D71</f>
        <v>39613201.663000003</v>
      </c>
      <c r="E83" s="1105">
        <f>E26+E71</f>
        <v>39613.201663</v>
      </c>
      <c r="H83" s="1203">
        <f>218669600+21072590.98</f>
        <v>239742190.97999999</v>
      </c>
      <c r="K83" s="1143"/>
      <c r="L83" s="1104"/>
      <c r="M83" s="1105">
        <f>M26+M71</f>
        <v>25420008.663000003</v>
      </c>
      <c r="N83" s="1105">
        <f>N26+N71</f>
        <v>25420.008663000001</v>
      </c>
      <c r="P83" s="1151">
        <f>L78*M5</f>
        <v>137873445.97327307</v>
      </c>
      <c r="Q83" s="1219">
        <f>73111481.36+121550240.51</f>
        <v>194661721.87</v>
      </c>
      <c r="T83" s="1143"/>
      <c r="U83" s="1104"/>
      <c r="V83" s="1105">
        <f>V26+V71</f>
        <v>2027599</v>
      </c>
      <c r="W83" s="1105">
        <f>W26+W71</f>
        <v>2027.5990000000002</v>
      </c>
      <c r="Y83" s="1150">
        <f>U78*V5</f>
        <v>10997323.600005828</v>
      </c>
      <c r="AC83" s="1143"/>
      <c r="AD83" s="1104"/>
      <c r="AE83" s="1105">
        <f>AE26+AE71</f>
        <v>12165594</v>
      </c>
      <c r="AF83" s="1105">
        <f>AF26+AF71</f>
        <v>12165.594000000001</v>
      </c>
      <c r="AH83" s="1150">
        <f>AD78*AE5</f>
        <v>65983941.600034967</v>
      </c>
      <c r="AM83" s="1499">
        <f>AM82+AN82</f>
        <v>219270292.78331381</v>
      </c>
      <c r="AN83" s="1503"/>
      <c r="AO83" s="1499">
        <f>AO82+AP82</f>
        <v>259123884.16000003</v>
      </c>
      <c r="AP83" s="1499"/>
    </row>
    <row r="84" spans="1:44" ht="29.25" customHeight="1" x14ac:dyDescent="0.3">
      <c r="A84" s="1076"/>
      <c r="C84" s="1104"/>
      <c r="D84" s="1105">
        <f>SUM(D82:D83)</f>
        <v>170782404.62400001</v>
      </c>
      <c r="E84" s="1105">
        <f>SUM(E82:E83)</f>
        <v>170782.40462400002</v>
      </c>
      <c r="K84" s="1143"/>
      <c r="L84" s="1104"/>
      <c r="M84" s="1105">
        <f>SUM(M82:M83)</f>
        <v>109592005.26033108</v>
      </c>
      <c r="N84" s="1105">
        <f>SUM(N82:N83)</f>
        <v>109592.00526033106</v>
      </c>
      <c r="T84" s="1143"/>
      <c r="U84" s="1104"/>
      <c r="V84" s="1105">
        <f>SUM(V82:V83)</f>
        <v>8741485.6233812757</v>
      </c>
      <c r="W84" s="1105">
        <f>SUM(W82:W83)</f>
        <v>8741.485623381277</v>
      </c>
      <c r="AC84" s="1143"/>
      <c r="AD84" s="1104"/>
      <c r="AE84" s="1105">
        <f>SUM(AE82:AE83)</f>
        <v>52448913.740287662</v>
      </c>
      <c r="AF84" s="1105">
        <f>SUM(AF82:AF83)</f>
        <v>52448.913740287666</v>
      </c>
      <c r="AM84" s="1504">
        <f>D81</f>
        <v>218669632.12331381</v>
      </c>
      <c r="AN84" s="1504"/>
    </row>
    <row r="85" spans="1:44" ht="29.25" customHeight="1" x14ac:dyDescent="0.3">
      <c r="A85" s="1076"/>
      <c r="E85" s="1144">
        <v>93045</v>
      </c>
      <c r="K85" s="1143"/>
      <c r="L85" s="1079"/>
      <c r="M85" s="1079"/>
      <c r="N85" s="1144">
        <v>93045</v>
      </c>
      <c r="T85" s="1143"/>
      <c r="U85" s="1079"/>
      <c r="V85" s="1079"/>
      <c r="W85" s="1144">
        <v>93045</v>
      </c>
      <c r="AC85" s="1143"/>
      <c r="AD85" s="1079"/>
      <c r="AE85" s="1079"/>
      <c r="AF85" s="1144">
        <v>93045</v>
      </c>
      <c r="AM85" s="1220">
        <f>AM83-AM84</f>
        <v>600660.65999999642</v>
      </c>
    </row>
    <row r="86" spans="1:44" ht="29.25" customHeight="1" x14ac:dyDescent="0.3">
      <c r="A86" s="1076"/>
      <c r="C86" s="1076"/>
      <c r="E86" s="1144">
        <v>28099.599999999999</v>
      </c>
      <c r="K86" s="1143"/>
      <c r="M86" s="1079"/>
      <c r="N86" s="1144">
        <v>28099.599999999999</v>
      </c>
      <c r="T86" s="1143"/>
      <c r="V86" s="1079"/>
      <c r="W86" s="1144">
        <v>28099.599999999999</v>
      </c>
      <c r="AC86" s="1143"/>
      <c r="AE86" s="1079"/>
      <c r="AF86" s="1144">
        <v>28099.599999999999</v>
      </c>
    </row>
    <row r="87" spans="1:44" ht="29.25" customHeight="1" x14ac:dyDescent="0.3">
      <c r="A87" s="1076"/>
      <c r="E87" s="1144">
        <f>SUM(E85:E86)</f>
        <v>121144.6</v>
      </c>
      <c r="K87" s="1143"/>
      <c r="L87" s="1079"/>
      <c r="M87" s="1079"/>
      <c r="N87" s="1144">
        <f>SUM(N85:N86)</f>
        <v>121144.6</v>
      </c>
      <c r="T87" s="1143"/>
      <c r="U87" s="1079"/>
      <c r="V87" s="1079"/>
      <c r="W87" s="1144">
        <f>SUM(W85:W86)</f>
        <v>121144.6</v>
      </c>
      <c r="AC87" s="1143"/>
      <c r="AD87" s="1079"/>
      <c r="AE87" s="1079"/>
      <c r="AF87" s="1144">
        <f>SUM(AF85:AF86)</f>
        <v>121144.6</v>
      </c>
    </row>
    <row r="88" spans="1:44" ht="29.25" customHeight="1" x14ac:dyDescent="0.3">
      <c r="A88" s="1076"/>
      <c r="B88" s="1143" t="s">
        <v>642</v>
      </c>
      <c r="C88" s="1145">
        <f>C81-C13-C12-C11-C10-C19-C20-C21-C22-C80-C14-C15-C23-C24</f>
        <v>2810.7849000029141</v>
      </c>
      <c r="K88" s="1143" t="s">
        <v>642</v>
      </c>
      <c r="L88" s="1145">
        <f>L81-L13-L12-L11-L10-L19-L20-L21-L22-L80-L14-L15-L23-L24</f>
        <v>2810.7849000029141</v>
      </c>
      <c r="M88" s="1079"/>
      <c r="N88" s="1079"/>
      <c r="T88" s="1143" t="s">
        <v>642</v>
      </c>
      <c r="U88" s="1145">
        <f>U81-U13-U12-U11-U10-U19-U20-U21-U22-U80-U14-U15-U23-U24</f>
        <v>2810.7849000029141</v>
      </c>
      <c r="V88" s="1079"/>
      <c r="W88" s="1079"/>
      <c r="AC88" s="1143" t="s">
        <v>642</v>
      </c>
      <c r="AD88" s="1145">
        <f>AD81-AD13-AD12-AD11-AD10-AD19-AD20-AD21-AD22-AD80-AD14-AD15-AD23-AD24</f>
        <v>2810.7849000029141</v>
      </c>
      <c r="AE88" s="1079"/>
      <c r="AF88" s="1079"/>
    </row>
    <row r="89" spans="1:44" ht="29.25" customHeight="1" x14ac:dyDescent="0.3">
      <c r="A89" s="1076"/>
      <c r="B89" s="1143" t="s">
        <v>643</v>
      </c>
      <c r="C89" s="1145">
        <f>C88+C80</f>
        <v>2908.4181330990905</v>
      </c>
      <c r="D89" s="1145"/>
      <c r="K89" s="1143" t="s">
        <v>643</v>
      </c>
      <c r="L89" s="1145">
        <f>L88+L80</f>
        <v>2908.4181330990905</v>
      </c>
      <c r="M89" s="1145"/>
      <c r="N89" s="1079"/>
      <c r="T89" s="1143" t="s">
        <v>643</v>
      </c>
      <c r="U89" s="1145">
        <f>U88+U80</f>
        <v>2908.4181330990905</v>
      </c>
      <c r="V89" s="1145"/>
      <c r="W89" s="1079"/>
      <c r="AC89" s="1143" t="s">
        <v>643</v>
      </c>
      <c r="AD89" s="1145">
        <f>AD88+AD80</f>
        <v>2908.4181330990905</v>
      </c>
      <c r="AE89" s="1145"/>
      <c r="AF89" s="1079"/>
    </row>
    <row r="90" spans="1:44" ht="29.25" customHeight="1" x14ac:dyDescent="0.3">
      <c r="A90" s="1076"/>
      <c r="B90" s="1146" t="s">
        <v>980</v>
      </c>
      <c r="C90" s="1145"/>
      <c r="D90" s="1145">
        <f>D91+D92</f>
        <v>105026101.9906</v>
      </c>
      <c r="E90" s="1145">
        <f>E91+E92</f>
        <v>105026.1019906</v>
      </c>
      <c r="K90" s="1146" t="s">
        <v>980</v>
      </c>
      <c r="L90" s="1145"/>
      <c r="M90" s="1145">
        <f>M91+M92</f>
        <v>67395825.390599996</v>
      </c>
      <c r="N90" s="1145">
        <f>N91+N92</f>
        <v>67395.825390599988</v>
      </c>
      <c r="T90" s="1146" t="s">
        <v>980</v>
      </c>
      <c r="U90" s="1145"/>
      <c r="V90" s="1145">
        <f>V91+V92</f>
        <v>5375753.7999999998</v>
      </c>
      <c r="W90" s="1145">
        <f>W91+W92</f>
        <v>5375.7538000000004</v>
      </c>
      <c r="AC90" s="1146" t="s">
        <v>980</v>
      </c>
      <c r="AD90" s="1145"/>
      <c r="AE90" s="1145">
        <f>AE91+AE92</f>
        <v>32254522.800000001</v>
      </c>
      <c r="AF90" s="1145">
        <f>AF91+AF92</f>
        <v>32254.522799999999</v>
      </c>
    </row>
    <row r="91" spans="1:44" ht="29.25" customHeight="1" x14ac:dyDescent="0.3">
      <c r="A91" s="1076"/>
      <c r="B91" s="1146" t="s">
        <v>573</v>
      </c>
      <c r="C91" s="1145"/>
      <c r="D91" s="1145">
        <f>D10+D11+D12+D13+D14+D15+D16</f>
        <v>80665201.783600003</v>
      </c>
      <c r="E91" s="1145">
        <f>E10+E11+E12+E13+E14+E15+E16</f>
        <v>80665.201783600001</v>
      </c>
      <c r="K91" s="1146" t="s">
        <v>573</v>
      </c>
      <c r="L91" s="1145"/>
      <c r="M91" s="1145">
        <f>M10+M11+M12+M13+M14+M15+M16</f>
        <v>51763302.183599994</v>
      </c>
      <c r="N91" s="1145">
        <f>N10+N11+N12+N13+N14+N15+N16</f>
        <v>51763.30218359999</v>
      </c>
      <c r="T91" s="1146" t="s">
        <v>573</v>
      </c>
      <c r="U91" s="1145"/>
      <c r="V91" s="1145">
        <f>V10+V11+V12+V13+V14+V15+V16</f>
        <v>4128842.8</v>
      </c>
      <c r="W91" s="1145">
        <f>W10+W11+W12+W13+W14+W15+W16</f>
        <v>4128.8428000000004</v>
      </c>
      <c r="AC91" s="1146" t="s">
        <v>573</v>
      </c>
      <c r="AD91" s="1145"/>
      <c r="AE91" s="1145">
        <f>AE10+AE11+AE12+AE13+AE14+AE15+AE16</f>
        <v>24773056.800000001</v>
      </c>
      <c r="AF91" s="1145">
        <f>AF10+AF11+AF12+AF13+AF14+AF15+AF16</f>
        <v>24773.056799999998</v>
      </c>
    </row>
    <row r="92" spans="1:44" ht="29.25" customHeight="1" x14ac:dyDescent="0.3">
      <c r="A92" s="1076"/>
      <c r="B92" s="1146" t="s">
        <v>981</v>
      </c>
      <c r="C92" s="1145"/>
      <c r="D92" s="1145">
        <f>D19+D20+D21+D22+D23+D24+D25</f>
        <v>24360900.206999999</v>
      </c>
      <c r="E92" s="1145">
        <f>E19+E20+E21+E22+E23+E24+E25</f>
        <v>24360.900207000002</v>
      </c>
      <c r="K92" s="1146" t="s">
        <v>981</v>
      </c>
      <c r="L92" s="1145"/>
      <c r="M92" s="1145">
        <f>M19+M20+M21+M22+M23+M24+M25</f>
        <v>15632523.207</v>
      </c>
      <c r="N92" s="1145">
        <f>N19+N20+N21+N22+N23+N24+N25</f>
        <v>15632.523206999998</v>
      </c>
      <c r="T92" s="1146" t="s">
        <v>981</v>
      </c>
      <c r="U92" s="1145"/>
      <c r="V92" s="1145">
        <f>V19+V20+V21+V22+V23+V24+V25</f>
        <v>1246910.9999999998</v>
      </c>
      <c r="W92" s="1145">
        <f>W19+W20+W21+W22+W23+W24+W25</f>
        <v>1246.9110000000001</v>
      </c>
      <c r="AC92" s="1146" t="s">
        <v>981</v>
      </c>
      <c r="AD92" s="1145"/>
      <c r="AE92" s="1145">
        <f>AE19+AE20+AE21+AE22+AE23+AE24+AE25</f>
        <v>7481466</v>
      </c>
      <c r="AF92" s="1145">
        <f>AF19+AF20+AF21+AF22+AF23+AF24+AF25</f>
        <v>7481.4659999999994</v>
      </c>
    </row>
    <row r="93" spans="1:44" ht="29.25" customHeight="1" x14ac:dyDescent="0.3">
      <c r="A93" s="1076"/>
      <c r="B93" s="1146"/>
      <c r="C93" s="1145"/>
      <c r="D93" s="1145"/>
      <c r="E93" s="1145">
        <v>105026.1</v>
      </c>
      <c r="K93" s="1146"/>
      <c r="L93" s="1145"/>
      <c r="M93" s="1145"/>
      <c r="N93" s="1145">
        <v>105026.1</v>
      </c>
      <c r="T93" s="1146"/>
      <c r="U93" s="1145"/>
      <c r="V93" s="1145"/>
      <c r="W93" s="1145">
        <v>105026.1</v>
      </c>
      <c r="AC93" s="1146"/>
      <c r="AD93" s="1145"/>
      <c r="AE93" s="1145"/>
      <c r="AF93" s="1145">
        <v>105026.1</v>
      </c>
    </row>
    <row r="94" spans="1:44" ht="29.25" customHeight="1" x14ac:dyDescent="0.3">
      <c r="A94" s="1076"/>
      <c r="B94" s="1146"/>
      <c r="C94" s="1145"/>
      <c r="D94" s="1145"/>
      <c r="E94" s="1145"/>
      <c r="K94" s="1146"/>
      <c r="L94" s="1145"/>
      <c r="M94" s="1145"/>
      <c r="N94" s="1145"/>
      <c r="T94" s="1146"/>
      <c r="U94" s="1145"/>
      <c r="V94" s="1145"/>
      <c r="W94" s="1145"/>
    </row>
    <row r="95" spans="1:44" ht="29.25" customHeight="1" x14ac:dyDescent="0.3">
      <c r="A95" s="1076"/>
      <c r="B95" s="1146"/>
      <c r="C95" s="1145"/>
      <c r="D95" s="1145"/>
      <c r="E95" s="1145"/>
      <c r="K95" s="1146"/>
      <c r="L95" s="1145"/>
      <c r="M95" s="1145"/>
      <c r="N95" s="1145"/>
      <c r="T95" s="1146"/>
      <c r="U95" s="1145"/>
      <c r="V95" s="1145"/>
      <c r="W95" s="1145"/>
    </row>
    <row r="96" spans="1:44" ht="29.25" customHeight="1" x14ac:dyDescent="0.3">
      <c r="A96" s="1076"/>
      <c r="B96" s="1146"/>
      <c r="C96" s="1145"/>
      <c r="D96" s="1145"/>
      <c r="E96" s="1145"/>
      <c r="G96" s="1156">
        <f>D81-G81</f>
        <v>0</v>
      </c>
      <c r="K96" s="1146"/>
      <c r="L96" s="1145"/>
      <c r="M96" s="1145"/>
      <c r="N96" s="1145"/>
      <c r="P96" s="1158">
        <f>M81-P81</f>
        <v>0</v>
      </c>
      <c r="T96" s="1146"/>
      <c r="U96" s="1145"/>
      <c r="V96" s="1145"/>
      <c r="W96" s="1145"/>
      <c r="Y96" s="1156">
        <f>V81-Y81</f>
        <v>0</v>
      </c>
    </row>
    <row r="97" spans="1:5" ht="29.25" customHeight="1" x14ac:dyDescent="0.3">
      <c r="A97" s="1076"/>
      <c r="C97" s="1145"/>
      <c r="D97" s="1145"/>
    </row>
    <row r="98" spans="1:5" hidden="1" x14ac:dyDescent="0.3">
      <c r="A98" s="1076"/>
      <c r="C98" s="1145"/>
    </row>
    <row r="99" spans="1:5" hidden="1" x14ac:dyDescent="0.3">
      <c r="A99" s="1076"/>
      <c r="B99" s="1076"/>
      <c r="D99" s="1147">
        <f>D54+D58+D63+D65+D68+D72+D76</f>
        <v>42987475.383613825</v>
      </c>
      <c r="E99" s="1076"/>
    </row>
    <row r="100" spans="1:5" hidden="1" x14ac:dyDescent="0.3">
      <c r="A100" s="1076"/>
      <c r="B100" s="1076"/>
      <c r="E100" s="1076"/>
    </row>
    <row r="101" spans="1:5" ht="19.5" hidden="1" customHeight="1" x14ac:dyDescent="0.3">
      <c r="A101" s="1076"/>
      <c r="B101" s="1076"/>
      <c r="C101" s="1148">
        <v>5089.6455999999998</v>
      </c>
      <c r="D101" s="1147">
        <v>218669600</v>
      </c>
      <c r="E101" s="1076"/>
    </row>
    <row r="102" spans="1:5" hidden="1" x14ac:dyDescent="0.3">
      <c r="D102" s="1145">
        <f>D81-D101</f>
        <v>32.123313814401627</v>
      </c>
    </row>
    <row r="103" spans="1:5" hidden="1" x14ac:dyDescent="0.3"/>
    <row r="104" spans="1:5" hidden="1" x14ac:dyDescent="0.3"/>
    <row r="105" spans="1:5" hidden="1" x14ac:dyDescent="0.3"/>
  </sheetData>
  <mergeCells count="99">
    <mergeCell ref="AM84:AN84"/>
    <mergeCell ref="B79:E79"/>
    <mergeCell ref="K79:N79"/>
    <mergeCell ref="T79:W79"/>
    <mergeCell ref="AC79:AF79"/>
    <mergeCell ref="AM83:AN83"/>
    <mergeCell ref="AO83:AP83"/>
    <mergeCell ref="B69:E69"/>
    <mergeCell ref="K69:N69"/>
    <mergeCell ref="T69:W69"/>
    <mergeCell ref="AC69:AF69"/>
    <mergeCell ref="B73:E73"/>
    <mergeCell ref="K73:N73"/>
    <mergeCell ref="T73:W73"/>
    <mergeCell ref="AC73:AF73"/>
    <mergeCell ref="B64:E64"/>
    <mergeCell ref="K64:N64"/>
    <mergeCell ref="T64:W64"/>
    <mergeCell ref="AC64:AF64"/>
    <mergeCell ref="B66:E66"/>
    <mergeCell ref="K66:N66"/>
    <mergeCell ref="T66:W66"/>
    <mergeCell ref="AC66:AF66"/>
    <mergeCell ref="AF60:AF62"/>
    <mergeCell ref="C60:C62"/>
    <mergeCell ref="D60:D62"/>
    <mergeCell ref="E60:E62"/>
    <mergeCell ref="L60:L62"/>
    <mergeCell ref="M60:M62"/>
    <mergeCell ref="N60:N62"/>
    <mergeCell ref="U60:U62"/>
    <mergeCell ref="V60:V62"/>
    <mergeCell ref="W60:W62"/>
    <mergeCell ref="AD60:AD62"/>
    <mergeCell ref="AE60:AE62"/>
    <mergeCell ref="B55:E55"/>
    <mergeCell ref="K55:N55"/>
    <mergeCell ref="T55:W55"/>
    <mergeCell ref="AC55:AF55"/>
    <mergeCell ref="B59:E59"/>
    <mergeCell ref="K59:N59"/>
    <mergeCell ref="T59:W59"/>
    <mergeCell ref="AC59:AF59"/>
    <mergeCell ref="B46:E46"/>
    <mergeCell ref="K46:N46"/>
    <mergeCell ref="T46:W46"/>
    <mergeCell ref="AC46:AF46"/>
    <mergeCell ref="B47:E47"/>
    <mergeCell ref="K47:N47"/>
    <mergeCell ref="T47:W47"/>
    <mergeCell ref="AC47:AF47"/>
    <mergeCell ref="B8:E8"/>
    <mergeCell ref="K8:N8"/>
    <mergeCell ref="T8:W8"/>
    <mergeCell ref="AC8:AF8"/>
    <mergeCell ref="B31:E31"/>
    <mergeCell ref="K31:N31"/>
    <mergeCell ref="T31:W31"/>
    <mergeCell ref="AC31:AF31"/>
    <mergeCell ref="AI6:AJ6"/>
    <mergeCell ref="AM6:AR6"/>
    <mergeCell ref="B7:E7"/>
    <mergeCell ref="K7:N7"/>
    <mergeCell ref="T7:W7"/>
    <mergeCell ref="AC7:AF7"/>
    <mergeCell ref="C6:D6"/>
    <mergeCell ref="H6:I6"/>
    <mergeCell ref="L6:M6"/>
    <mergeCell ref="Q6:R6"/>
    <mergeCell ref="U6:V6"/>
    <mergeCell ref="Z6:AA6"/>
    <mergeCell ref="S3:S6"/>
    <mergeCell ref="T3:T6"/>
    <mergeCell ref="U3:W3"/>
    <mergeCell ref="AB3:AB6"/>
    <mergeCell ref="AC3:AC6"/>
    <mergeCell ref="AD3:AF3"/>
    <mergeCell ref="U4:W4"/>
    <mergeCell ref="AD4:AF4"/>
    <mergeCell ref="V5:W5"/>
    <mergeCell ref="AE5:AF5"/>
    <mergeCell ref="AD6:AE6"/>
    <mergeCell ref="A3:A6"/>
    <mergeCell ref="B3:B6"/>
    <mergeCell ref="C3:E3"/>
    <mergeCell ref="J3:J6"/>
    <mergeCell ref="K3:K6"/>
    <mergeCell ref="L3:N3"/>
    <mergeCell ref="C4:E4"/>
    <mergeCell ref="L4:N4"/>
    <mergeCell ref="D5:E5"/>
    <mergeCell ref="M5:N5"/>
    <mergeCell ref="A1:E1"/>
    <mergeCell ref="J1:N1"/>
    <mergeCell ref="S1:W1"/>
    <mergeCell ref="AB1:AF1"/>
    <mergeCell ref="J2:N2"/>
    <mergeCell ref="S2:W2"/>
    <mergeCell ref="AB2:AF2"/>
  </mergeCells>
  <pageMargins left="0.11811023622047245" right="0.11811023622047245" top="0.15748031496062992" bottom="0.15748031496062992" header="0.31496062992125984" footer="0.31496062992125984"/>
  <pageSetup paperSize="8" scale="34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7030A0"/>
    <pageSetUpPr fitToPage="1"/>
  </sheetPr>
  <dimension ref="A1:BY124"/>
  <sheetViews>
    <sheetView showZeros="0" zoomScale="70" zoomScaleNormal="70" zoomScaleSheetLayoutView="100" workbookViewId="0">
      <pane xSplit="3" ySplit="10" topLeftCell="D11" activePane="bottomRight" state="frozen"/>
      <selection pane="topRight" activeCell="D1" sqref="D1"/>
      <selection pane="bottomLeft" activeCell="A10" sqref="A10"/>
      <selection pane="bottomRight" activeCell="L2" sqref="L2"/>
    </sheetView>
  </sheetViews>
  <sheetFormatPr defaultColWidth="9.140625" defaultRowHeight="18.75" x14ac:dyDescent="0.3"/>
  <cols>
    <col min="1" max="1" width="45" style="117" customWidth="1"/>
    <col min="2" max="2" width="9" style="117" customWidth="1"/>
    <col min="3" max="3" width="17.85546875" style="124" customWidth="1"/>
    <col min="4" max="5" width="18.42578125" style="117" customWidth="1"/>
    <col min="6" max="6" width="24.28515625" style="117" customWidth="1"/>
    <col min="7" max="10" width="18.85546875" style="155" customWidth="1"/>
    <col min="11" max="16" width="18.28515625" style="155" customWidth="1"/>
    <col min="17" max="17" width="20.28515625" style="152" customWidth="1"/>
    <col min="18" max="19" width="24.140625" style="152" customWidth="1"/>
    <col min="20" max="35" width="20.28515625" style="152" customWidth="1"/>
    <col min="36" max="36" width="16.7109375" style="117" customWidth="1"/>
    <col min="37" max="37" width="16.7109375" style="125" customWidth="1"/>
    <col min="38" max="38" width="18.7109375" style="125" customWidth="1"/>
    <col min="39" max="39" width="23.5703125" style="125" customWidth="1"/>
    <col min="40" max="40" width="17.42578125" style="125" customWidth="1"/>
    <col min="41" max="46" width="17.5703125" style="117" customWidth="1"/>
    <col min="47" max="50" width="18" style="117" customWidth="1"/>
    <col min="51" max="51" width="9.5703125" style="117" hidden="1" customWidth="1"/>
    <col min="52" max="52" width="22.42578125" style="117" hidden="1" customWidth="1"/>
    <col min="53" max="53" width="17.140625" style="117" hidden="1" customWidth="1"/>
    <col min="54" max="54" width="15.140625" style="117" hidden="1" customWidth="1"/>
    <col min="55" max="55" width="18.140625" style="117" hidden="1" customWidth="1"/>
    <col min="56" max="56" width="18.85546875" style="117" hidden="1" customWidth="1"/>
    <col min="57" max="57" width="19.85546875" style="117" hidden="1" customWidth="1"/>
    <col min="58" max="58" width="15.140625" style="117" hidden="1" customWidth="1"/>
    <col min="59" max="59" width="22.85546875" style="117" hidden="1" customWidth="1"/>
    <col min="60" max="60" width="20.28515625" style="117" hidden="1" customWidth="1"/>
    <col min="61" max="62" width="21" style="117" hidden="1" customWidth="1"/>
    <col min="63" max="64" width="15.140625" style="117" hidden="1" customWidth="1"/>
    <col min="65" max="67" width="22" style="531" hidden="1" customWidth="1"/>
    <col min="68" max="68" width="21.140625" style="531" hidden="1" customWidth="1"/>
    <col min="69" max="69" width="21.140625" style="602" hidden="1" customWidth="1"/>
    <col min="70" max="70" width="20" style="117" hidden="1" customWidth="1"/>
    <col min="71" max="71" width="18" style="117" hidden="1" customWidth="1"/>
    <col min="72" max="72" width="21.7109375" style="117" hidden="1" customWidth="1"/>
    <col min="73" max="73" width="14.42578125" style="117" hidden="1" customWidth="1"/>
    <col min="74" max="74" width="13.5703125" style="117" hidden="1" customWidth="1"/>
    <col min="75" max="75" width="15" style="117" hidden="1" customWidth="1"/>
    <col min="76" max="77" width="9.140625" style="117" hidden="1" customWidth="1"/>
    <col min="78" max="16384" width="9.140625" style="117"/>
  </cols>
  <sheetData>
    <row r="1" spans="1:75" x14ac:dyDescent="0.3">
      <c r="A1" s="123" t="s">
        <v>131</v>
      </c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1"/>
      <c r="R1" s="111"/>
      <c r="S1" s="111"/>
      <c r="T1" s="111"/>
      <c r="U1" s="111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</row>
    <row r="2" spans="1:75" x14ac:dyDescent="0.3">
      <c r="A2" s="126" t="s">
        <v>132</v>
      </c>
      <c r="G2" s="117"/>
      <c r="H2" s="117"/>
      <c r="I2" s="117"/>
      <c r="J2" s="117"/>
      <c r="K2" s="117"/>
      <c r="L2" s="117">
        <f>L15/(39074-12000)</f>
        <v>2908.4173454236538</v>
      </c>
      <c r="M2" s="117">
        <f>(L11+O11)/39074</f>
        <v>2908.417361928648</v>
      </c>
      <c r="N2" s="117"/>
      <c r="O2" s="117"/>
      <c r="P2" s="117"/>
      <c r="Q2" s="111"/>
      <c r="R2" s="111"/>
      <c r="S2" s="111"/>
      <c r="T2" s="111"/>
      <c r="U2" s="111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Z2" s="127" t="s">
        <v>240</v>
      </c>
      <c r="BA2" s="127" t="s">
        <v>241</v>
      </c>
    </row>
    <row r="3" spans="1:75" ht="19.5" thickBot="1" x14ac:dyDescent="0.35">
      <c r="A3" s="126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1"/>
      <c r="R3" s="111"/>
      <c r="S3" s="111"/>
      <c r="T3" s="111"/>
      <c r="U3" s="111"/>
      <c r="V3" s="117"/>
      <c r="W3" s="117"/>
      <c r="X3" s="117"/>
      <c r="Y3" s="117"/>
      <c r="Z3" s="117"/>
      <c r="AA3" s="117"/>
      <c r="AB3" s="117"/>
      <c r="AC3" s="117"/>
      <c r="AD3" s="117"/>
      <c r="AE3" s="117"/>
      <c r="AF3" s="117"/>
      <c r="AG3" s="117"/>
      <c r="AH3" s="117"/>
      <c r="AI3" s="117"/>
      <c r="AZ3" s="1055"/>
      <c r="BA3" s="1055"/>
    </row>
    <row r="4" spans="1:75" ht="19.5" hidden="1" thickBot="1" x14ac:dyDescent="0.35">
      <c r="A4" s="126"/>
      <c r="E4" s="111">
        <f>E23-E11+E76</f>
        <v>419446106.56499994</v>
      </c>
      <c r="F4" s="111"/>
      <c r="G4" s="117"/>
      <c r="H4" s="111">
        <f>'расчет норматив'!J32</f>
        <v>218669599.31117821</v>
      </c>
      <c r="I4" s="111">
        <f>H11-H23</f>
        <v>-21072590.980000019</v>
      </c>
      <c r="J4" s="117"/>
      <c r="K4" s="117"/>
      <c r="L4" s="111">
        <f>'расчет норматив'!Z6+'ПФХД 2019 с разб 9 мес'!L75</f>
        <v>73111481.366411582</v>
      </c>
      <c r="M4" s="117"/>
      <c r="N4" s="117"/>
      <c r="O4" s="117" t="b">
        <f>O11='расчет норматив'!AA6</f>
        <v>0</v>
      </c>
      <c r="P4" s="117"/>
      <c r="Q4" s="111">
        <f>Q11-Q23</f>
        <v>-388193676.15000033</v>
      </c>
      <c r="R4" s="111">
        <f>Q4+Q75</f>
        <v>205614792.36999965</v>
      </c>
      <c r="S4" s="111"/>
      <c r="T4" s="111"/>
      <c r="U4" s="111"/>
      <c r="V4" s="128"/>
      <c r="W4" s="128"/>
      <c r="X4" s="117"/>
      <c r="Y4" s="128"/>
      <c r="Z4" s="128"/>
      <c r="AA4" s="117"/>
      <c r="AB4" s="117"/>
      <c r="AC4" s="117"/>
      <c r="AD4" s="117"/>
      <c r="AE4" s="117"/>
      <c r="AF4" s="117"/>
      <c r="AG4" s="117"/>
      <c r="AH4" s="117"/>
      <c r="AI4" s="117"/>
      <c r="AO4" s="111"/>
      <c r="AP4" s="111"/>
      <c r="AQ4" s="111"/>
    </row>
    <row r="5" spans="1:75" ht="19.5" hidden="1" thickBot="1" x14ac:dyDescent="0.35">
      <c r="A5" s="129"/>
      <c r="G5" s="117"/>
      <c r="H5" s="117"/>
      <c r="I5" s="117"/>
      <c r="J5" s="117"/>
      <c r="K5" s="117"/>
      <c r="L5" s="117"/>
      <c r="M5" s="111">
        <f>K11+N11</f>
        <v>113643500</v>
      </c>
      <c r="N5" s="117">
        <f>M5/2906.41</f>
        <v>39100.987128450564</v>
      </c>
      <c r="O5" s="111">
        <f>L11+O11</f>
        <v>113643500</v>
      </c>
      <c r="P5" s="117"/>
      <c r="Q5" s="117"/>
      <c r="R5" s="117"/>
      <c r="S5" s="117"/>
      <c r="T5" s="117"/>
      <c r="U5" s="117"/>
      <c r="V5" s="117"/>
      <c r="W5" s="117"/>
      <c r="X5" s="117"/>
      <c r="Y5" s="117"/>
      <c r="Z5" s="117"/>
      <c r="AA5" s="117"/>
      <c r="AB5" s="117"/>
      <c r="AC5" s="117"/>
      <c r="AD5" s="117"/>
      <c r="AE5" s="117"/>
      <c r="AF5" s="117"/>
      <c r="AG5" s="117"/>
      <c r="AH5" s="117"/>
      <c r="AI5" s="117"/>
      <c r="AO5" s="111"/>
      <c r="AP5" s="111"/>
      <c r="AQ5" s="111"/>
    </row>
    <row r="6" spans="1:75" ht="19.5" customHeight="1" thickBot="1" x14ac:dyDescent="0.35">
      <c r="A6" s="1453" t="s">
        <v>88</v>
      </c>
      <c r="B6" s="1439" t="s">
        <v>133</v>
      </c>
      <c r="C6" s="1440" t="s">
        <v>134</v>
      </c>
      <c r="D6" s="1460" t="s">
        <v>135</v>
      </c>
      <c r="E6" s="1461"/>
      <c r="F6" s="1461"/>
      <c r="G6" s="1461"/>
      <c r="H6" s="1461"/>
      <c r="I6" s="1461"/>
      <c r="J6" s="1461"/>
      <c r="K6" s="1461"/>
      <c r="L6" s="1461"/>
      <c r="M6" s="1461"/>
      <c r="N6" s="1461"/>
      <c r="O6" s="1461"/>
      <c r="P6" s="1461"/>
      <c r="Q6" s="1461"/>
      <c r="R6" s="1461"/>
      <c r="S6" s="1461"/>
      <c r="T6" s="1461"/>
      <c r="U6" s="1461"/>
      <c r="V6" s="1461"/>
      <c r="W6" s="1461"/>
      <c r="X6" s="1461"/>
      <c r="Y6" s="1461"/>
      <c r="Z6" s="1461"/>
      <c r="AA6" s="1461"/>
      <c r="AB6" s="1461"/>
      <c r="AC6" s="1461"/>
      <c r="AD6" s="1461"/>
      <c r="AE6" s="1461"/>
      <c r="AF6" s="1461"/>
      <c r="AG6" s="1461"/>
      <c r="AH6" s="1461"/>
      <c r="AI6" s="1461"/>
      <c r="AJ6" s="1461"/>
      <c r="AK6" s="1461"/>
      <c r="AL6" s="1461"/>
      <c r="AM6" s="1461"/>
      <c r="AN6" s="1461"/>
      <c r="AO6" s="1461"/>
      <c r="AP6" s="1461"/>
      <c r="AQ6" s="1461"/>
      <c r="AR6" s="1461"/>
      <c r="AS6" s="1461"/>
      <c r="AT6" s="1461"/>
      <c r="AU6" s="1461"/>
      <c r="AV6" s="1461"/>
      <c r="AW6" s="1461"/>
      <c r="AX6" s="1462"/>
    </row>
    <row r="7" spans="1:75" ht="15.75" customHeight="1" thickBot="1" x14ac:dyDescent="0.35">
      <c r="A7" s="1454"/>
      <c r="B7" s="1383"/>
      <c r="C7" s="1441"/>
      <c r="D7" s="1442" t="s">
        <v>136</v>
      </c>
      <c r="E7" s="1439" t="s">
        <v>402</v>
      </c>
      <c r="F7" s="1440" t="s">
        <v>395</v>
      </c>
      <c r="G7" s="1460" t="s">
        <v>137</v>
      </c>
      <c r="H7" s="1461"/>
      <c r="I7" s="1461"/>
      <c r="J7" s="1461"/>
      <c r="K7" s="1461"/>
      <c r="L7" s="1461"/>
      <c r="M7" s="1461"/>
      <c r="N7" s="1461"/>
      <c r="O7" s="1461"/>
      <c r="P7" s="1461"/>
      <c r="Q7" s="1461"/>
      <c r="R7" s="1461"/>
      <c r="S7" s="1461"/>
      <c r="T7" s="1461"/>
      <c r="U7" s="1461"/>
      <c r="V7" s="1461"/>
      <c r="W7" s="1461"/>
      <c r="X7" s="1461"/>
      <c r="Y7" s="1461"/>
      <c r="Z7" s="1461"/>
      <c r="AA7" s="1461"/>
      <c r="AB7" s="1461"/>
      <c r="AC7" s="1461"/>
      <c r="AD7" s="1461"/>
      <c r="AE7" s="1461"/>
      <c r="AF7" s="1461"/>
      <c r="AG7" s="1461"/>
      <c r="AH7" s="1461"/>
      <c r="AI7" s="1461"/>
      <c r="AJ7" s="1461"/>
      <c r="AK7" s="1461"/>
      <c r="AL7" s="1461"/>
      <c r="AM7" s="1461"/>
      <c r="AN7" s="1461"/>
      <c r="AO7" s="1461"/>
      <c r="AP7" s="1461"/>
      <c r="AQ7" s="1461"/>
      <c r="AR7" s="1461"/>
      <c r="AS7" s="1461"/>
      <c r="AT7" s="1461"/>
      <c r="AU7" s="1461"/>
      <c r="AV7" s="1461"/>
      <c r="AW7" s="1461"/>
      <c r="AX7" s="1462"/>
    </row>
    <row r="8" spans="1:75" ht="96" customHeight="1" thickBot="1" x14ac:dyDescent="0.35">
      <c r="A8" s="1454"/>
      <c r="B8" s="1383"/>
      <c r="C8" s="1441"/>
      <c r="D8" s="1443"/>
      <c r="E8" s="1383"/>
      <c r="F8" s="1441"/>
      <c r="G8" s="1427" t="s">
        <v>138</v>
      </c>
      <c r="H8" s="1434" t="s">
        <v>397</v>
      </c>
      <c r="I8" s="1437" t="s">
        <v>395</v>
      </c>
      <c r="J8" s="1433" t="s">
        <v>363</v>
      </c>
      <c r="K8" s="1433"/>
      <c r="L8" s="1433"/>
      <c r="M8" s="1433"/>
      <c r="N8" s="1433"/>
      <c r="O8" s="1433"/>
      <c r="P8" s="1433"/>
      <c r="Q8" s="1429" t="s">
        <v>140</v>
      </c>
      <c r="R8" s="1436" t="s">
        <v>403</v>
      </c>
      <c r="S8" s="1444" t="s">
        <v>395</v>
      </c>
      <c r="T8" s="1431" t="s">
        <v>360</v>
      </c>
      <c r="U8" s="1425" t="s">
        <v>359</v>
      </c>
      <c r="V8" s="1449" t="s">
        <v>405</v>
      </c>
      <c r="W8" s="1451" t="s">
        <v>395</v>
      </c>
      <c r="X8" s="1455" t="s">
        <v>253</v>
      </c>
      <c r="Y8" s="1449" t="s">
        <v>965</v>
      </c>
      <c r="Z8" s="1451" t="s">
        <v>966</v>
      </c>
      <c r="AA8" s="1425" t="s">
        <v>142</v>
      </c>
      <c r="AB8" s="1449" t="s">
        <v>404</v>
      </c>
      <c r="AC8" s="1451" t="s">
        <v>395</v>
      </c>
      <c r="AD8" s="1448" t="s">
        <v>488</v>
      </c>
      <c r="AE8" s="1449" t="s">
        <v>489</v>
      </c>
      <c r="AF8" s="1451" t="s">
        <v>395</v>
      </c>
      <c r="AG8" s="1448" t="s">
        <v>490</v>
      </c>
      <c r="AH8" s="1449" t="s">
        <v>645</v>
      </c>
      <c r="AI8" s="1451" t="s">
        <v>395</v>
      </c>
      <c r="AJ8" s="1465" t="s">
        <v>143</v>
      </c>
      <c r="AK8" s="1467" t="s">
        <v>144</v>
      </c>
      <c r="AL8" s="1457" t="s">
        <v>145</v>
      </c>
      <c r="AM8" s="1458"/>
      <c r="AN8" s="1458"/>
      <c r="AO8" s="1458"/>
      <c r="AP8" s="1458"/>
      <c r="AQ8" s="1458"/>
      <c r="AR8" s="1458"/>
      <c r="AS8" s="1458"/>
      <c r="AT8" s="1458"/>
      <c r="AU8" s="1458"/>
      <c r="AV8" s="1458"/>
      <c r="AW8" s="1458"/>
      <c r="AX8" s="1459"/>
      <c r="BG8" s="1463" t="s">
        <v>506</v>
      </c>
      <c r="BH8" s="1464"/>
      <c r="BI8" s="1463" t="s">
        <v>197</v>
      </c>
      <c r="BJ8" s="1464"/>
      <c r="BQ8" s="1463" t="s">
        <v>506</v>
      </c>
      <c r="BR8" s="1464"/>
      <c r="BS8" s="1463" t="s">
        <v>197</v>
      </c>
      <c r="BT8" s="1464"/>
    </row>
    <row r="9" spans="1:75" ht="114.75" customHeight="1" x14ac:dyDescent="0.3">
      <c r="A9" s="1454"/>
      <c r="B9" s="1383"/>
      <c r="C9" s="1441"/>
      <c r="D9" s="1443"/>
      <c r="E9" s="1383"/>
      <c r="F9" s="1441"/>
      <c r="G9" s="1428"/>
      <c r="H9" s="1435"/>
      <c r="I9" s="1438"/>
      <c r="J9" s="885" t="s">
        <v>235</v>
      </c>
      <c r="K9" s="311" t="s">
        <v>365</v>
      </c>
      <c r="L9" s="289" t="s">
        <v>398</v>
      </c>
      <c r="M9" s="290" t="s">
        <v>395</v>
      </c>
      <c r="N9" s="288" t="s">
        <v>366</v>
      </c>
      <c r="O9" s="311" t="s">
        <v>399</v>
      </c>
      <c r="P9" s="363" t="s">
        <v>396</v>
      </c>
      <c r="Q9" s="1430"/>
      <c r="R9" s="1426"/>
      <c r="S9" s="1445"/>
      <c r="T9" s="1432"/>
      <c r="U9" s="1426"/>
      <c r="V9" s="1450"/>
      <c r="W9" s="1452"/>
      <c r="X9" s="1456"/>
      <c r="Y9" s="1450"/>
      <c r="Z9" s="1452"/>
      <c r="AA9" s="1426"/>
      <c r="AB9" s="1450"/>
      <c r="AC9" s="1452"/>
      <c r="AD9" s="1430"/>
      <c r="AE9" s="1450"/>
      <c r="AF9" s="1452"/>
      <c r="AG9" s="1430"/>
      <c r="AH9" s="1450"/>
      <c r="AI9" s="1452"/>
      <c r="AJ9" s="1466"/>
      <c r="AK9" s="1468"/>
      <c r="AL9" s="329" t="s">
        <v>364</v>
      </c>
      <c r="AM9" s="330" t="s">
        <v>406</v>
      </c>
      <c r="AN9" s="1011" t="s">
        <v>395</v>
      </c>
      <c r="AO9" s="329" t="s">
        <v>139</v>
      </c>
      <c r="AP9" s="330" t="s">
        <v>401</v>
      </c>
      <c r="AQ9" s="1015" t="s">
        <v>395</v>
      </c>
      <c r="AR9" s="389" t="s">
        <v>146</v>
      </c>
      <c r="AS9" s="330" t="s">
        <v>400</v>
      </c>
      <c r="AT9" s="331" t="s">
        <v>395</v>
      </c>
      <c r="AU9" s="537" t="s">
        <v>147</v>
      </c>
      <c r="AV9" s="389" t="s">
        <v>915</v>
      </c>
      <c r="AW9" s="330" t="s">
        <v>916</v>
      </c>
      <c r="AX9" s="331" t="s">
        <v>395</v>
      </c>
      <c r="BC9" s="608" t="s">
        <v>507</v>
      </c>
      <c r="BD9" s="627" t="s">
        <v>508</v>
      </c>
      <c r="BE9" s="627" t="s">
        <v>395</v>
      </c>
      <c r="BF9" s="627" t="s">
        <v>509</v>
      </c>
      <c r="BG9" s="612" t="s">
        <v>505</v>
      </c>
      <c r="BH9" s="613" t="s">
        <v>395</v>
      </c>
      <c r="BI9" s="612" t="s">
        <v>505</v>
      </c>
      <c r="BJ9" s="613" t="s">
        <v>395</v>
      </c>
      <c r="BM9" s="608" t="s">
        <v>507</v>
      </c>
      <c r="BN9" s="627" t="s">
        <v>508</v>
      </c>
      <c r="BO9" s="627" t="s">
        <v>395</v>
      </c>
      <c r="BP9" s="627" t="s">
        <v>509</v>
      </c>
      <c r="BQ9" s="612" t="s">
        <v>505</v>
      </c>
      <c r="BR9" s="613" t="s">
        <v>395</v>
      </c>
      <c r="BS9" s="612" t="s">
        <v>505</v>
      </c>
      <c r="BT9" s="613" t="s">
        <v>395</v>
      </c>
    </row>
    <row r="10" spans="1:75" x14ac:dyDescent="0.3">
      <c r="A10" s="408">
        <v>1</v>
      </c>
      <c r="B10" s="1214">
        <v>2</v>
      </c>
      <c r="C10" s="1217">
        <v>3</v>
      </c>
      <c r="D10" s="429">
        <v>4</v>
      </c>
      <c r="E10" s="1214"/>
      <c r="F10" s="409"/>
      <c r="G10" s="282">
        <v>5</v>
      </c>
      <c r="H10" s="156"/>
      <c r="I10" s="666"/>
      <c r="J10" s="886"/>
      <c r="K10" s="282"/>
      <c r="L10" s="156"/>
      <c r="M10" s="292"/>
      <c r="N10" s="291"/>
      <c r="O10" s="282"/>
      <c r="P10" s="364"/>
      <c r="Q10" s="275">
        <v>6</v>
      </c>
      <c r="R10" s="306"/>
      <c r="S10" s="371"/>
      <c r="T10" s="524"/>
      <c r="U10" s="522"/>
      <c r="V10" s="385"/>
      <c r="W10" s="387"/>
      <c r="X10" s="378"/>
      <c r="Y10" s="385"/>
      <c r="Z10" s="387"/>
      <c r="AA10" s="522"/>
      <c r="AB10" s="385"/>
      <c r="AC10" s="387"/>
      <c r="AD10" s="386"/>
      <c r="AE10" s="385"/>
      <c r="AF10" s="387"/>
      <c r="AG10" s="386"/>
      <c r="AH10" s="385"/>
      <c r="AI10" s="387"/>
      <c r="AJ10" s="421">
        <v>7</v>
      </c>
      <c r="AK10" s="391">
        <v>8</v>
      </c>
      <c r="AL10" s="403">
        <v>9</v>
      </c>
      <c r="AM10" s="1058"/>
      <c r="AN10" s="1012"/>
      <c r="AO10" s="1016"/>
      <c r="AP10" s="350"/>
      <c r="AQ10" s="1017"/>
      <c r="AR10" s="322"/>
      <c r="AS10" s="160"/>
      <c r="AT10" s="333"/>
      <c r="AU10" s="538">
        <v>10</v>
      </c>
      <c r="AV10" s="322"/>
      <c r="AW10" s="160"/>
      <c r="AX10" s="333"/>
      <c r="BG10" s="612"/>
      <c r="BH10" s="614"/>
      <c r="BI10" s="625"/>
      <c r="BJ10" s="614"/>
      <c r="BQ10" s="612"/>
      <c r="BR10" s="614"/>
      <c r="BS10" s="625"/>
      <c r="BT10" s="614"/>
    </row>
    <row r="11" spans="1:75" s="115" customFormat="1" x14ac:dyDescent="0.3">
      <c r="A11" s="435" t="s">
        <v>148</v>
      </c>
      <c r="B11" s="1215">
        <v>100</v>
      </c>
      <c r="C11" s="436" t="s">
        <v>149</v>
      </c>
      <c r="D11" s="430">
        <f>D14+D20+D21</f>
        <v>1878263304.5799999</v>
      </c>
      <c r="E11" s="59">
        <f>H11+R11+AM11+AK11</f>
        <v>2885172104.5799999</v>
      </c>
      <c r="F11" s="410">
        <f>E11-D11</f>
        <v>1006908800</v>
      </c>
      <c r="G11" s="293">
        <f>SUM(G14)</f>
        <v>218669600</v>
      </c>
      <c r="H11" s="157">
        <f>H14</f>
        <v>218669600</v>
      </c>
      <c r="I11" s="667">
        <f>H11-G11</f>
        <v>0</v>
      </c>
      <c r="J11" s="882">
        <f>SUM(J14)</f>
        <v>105026100</v>
      </c>
      <c r="K11" s="283">
        <f>K14</f>
        <v>68563030.900000006</v>
      </c>
      <c r="L11" s="157">
        <f>H11-J11-O11</f>
        <v>78742491.210000008</v>
      </c>
      <c r="M11" s="294">
        <f>L11-K11</f>
        <v>10179460.310000002</v>
      </c>
      <c r="N11" s="283">
        <f>SUM(N14)</f>
        <v>45080469.100000001</v>
      </c>
      <c r="O11" s="283">
        <f>SUM(O14)</f>
        <v>34901008.789999999</v>
      </c>
      <c r="P11" s="365">
        <f>O11-N11</f>
        <v>-10179460.310000002</v>
      </c>
      <c r="Q11" s="276">
        <v>1270135000</v>
      </c>
      <c r="R11" s="307">
        <f>R20</f>
        <v>2275135000</v>
      </c>
      <c r="S11" s="372">
        <f>R11-Q11</f>
        <v>1005000000</v>
      </c>
      <c r="T11" s="525">
        <f t="shared" ref="T11:AH11" si="0">T20</f>
        <v>0</v>
      </c>
      <c r="U11" s="307">
        <v>1216891000</v>
      </c>
      <c r="V11" s="153">
        <f>V20</f>
        <v>2221891000.0100002</v>
      </c>
      <c r="W11" s="357">
        <f>V11-U11</f>
        <v>1005000000.0100002</v>
      </c>
      <c r="X11" s="379">
        <f>X20</f>
        <v>22131000</v>
      </c>
      <c r="Y11" s="153">
        <f>Y20</f>
        <v>22131000</v>
      </c>
      <c r="Z11" s="357">
        <f>Z20</f>
        <v>0</v>
      </c>
      <c r="AA11" s="307">
        <v>6878578.4699999997</v>
      </c>
      <c r="AB11" s="153">
        <f t="shared" si="0"/>
        <v>6878578.4699999997</v>
      </c>
      <c r="AC11" s="357">
        <f>AB11-AA11</f>
        <v>0</v>
      </c>
      <c r="AD11" s="153">
        <v>15071900</v>
      </c>
      <c r="AE11" s="153">
        <f>AE20</f>
        <v>15071900</v>
      </c>
      <c r="AF11" s="357">
        <f>AE11-AD11</f>
        <v>0</v>
      </c>
      <c r="AG11" s="153">
        <v>9162521.5199999996</v>
      </c>
      <c r="AH11" s="153">
        <f t="shared" si="0"/>
        <v>9162521.5199999996</v>
      </c>
      <c r="AI11" s="357">
        <f>AH11-AG11</f>
        <v>0</v>
      </c>
      <c r="AJ11" s="422">
        <v>0</v>
      </c>
      <c r="AK11" s="392">
        <f>AK13+AK14</f>
        <v>1908800</v>
      </c>
      <c r="AL11" s="334">
        <v>389458704.59170002</v>
      </c>
      <c r="AM11" s="161">
        <f>AP11+AS11+AW11</f>
        <v>389458704.57999998</v>
      </c>
      <c r="AN11" s="1013">
        <f>AM11-AL11</f>
        <v>-1.1700034141540527E-2</v>
      </c>
      <c r="AO11" s="334">
        <v>305985633.47170001</v>
      </c>
      <c r="AP11" s="161">
        <f>AP14+AP21</f>
        <v>306452080.55000001</v>
      </c>
      <c r="AQ11" s="406">
        <f>AP11-AO11</f>
        <v>466447.07829999924</v>
      </c>
      <c r="AR11" s="161">
        <f>AR14+AR21+AR22</f>
        <v>55582036.509999998</v>
      </c>
      <c r="AS11" s="161">
        <f>AS14+AS21+AS22</f>
        <v>70734826.599999994</v>
      </c>
      <c r="AT11" s="335">
        <f>AS11-AR11</f>
        <v>15152790.089999996</v>
      </c>
      <c r="AU11" s="539">
        <v>0</v>
      </c>
      <c r="AV11" s="161">
        <f>AV14+AV21+AV22</f>
        <v>12271797.43</v>
      </c>
      <c r="AW11" s="161">
        <f>AW14+AW21+AW22</f>
        <v>12271797.43</v>
      </c>
      <c r="AX11" s="335">
        <f>AW11-AV11</f>
        <v>0</v>
      </c>
      <c r="AZ11" s="131">
        <v>343352551.449</v>
      </c>
      <c r="BA11" s="131">
        <v>275145687.99900001</v>
      </c>
      <c r="BB11" s="609">
        <v>68206863.450000003</v>
      </c>
      <c r="BC11" s="634"/>
      <c r="BD11" s="634"/>
      <c r="BE11" s="634"/>
      <c r="BF11" s="634"/>
      <c r="BG11" s="615"/>
      <c r="BH11" s="616">
        <f>AF11-BG11</f>
        <v>0</v>
      </c>
      <c r="BI11" s="615">
        <f>BI15+BI21+BI22</f>
        <v>68215561.770000011</v>
      </c>
      <c r="BJ11" s="626">
        <f>AI11-BI11</f>
        <v>-68215561.770000011</v>
      </c>
      <c r="BK11" s="634"/>
      <c r="BL11" s="634"/>
      <c r="BM11" s="628">
        <f>AL11</f>
        <v>389458704.59170002</v>
      </c>
      <c r="BN11" s="628">
        <v>344453050.41000003</v>
      </c>
      <c r="BO11" s="628">
        <f>BM11-BN11</f>
        <v>45005654.181699991</v>
      </c>
      <c r="BP11" s="629">
        <f>BN11</f>
        <v>344453050.41000003</v>
      </c>
      <c r="BQ11" s="615">
        <v>251139175</v>
      </c>
      <c r="BR11" s="616">
        <f>AP11-BQ11</f>
        <v>55312905.550000012</v>
      </c>
      <c r="BS11" s="615">
        <f>BS15+BS21+BS22</f>
        <v>68215561.770000011</v>
      </c>
      <c r="BT11" s="626">
        <f>AS11-BS11</f>
        <v>2519264.8299999833</v>
      </c>
      <c r="BU11" s="135">
        <v>1076466.1000000001</v>
      </c>
      <c r="BV11" s="135">
        <v>146019.47000000626</v>
      </c>
      <c r="BW11" s="135">
        <f>BU11+BV11</f>
        <v>1222485.5700000064</v>
      </c>
    </row>
    <row r="12" spans="1:75" x14ac:dyDescent="0.3">
      <c r="A12" s="437" t="s">
        <v>137</v>
      </c>
      <c r="B12" s="133"/>
      <c r="C12" s="438"/>
      <c r="D12" s="431"/>
      <c r="E12" s="59">
        <f>H12+R12+AL12+AK12</f>
        <v>0</v>
      </c>
      <c r="F12" s="410">
        <f t="shared" ref="F12:F75" si="1">E12-D12</f>
        <v>0</v>
      </c>
      <c r="G12" s="284"/>
      <c r="H12" s="159"/>
      <c r="I12" s="668"/>
      <c r="J12" s="979"/>
      <c r="K12" s="284"/>
      <c r="L12" s="159"/>
      <c r="M12" s="296"/>
      <c r="N12" s="295"/>
      <c r="O12" s="284"/>
      <c r="P12" s="366"/>
      <c r="Q12" s="277"/>
      <c r="R12" s="308"/>
      <c r="S12" s="373"/>
      <c r="T12" s="526"/>
      <c r="U12" s="308"/>
      <c r="V12" s="154"/>
      <c r="W12" s="357">
        <f t="shared" ref="W12:W74" si="2">V12-U12</f>
        <v>0</v>
      </c>
      <c r="X12" s="380"/>
      <c r="Y12" s="153">
        <f t="shared" ref="Y12:Y19" si="3">X12-W12</f>
        <v>0</v>
      </c>
      <c r="Z12" s="357">
        <f t="shared" ref="Z12:Z19" si="4">X12-W12</f>
        <v>0</v>
      </c>
      <c r="AA12" s="308"/>
      <c r="AB12" s="154"/>
      <c r="AC12" s="358"/>
      <c r="AD12" s="277"/>
      <c r="AE12" s="154"/>
      <c r="AF12" s="358"/>
      <c r="AG12" s="277"/>
      <c r="AH12" s="154"/>
      <c r="AI12" s="358"/>
      <c r="AJ12" s="423"/>
      <c r="AK12" s="393"/>
      <c r="AL12" s="334"/>
      <c r="AM12" s="161"/>
      <c r="AN12" s="1013">
        <f t="shared" ref="AN12:AN74" si="5">AM12-AL12</f>
        <v>0</v>
      </c>
      <c r="AO12" s="336"/>
      <c r="AP12" s="260"/>
      <c r="AQ12" s="1018"/>
      <c r="AR12" s="325"/>
      <c r="AS12" s="260"/>
      <c r="AT12" s="337"/>
      <c r="AU12" s="540"/>
      <c r="AV12" s="325"/>
      <c r="AW12" s="260"/>
      <c r="AX12" s="337"/>
      <c r="BG12" s="617"/>
      <c r="BH12" s="614"/>
      <c r="BI12" s="625"/>
      <c r="BJ12" s="614"/>
      <c r="BM12" s="628"/>
      <c r="BN12" s="628"/>
      <c r="BQ12" s="617">
        <f>AP11-BQ11</f>
        <v>55312905.550000012</v>
      </c>
      <c r="BR12" s="614"/>
      <c r="BS12" s="625"/>
      <c r="BT12" s="614"/>
      <c r="BU12" s="111">
        <f>BS11+BW11</f>
        <v>69438047.340000018</v>
      </c>
    </row>
    <row r="13" spans="1:75" x14ac:dyDescent="0.3">
      <c r="A13" s="437" t="s">
        <v>150</v>
      </c>
      <c r="B13" s="1214">
        <v>110</v>
      </c>
      <c r="C13" s="438"/>
      <c r="D13" s="431"/>
      <c r="E13" s="59">
        <f>H13+R13+AL13+AK13</f>
        <v>0</v>
      </c>
      <c r="F13" s="410">
        <f t="shared" si="1"/>
        <v>0</v>
      </c>
      <c r="G13" s="285"/>
      <c r="H13" s="158"/>
      <c r="I13" s="669"/>
      <c r="J13" s="881"/>
      <c r="K13" s="285"/>
      <c r="L13" s="158"/>
      <c r="M13" s="298"/>
      <c r="N13" s="297"/>
      <c r="O13" s="285"/>
      <c r="P13" s="367"/>
      <c r="Q13" s="278"/>
      <c r="R13" s="309"/>
      <c r="S13" s="374"/>
      <c r="T13" s="527"/>
      <c r="U13" s="309"/>
      <c r="V13" s="261"/>
      <c r="W13" s="357">
        <f t="shared" si="2"/>
        <v>0</v>
      </c>
      <c r="X13" s="381"/>
      <c r="Y13" s="153">
        <f t="shared" si="3"/>
        <v>0</v>
      </c>
      <c r="Z13" s="357">
        <f t="shared" si="4"/>
        <v>0</v>
      </c>
      <c r="AA13" s="309"/>
      <c r="AB13" s="261"/>
      <c r="AC13" s="359"/>
      <c r="AD13" s="278"/>
      <c r="AE13" s="261"/>
      <c r="AF13" s="359"/>
      <c r="AG13" s="278"/>
      <c r="AH13" s="261"/>
      <c r="AI13" s="359"/>
      <c r="AJ13" s="424"/>
      <c r="AK13" s="393"/>
      <c r="AL13" s="334"/>
      <c r="AM13" s="161"/>
      <c r="AN13" s="1013">
        <f t="shared" si="5"/>
        <v>0</v>
      </c>
      <c r="AO13" s="336"/>
      <c r="AP13" s="260"/>
      <c r="AQ13" s="1018"/>
      <c r="AR13" s="325"/>
      <c r="AS13" s="260"/>
      <c r="AT13" s="337"/>
      <c r="AU13" s="541"/>
      <c r="AV13" s="325"/>
      <c r="AW13" s="260"/>
      <c r="AX13" s="337"/>
      <c r="AZ13" s="111"/>
      <c r="BA13" s="111">
        <f>BA11-AO11</f>
        <v>-30839945.4727</v>
      </c>
      <c r="BB13" s="111">
        <f>BB11-AR11</f>
        <v>12624826.940000005</v>
      </c>
      <c r="BC13" s="111"/>
      <c r="BD13" s="111"/>
      <c r="BE13" s="111"/>
      <c r="BF13" s="111"/>
      <c r="BG13" s="615"/>
      <c r="BH13" s="614"/>
      <c r="BI13" s="625"/>
      <c r="BJ13" s="614"/>
      <c r="BK13" s="111"/>
      <c r="BL13" s="111"/>
      <c r="BM13" s="628"/>
      <c r="BN13" s="628"/>
      <c r="BO13" s="533"/>
      <c r="BP13" s="533"/>
      <c r="BQ13" s="615"/>
      <c r="BR13" s="614"/>
      <c r="BS13" s="625"/>
      <c r="BT13" s="614"/>
    </row>
    <row r="14" spans="1:75" x14ac:dyDescent="0.3">
      <c r="A14" s="437" t="s">
        <v>151</v>
      </c>
      <c r="B14" s="1214">
        <v>120</v>
      </c>
      <c r="C14" s="438"/>
      <c r="D14" s="64">
        <f>G14+Q14+AL14+AJ14</f>
        <v>573229079.06999993</v>
      </c>
      <c r="E14" s="64">
        <f>H14+R14+AM14+AK14</f>
        <v>575137879.06999993</v>
      </c>
      <c r="F14" s="411">
        <f t="shared" si="1"/>
        <v>1908800</v>
      </c>
      <c r="G14" s="159">
        <v>218669600</v>
      </c>
      <c r="H14" s="159">
        <f>J14+L14+O14</f>
        <v>218669600</v>
      </c>
      <c r="I14" s="668">
        <f>H14-G14</f>
        <v>0</v>
      </c>
      <c r="J14" s="881">
        <f>J15</f>
        <v>105026100</v>
      </c>
      <c r="K14" s="284">
        <v>68563030.900000006</v>
      </c>
      <c r="L14" s="159">
        <f>G14-J14-O14</f>
        <v>78742491.210000008</v>
      </c>
      <c r="M14" s="298">
        <f>L14-K14</f>
        <v>10179460.310000002</v>
      </c>
      <c r="N14" s="285">
        <v>45080469.100000001</v>
      </c>
      <c r="O14" s="285">
        <f>O15</f>
        <v>34901008.789999999</v>
      </c>
      <c r="P14" s="367">
        <f>O14-N14</f>
        <v>-10179460.310000002</v>
      </c>
      <c r="Q14" s="277"/>
      <c r="R14" s="308"/>
      <c r="S14" s="373"/>
      <c r="T14" s="526"/>
      <c r="U14" s="308"/>
      <c r="V14" s="154"/>
      <c r="W14" s="357">
        <f t="shared" si="2"/>
        <v>0</v>
      </c>
      <c r="X14" s="380"/>
      <c r="Y14" s="153">
        <f t="shared" si="3"/>
        <v>0</v>
      </c>
      <c r="Z14" s="357">
        <f t="shared" si="4"/>
        <v>0</v>
      </c>
      <c r="AA14" s="308"/>
      <c r="AB14" s="154"/>
      <c r="AC14" s="358"/>
      <c r="AD14" s="277"/>
      <c r="AE14" s="154"/>
      <c r="AF14" s="358"/>
      <c r="AG14" s="277"/>
      <c r="AH14" s="154"/>
      <c r="AI14" s="358"/>
      <c r="AJ14" s="423"/>
      <c r="AK14" s="393">
        <f>SUM(AK15:AK17)</f>
        <v>1908800</v>
      </c>
      <c r="AL14" s="334">
        <v>354559479.06999999</v>
      </c>
      <c r="AM14" s="161">
        <f>AP14+AS14+AW14</f>
        <v>354559479.06999999</v>
      </c>
      <c r="AN14" s="1013">
        <f t="shared" si="5"/>
        <v>0</v>
      </c>
      <c r="AO14" s="338">
        <v>306981817.18000001</v>
      </c>
      <c r="AP14" s="162">
        <f>AL14-AS14-AW14</f>
        <v>319167024.94999999</v>
      </c>
      <c r="AQ14" s="1019">
        <f>AP14-AO14</f>
        <v>12185207.769999981</v>
      </c>
      <c r="AR14" s="324">
        <v>44423842.689999998</v>
      </c>
      <c r="AS14" s="162">
        <f>AS15+AS17</f>
        <v>32238634.920000002</v>
      </c>
      <c r="AT14" s="339">
        <f>AS14-AR14</f>
        <v>-12185207.769999996</v>
      </c>
      <c r="AU14" s="541"/>
      <c r="AV14" s="324">
        <v>3153819.2</v>
      </c>
      <c r="AW14" s="162">
        <f>AW15</f>
        <v>3153819.2</v>
      </c>
      <c r="AX14" s="339">
        <f>AW14-AV14</f>
        <v>0</v>
      </c>
      <c r="BG14" s="618"/>
      <c r="BH14" s="614"/>
      <c r="BI14" s="625"/>
      <c r="BJ14" s="614"/>
      <c r="BM14" s="628"/>
      <c r="BN14" s="628"/>
      <c r="BQ14" s="618">
        <f>13676010.29-8000000</f>
        <v>5676010.2899999991</v>
      </c>
      <c r="BR14" s="614"/>
      <c r="BS14" s="625"/>
      <c r="BT14" s="614"/>
    </row>
    <row r="15" spans="1:75" x14ac:dyDescent="0.3">
      <c r="A15" s="437" t="s">
        <v>152</v>
      </c>
      <c r="B15" s="133"/>
      <c r="C15" s="438"/>
      <c r="D15" s="64">
        <f>G15+Q15+AL15+AJ15</f>
        <v>557025508.76999998</v>
      </c>
      <c r="E15" s="64">
        <f>H15+R15+AM15+AK15</f>
        <v>558934308.76999998</v>
      </c>
      <c r="F15" s="411">
        <f t="shared" si="1"/>
        <v>1908800</v>
      </c>
      <c r="G15" s="159">
        <v>218669600</v>
      </c>
      <c r="H15" s="159">
        <f>J15+L15+O15</f>
        <v>218669600</v>
      </c>
      <c r="I15" s="668">
        <f>H15-G15</f>
        <v>0</v>
      </c>
      <c r="J15" s="979">
        <f>42610100+6071200+19709100+1786600+10488200+12868200+1833500+5952100+539600+3167500</f>
        <v>105026100</v>
      </c>
      <c r="K15" s="284">
        <v>68563030.900000006</v>
      </c>
      <c r="L15" s="159">
        <f>G15-J15-O15</f>
        <v>78742491.210000008</v>
      </c>
      <c r="M15" s="296">
        <f>L15-K15</f>
        <v>10179460.310000002</v>
      </c>
      <c r="N15" s="284">
        <v>45080469.100000001</v>
      </c>
      <c r="O15" s="284">
        <f>O23</f>
        <v>34901008.789999999</v>
      </c>
      <c r="P15" s="366">
        <f>O15-N15</f>
        <v>-10179460.310000002</v>
      </c>
      <c r="Q15" s="277"/>
      <c r="R15" s="308"/>
      <c r="S15" s="373"/>
      <c r="T15" s="526"/>
      <c r="U15" s="308"/>
      <c r="V15" s="154"/>
      <c r="W15" s="357">
        <f t="shared" si="2"/>
        <v>0</v>
      </c>
      <c r="X15" s="380"/>
      <c r="Y15" s="153">
        <f t="shared" si="3"/>
        <v>0</v>
      </c>
      <c r="Z15" s="357">
        <f t="shared" si="4"/>
        <v>0</v>
      </c>
      <c r="AA15" s="308"/>
      <c r="AB15" s="154"/>
      <c r="AC15" s="358"/>
      <c r="AD15" s="277"/>
      <c r="AE15" s="154"/>
      <c r="AF15" s="358"/>
      <c r="AG15" s="277"/>
      <c r="AH15" s="154"/>
      <c r="AI15" s="358"/>
      <c r="AJ15" s="423"/>
      <c r="AK15" s="394">
        <v>1908800</v>
      </c>
      <c r="AL15" s="334">
        <v>338355908.76999998</v>
      </c>
      <c r="AM15" s="161">
        <f>AP15+AS15+AW15</f>
        <v>338355908.76999998</v>
      </c>
      <c r="AN15" s="1013">
        <f t="shared" si="5"/>
        <v>0</v>
      </c>
      <c r="AO15" s="338">
        <v>290778246.88</v>
      </c>
      <c r="AP15" s="162">
        <f t="shared" ref="AP15:AP17" si="6">AL15-AS15-AW15</f>
        <v>302963454.64999998</v>
      </c>
      <c r="AQ15" s="1019">
        <f>AP15-AO15</f>
        <v>12185207.769999981</v>
      </c>
      <c r="AR15" s="324">
        <v>44423842.689999998</v>
      </c>
      <c r="AS15" s="162">
        <v>32238634.920000002</v>
      </c>
      <c r="AT15" s="339">
        <f>AS15-AR15</f>
        <v>-12185207.769999996</v>
      </c>
      <c r="AU15" s="541"/>
      <c r="AV15" s="324">
        <v>3153819.2</v>
      </c>
      <c r="AW15" s="162">
        <v>3153819.2</v>
      </c>
      <c r="AX15" s="339">
        <f>AW15-AV15</f>
        <v>0</v>
      </c>
      <c r="BG15" s="618"/>
      <c r="BH15" s="614"/>
      <c r="BI15" s="618">
        <v>67613872.370000005</v>
      </c>
      <c r="BJ15" s="614"/>
      <c r="BM15" s="628"/>
      <c r="BN15" s="628"/>
      <c r="BQ15" s="618">
        <f>5100000</f>
        <v>5100000</v>
      </c>
      <c r="BR15" s="614"/>
      <c r="BS15" s="618">
        <v>67613872.370000005</v>
      </c>
      <c r="BT15" s="614"/>
    </row>
    <row r="16" spans="1:75" x14ac:dyDescent="0.3">
      <c r="A16" s="437" t="s">
        <v>153</v>
      </c>
      <c r="B16" s="133"/>
      <c r="C16" s="438"/>
      <c r="D16" s="64">
        <f>G16+Q16+AK16+AJ16</f>
        <v>0</v>
      </c>
      <c r="E16" s="64">
        <f>H16+R16+AL16+AK16</f>
        <v>0</v>
      </c>
      <c r="F16" s="410">
        <f t="shared" si="1"/>
        <v>0</v>
      </c>
      <c r="G16" s="284"/>
      <c r="H16" s="159"/>
      <c r="I16" s="668">
        <f t="shared" ref="I16:I22" si="7">H16-G16</f>
        <v>0</v>
      </c>
      <c r="J16" s="979"/>
      <c r="K16" s="284"/>
      <c r="L16" s="159"/>
      <c r="M16" s="296"/>
      <c r="N16" s="295"/>
      <c r="O16" s="284"/>
      <c r="P16" s="366"/>
      <c r="Q16" s="277"/>
      <c r="R16" s="308"/>
      <c r="S16" s="373"/>
      <c r="T16" s="526"/>
      <c r="U16" s="308"/>
      <c r="V16" s="154"/>
      <c r="W16" s="357">
        <f t="shared" si="2"/>
        <v>0</v>
      </c>
      <c r="X16" s="380"/>
      <c r="Y16" s="153">
        <f t="shared" si="3"/>
        <v>0</v>
      </c>
      <c r="Z16" s="357">
        <f t="shared" si="4"/>
        <v>0</v>
      </c>
      <c r="AA16" s="308"/>
      <c r="AB16" s="154"/>
      <c r="AC16" s="358"/>
      <c r="AD16" s="277"/>
      <c r="AE16" s="154"/>
      <c r="AF16" s="358"/>
      <c r="AG16" s="277"/>
      <c r="AH16" s="154"/>
      <c r="AI16" s="358"/>
      <c r="AJ16" s="423"/>
      <c r="AK16" s="394"/>
      <c r="AL16" s="334">
        <v>0</v>
      </c>
      <c r="AM16" s="161">
        <f t="shared" ref="AM16:AM74" si="8">AP16+AS16</f>
        <v>0</v>
      </c>
      <c r="AN16" s="1013">
        <f t="shared" si="5"/>
        <v>0</v>
      </c>
      <c r="AO16" s="336"/>
      <c r="AP16" s="162">
        <f t="shared" si="6"/>
        <v>0</v>
      </c>
      <c r="AQ16" s="1018"/>
      <c r="AR16" s="325"/>
      <c r="AS16" s="260"/>
      <c r="AT16" s="337"/>
      <c r="AU16" s="541"/>
      <c r="AV16" s="325"/>
      <c r="AW16" s="260"/>
      <c r="AX16" s="337"/>
      <c r="BG16" s="619"/>
      <c r="BH16" s="614"/>
      <c r="BI16" s="625"/>
      <c r="BJ16" s="614"/>
      <c r="BM16" s="628"/>
      <c r="BN16" s="628"/>
      <c r="BQ16" s="619">
        <f>SUM(BQ14:BQ15)</f>
        <v>10776010.289999999</v>
      </c>
      <c r="BR16" s="614"/>
      <c r="BS16" s="625"/>
      <c r="BT16" s="614"/>
    </row>
    <row r="17" spans="1:72" x14ac:dyDescent="0.3">
      <c r="A17" s="437" t="s">
        <v>154</v>
      </c>
      <c r="B17" s="133"/>
      <c r="C17" s="438"/>
      <c r="D17" s="64">
        <f>G17+Q17+AL17+AJ17</f>
        <v>16203570.300000001</v>
      </c>
      <c r="E17" s="64">
        <f>H17+R17+AM17+AK17</f>
        <v>16203570.300000001</v>
      </c>
      <c r="F17" s="410">
        <f t="shared" si="1"/>
        <v>0</v>
      </c>
      <c r="G17" s="284"/>
      <c r="H17" s="159"/>
      <c r="I17" s="668">
        <f t="shared" si="7"/>
        <v>0</v>
      </c>
      <c r="J17" s="979"/>
      <c r="K17" s="284"/>
      <c r="L17" s="159"/>
      <c r="M17" s="296"/>
      <c r="N17" s="295"/>
      <c r="O17" s="284"/>
      <c r="P17" s="366"/>
      <c r="Q17" s="277"/>
      <c r="R17" s="308"/>
      <c r="S17" s="373"/>
      <c r="T17" s="526"/>
      <c r="U17" s="308"/>
      <c r="V17" s="154"/>
      <c r="W17" s="357">
        <f t="shared" si="2"/>
        <v>0</v>
      </c>
      <c r="X17" s="380"/>
      <c r="Y17" s="153">
        <f t="shared" si="3"/>
        <v>0</v>
      </c>
      <c r="Z17" s="357">
        <f t="shared" si="4"/>
        <v>0</v>
      </c>
      <c r="AA17" s="308"/>
      <c r="AB17" s="154"/>
      <c r="AC17" s="358"/>
      <c r="AD17" s="277"/>
      <c r="AE17" s="154"/>
      <c r="AF17" s="358"/>
      <c r="AG17" s="277"/>
      <c r="AH17" s="154"/>
      <c r="AI17" s="358"/>
      <c r="AJ17" s="423"/>
      <c r="AK17" s="393"/>
      <c r="AL17" s="334">
        <v>16203570.300000001</v>
      </c>
      <c r="AM17" s="161">
        <f>AP17+AS17+AW17</f>
        <v>16203570.300000001</v>
      </c>
      <c r="AN17" s="1013">
        <f t="shared" si="5"/>
        <v>0</v>
      </c>
      <c r="AO17" s="338">
        <v>16203570.300000001</v>
      </c>
      <c r="AP17" s="162">
        <f t="shared" si="6"/>
        <v>16203570.300000001</v>
      </c>
      <c r="AQ17" s="1019">
        <f>AP17-AO17</f>
        <v>0</v>
      </c>
      <c r="AR17" s="324"/>
      <c r="AS17" s="162"/>
      <c r="AT17" s="339"/>
      <c r="AU17" s="541"/>
      <c r="AV17" s="324"/>
      <c r="AW17" s="162"/>
      <c r="AX17" s="339"/>
      <c r="BG17" s="618"/>
      <c r="BH17" s="614"/>
      <c r="BI17" s="625"/>
      <c r="BJ17" s="614"/>
      <c r="BM17" s="628"/>
      <c r="BN17" s="628"/>
      <c r="BQ17" s="618">
        <f>BQ12-BQ16</f>
        <v>44536895.260000013</v>
      </c>
      <c r="BR17" s="614"/>
      <c r="BS17" s="625"/>
      <c r="BT17" s="614"/>
    </row>
    <row r="18" spans="1:72" ht="31.5" x14ac:dyDescent="0.3">
      <c r="A18" s="437" t="s">
        <v>155</v>
      </c>
      <c r="B18" s="1214">
        <v>130</v>
      </c>
      <c r="C18" s="438"/>
      <c r="D18" s="431">
        <v>0</v>
      </c>
      <c r="E18" s="59">
        <f>H18+R18+AL18+AK18</f>
        <v>0</v>
      </c>
      <c r="F18" s="410">
        <f t="shared" si="1"/>
        <v>0</v>
      </c>
      <c r="G18" s="285"/>
      <c r="H18" s="158"/>
      <c r="I18" s="668">
        <f t="shared" si="7"/>
        <v>0</v>
      </c>
      <c r="J18" s="881"/>
      <c r="K18" s="285"/>
      <c r="L18" s="158"/>
      <c r="M18" s="298"/>
      <c r="N18" s="297"/>
      <c r="O18" s="285"/>
      <c r="P18" s="367"/>
      <c r="Q18" s="279"/>
      <c r="R18" s="310"/>
      <c r="S18" s="375"/>
      <c r="T18" s="528"/>
      <c r="U18" s="310"/>
      <c r="V18" s="63"/>
      <c r="W18" s="357">
        <f t="shared" si="2"/>
        <v>0</v>
      </c>
      <c r="X18" s="382"/>
      <c r="Y18" s="153">
        <f t="shared" si="3"/>
        <v>0</v>
      </c>
      <c r="Z18" s="357">
        <f t="shared" si="4"/>
        <v>0</v>
      </c>
      <c r="AA18" s="310"/>
      <c r="AB18" s="63"/>
      <c r="AC18" s="360"/>
      <c r="AD18" s="279"/>
      <c r="AE18" s="63"/>
      <c r="AF18" s="360"/>
      <c r="AG18" s="279"/>
      <c r="AH18" s="63"/>
      <c r="AI18" s="360"/>
      <c r="AJ18" s="425"/>
      <c r="AK18" s="395"/>
      <c r="AL18" s="334">
        <v>0</v>
      </c>
      <c r="AM18" s="161">
        <f t="shared" si="8"/>
        <v>0</v>
      </c>
      <c r="AN18" s="1013">
        <f t="shared" si="5"/>
        <v>0</v>
      </c>
      <c r="AO18" s="336"/>
      <c r="AP18" s="260"/>
      <c r="AQ18" s="1018"/>
      <c r="AR18" s="325"/>
      <c r="AS18" s="260"/>
      <c r="AT18" s="337"/>
      <c r="AU18" s="540" t="s">
        <v>149</v>
      </c>
      <c r="AV18" s="325"/>
      <c r="AW18" s="260"/>
      <c r="AX18" s="337"/>
      <c r="BG18" s="617"/>
      <c r="BH18" s="614"/>
      <c r="BI18" s="625"/>
      <c r="BJ18" s="614"/>
      <c r="BM18" s="628"/>
      <c r="BN18" s="628"/>
      <c r="BQ18" s="617"/>
      <c r="BR18" s="614"/>
      <c r="BS18" s="625"/>
      <c r="BT18" s="614"/>
    </row>
    <row r="19" spans="1:72" ht="63.75" customHeight="1" x14ac:dyDescent="0.3">
      <c r="A19" s="437" t="s">
        <v>156</v>
      </c>
      <c r="B19" s="1214">
        <v>140</v>
      </c>
      <c r="C19" s="438"/>
      <c r="D19" s="431">
        <v>0</v>
      </c>
      <c r="E19" s="59">
        <f>H19+R19+AL19+AK19</f>
        <v>0</v>
      </c>
      <c r="F19" s="410">
        <f t="shared" si="1"/>
        <v>0</v>
      </c>
      <c r="G19" s="285"/>
      <c r="H19" s="158"/>
      <c r="I19" s="668">
        <f t="shared" si="7"/>
        <v>0</v>
      </c>
      <c r="J19" s="881"/>
      <c r="K19" s="285"/>
      <c r="L19" s="158"/>
      <c r="M19" s="298"/>
      <c r="N19" s="297"/>
      <c r="O19" s="285"/>
      <c r="P19" s="367"/>
      <c r="Q19" s="279"/>
      <c r="R19" s="310"/>
      <c r="S19" s="375"/>
      <c r="T19" s="528"/>
      <c r="U19" s="310"/>
      <c r="V19" s="63"/>
      <c r="W19" s="357">
        <f t="shared" si="2"/>
        <v>0</v>
      </c>
      <c r="X19" s="382"/>
      <c r="Y19" s="153">
        <f t="shared" si="3"/>
        <v>0</v>
      </c>
      <c r="Z19" s="357">
        <f t="shared" si="4"/>
        <v>0</v>
      </c>
      <c r="AA19" s="310"/>
      <c r="AB19" s="63"/>
      <c r="AC19" s="360"/>
      <c r="AD19" s="279"/>
      <c r="AE19" s="63"/>
      <c r="AF19" s="360"/>
      <c r="AG19" s="279"/>
      <c r="AH19" s="63"/>
      <c r="AI19" s="360"/>
      <c r="AJ19" s="425"/>
      <c r="AK19" s="395"/>
      <c r="AL19" s="334">
        <v>0</v>
      </c>
      <c r="AM19" s="161">
        <f t="shared" si="8"/>
        <v>0</v>
      </c>
      <c r="AN19" s="1013">
        <f t="shared" si="5"/>
        <v>0</v>
      </c>
      <c r="AO19" s="336"/>
      <c r="AP19" s="260"/>
      <c r="AQ19" s="1018"/>
      <c r="AR19" s="325"/>
      <c r="AS19" s="260"/>
      <c r="AT19" s="337"/>
      <c r="AU19" s="540" t="s">
        <v>149</v>
      </c>
      <c r="AV19" s="325"/>
      <c r="AW19" s="260"/>
      <c r="AX19" s="337"/>
      <c r="BG19" s="617"/>
      <c r="BH19" s="614"/>
      <c r="BI19" s="625"/>
      <c r="BJ19" s="614"/>
      <c r="BM19" s="628"/>
      <c r="BN19" s="628"/>
      <c r="BQ19" s="617"/>
      <c r="BR19" s="614"/>
      <c r="BS19" s="625"/>
      <c r="BT19" s="614"/>
    </row>
    <row r="20" spans="1:72" ht="38.25" customHeight="1" x14ac:dyDescent="0.3">
      <c r="A20" s="437" t="s">
        <v>157</v>
      </c>
      <c r="B20" s="1214">
        <v>150</v>
      </c>
      <c r="C20" s="438"/>
      <c r="D20" s="64">
        <f t="shared" ref="D20:E22" si="9">G20+Q20+AL20+AJ20</f>
        <v>1270135000</v>
      </c>
      <c r="E20" s="64">
        <f t="shared" si="9"/>
        <v>2275135000</v>
      </c>
      <c r="F20" s="411">
        <f t="shared" si="1"/>
        <v>1005000000</v>
      </c>
      <c r="G20" s="285"/>
      <c r="H20" s="158"/>
      <c r="I20" s="668">
        <f t="shared" si="7"/>
        <v>0</v>
      </c>
      <c r="J20" s="881"/>
      <c r="K20" s="285"/>
      <c r="L20" s="158"/>
      <c r="M20" s="298"/>
      <c r="N20" s="297"/>
      <c r="O20" s="285"/>
      <c r="P20" s="367"/>
      <c r="Q20" s="279">
        <v>1270135000</v>
      </c>
      <c r="R20" s="310">
        <f>T20+V20+X20+AB20+AE20+AH20</f>
        <v>2275135000</v>
      </c>
      <c r="S20" s="375">
        <f>R20-Q20</f>
        <v>1005000000</v>
      </c>
      <c r="T20" s="528"/>
      <c r="U20" s="310">
        <v>1216891000</v>
      </c>
      <c r="V20" s="63">
        <f>2275135000-Y20-AB20-AE20-AH20</f>
        <v>2221891000.0100002</v>
      </c>
      <c r="W20" s="360">
        <f t="shared" si="2"/>
        <v>1005000000.0100002</v>
      </c>
      <c r="X20" s="382">
        <v>22131000</v>
      </c>
      <c r="Y20" s="63">
        <f>X20-Z20</f>
        <v>22131000</v>
      </c>
      <c r="Z20" s="360"/>
      <c r="AA20" s="310">
        <v>6878578.4699999997</v>
      </c>
      <c r="AB20" s="63">
        <v>6878578.4699999997</v>
      </c>
      <c r="AC20" s="360">
        <f>AB20-AA20</f>
        <v>0</v>
      </c>
      <c r="AD20" s="63">
        <v>15071900</v>
      </c>
      <c r="AE20" s="63">
        <v>15071900</v>
      </c>
      <c r="AF20" s="360">
        <f>AE20-AD20</f>
        <v>0</v>
      </c>
      <c r="AG20" s="63">
        <v>9162521.5199999996</v>
      </c>
      <c r="AH20" s="63">
        <v>9162521.5199999996</v>
      </c>
      <c r="AI20" s="360">
        <f>AH20-AG20</f>
        <v>0</v>
      </c>
      <c r="AJ20" s="426"/>
      <c r="AK20" s="395"/>
      <c r="AL20" s="334">
        <v>0</v>
      </c>
      <c r="AM20" s="161">
        <f t="shared" si="8"/>
        <v>0</v>
      </c>
      <c r="AN20" s="1013">
        <f t="shared" si="5"/>
        <v>0</v>
      </c>
      <c r="AO20" s="338"/>
      <c r="AP20" s="162"/>
      <c r="AQ20" s="1019"/>
      <c r="AR20" s="324"/>
      <c r="AS20" s="162"/>
      <c r="AT20" s="339"/>
      <c r="AU20" s="540" t="s">
        <v>149</v>
      </c>
      <c r="AV20" s="324"/>
      <c r="AW20" s="162"/>
      <c r="AX20" s="339"/>
      <c r="BG20" s="617"/>
      <c r="BH20" s="614"/>
      <c r="BI20" s="625"/>
      <c r="BJ20" s="614"/>
      <c r="BM20" s="628"/>
      <c r="BN20" s="628"/>
      <c r="BQ20" s="617"/>
      <c r="BR20" s="614"/>
      <c r="BS20" s="625"/>
      <c r="BT20" s="614"/>
    </row>
    <row r="21" spans="1:72" ht="19.5" customHeight="1" x14ac:dyDescent="0.3">
      <c r="A21" s="437" t="s">
        <v>158</v>
      </c>
      <c r="B21" s="1214">
        <v>160</v>
      </c>
      <c r="C21" s="438"/>
      <c r="D21" s="64">
        <f t="shared" si="9"/>
        <v>34899225.510000005</v>
      </c>
      <c r="E21" s="64">
        <f t="shared" si="9"/>
        <v>34899225.510000005</v>
      </c>
      <c r="F21" s="411">
        <f t="shared" si="1"/>
        <v>0</v>
      </c>
      <c r="G21" s="285"/>
      <c r="H21" s="158"/>
      <c r="I21" s="668">
        <f t="shared" si="7"/>
        <v>0</v>
      </c>
      <c r="J21" s="881"/>
      <c r="K21" s="285"/>
      <c r="L21" s="158"/>
      <c r="M21" s="298"/>
      <c r="N21" s="297"/>
      <c r="O21" s="285"/>
      <c r="P21" s="367"/>
      <c r="Q21" s="279"/>
      <c r="R21" s="310"/>
      <c r="S21" s="375"/>
      <c r="T21" s="528"/>
      <c r="U21" s="310"/>
      <c r="V21" s="63"/>
      <c r="W21" s="357"/>
      <c r="X21" s="382"/>
      <c r="Y21" s="153">
        <f>X21-W21</f>
        <v>0</v>
      </c>
      <c r="Z21" s="357">
        <f>X21-W21</f>
        <v>0</v>
      </c>
      <c r="AA21" s="310"/>
      <c r="AB21" s="63"/>
      <c r="AC21" s="360"/>
      <c r="AD21" s="279"/>
      <c r="AE21" s="63"/>
      <c r="AF21" s="360"/>
      <c r="AG21" s="279"/>
      <c r="AH21" s="63"/>
      <c r="AI21" s="360"/>
      <c r="AJ21" s="425"/>
      <c r="AK21" s="395"/>
      <c r="AL21" s="334">
        <v>34899225.510000005</v>
      </c>
      <c r="AM21" s="161">
        <f>AP21+AS21+AW21</f>
        <v>34899225.510000005</v>
      </c>
      <c r="AN21" s="1013">
        <f t="shared" si="5"/>
        <v>0</v>
      </c>
      <c r="AO21" s="338">
        <v>14623053.460000001</v>
      </c>
      <c r="AP21" s="1235">
        <f t="shared" ref="AP21" si="10">AL21-AS21-AW21</f>
        <v>-12714944.399999995</v>
      </c>
      <c r="AQ21" s="1019">
        <f>AP21-AO21</f>
        <v>-27337997.859999996</v>
      </c>
      <c r="AR21" s="324">
        <v>11158193.82</v>
      </c>
      <c r="AS21" s="162">
        <v>38496191.68</v>
      </c>
      <c r="AT21" s="339">
        <f>AS21-AR21</f>
        <v>27337997.859999999</v>
      </c>
      <c r="AU21" s="542"/>
      <c r="AV21" s="324">
        <v>9117978.2300000004</v>
      </c>
      <c r="AW21" s="162">
        <v>9117978.2300000004</v>
      </c>
      <c r="AX21" s="339">
        <f>AW21-AV21</f>
        <v>0</v>
      </c>
      <c r="BG21" s="617"/>
      <c r="BH21" s="614"/>
      <c r="BI21" s="618">
        <v>106376.9</v>
      </c>
      <c r="BJ21" s="614"/>
      <c r="BM21" s="628"/>
      <c r="BN21" s="628"/>
      <c r="BQ21" s="617"/>
      <c r="BR21" s="614"/>
      <c r="BS21" s="618">
        <v>106376.9</v>
      </c>
      <c r="BT21" s="614"/>
    </row>
    <row r="22" spans="1:72" ht="22.5" customHeight="1" x14ac:dyDescent="0.3">
      <c r="A22" s="437" t="s">
        <v>159</v>
      </c>
      <c r="B22" s="1214">
        <v>180</v>
      </c>
      <c r="C22" s="1217" t="s">
        <v>149</v>
      </c>
      <c r="D22" s="64">
        <f t="shared" si="9"/>
        <v>0</v>
      </c>
      <c r="E22" s="64">
        <f t="shared" si="9"/>
        <v>0</v>
      </c>
      <c r="F22" s="411">
        <f t="shared" si="1"/>
        <v>0</v>
      </c>
      <c r="G22" s="284"/>
      <c r="H22" s="159"/>
      <c r="I22" s="668">
        <f t="shared" si="7"/>
        <v>0</v>
      </c>
      <c r="J22" s="979"/>
      <c r="K22" s="284"/>
      <c r="L22" s="159"/>
      <c r="M22" s="296"/>
      <c r="N22" s="295"/>
      <c r="O22" s="284"/>
      <c r="P22" s="366"/>
      <c r="Q22" s="277"/>
      <c r="R22" s="308"/>
      <c r="S22" s="373"/>
      <c r="T22" s="526"/>
      <c r="U22" s="308"/>
      <c r="V22" s="154"/>
      <c r="W22" s="357">
        <f t="shared" si="2"/>
        <v>0</v>
      </c>
      <c r="X22" s="380"/>
      <c r="Y22" s="153">
        <f>X22-W22</f>
        <v>0</v>
      </c>
      <c r="Z22" s="357">
        <f>X22-W22</f>
        <v>0</v>
      </c>
      <c r="AA22" s="308"/>
      <c r="AB22" s="154"/>
      <c r="AC22" s="358"/>
      <c r="AD22" s="277"/>
      <c r="AE22" s="154"/>
      <c r="AF22" s="358"/>
      <c r="AG22" s="277"/>
      <c r="AH22" s="154"/>
      <c r="AI22" s="358"/>
      <c r="AJ22" s="423"/>
      <c r="AK22" s="393"/>
      <c r="AL22" s="334">
        <v>0</v>
      </c>
      <c r="AM22" s="161">
        <f t="shared" si="8"/>
        <v>0</v>
      </c>
      <c r="AN22" s="1013">
        <f t="shared" si="5"/>
        <v>0</v>
      </c>
      <c r="AO22" s="336"/>
      <c r="AP22" s="260"/>
      <c r="AQ22" s="1018"/>
      <c r="AR22" s="324"/>
      <c r="AS22" s="162"/>
      <c r="AT22" s="339">
        <f>AS22-AR22</f>
        <v>0</v>
      </c>
      <c r="AU22" s="543" t="s">
        <v>149</v>
      </c>
      <c r="AV22" s="324"/>
      <c r="AW22" s="162"/>
      <c r="AX22" s="339">
        <f>AW22-AV22</f>
        <v>0</v>
      </c>
      <c r="BG22" s="617"/>
      <c r="BH22" s="614"/>
      <c r="BI22" s="618">
        <v>495312.5</v>
      </c>
      <c r="BJ22" s="614"/>
      <c r="BM22" s="628"/>
      <c r="BN22" s="628"/>
      <c r="BP22" s="533">
        <f>BM23-BP23</f>
        <v>60175149.48999995</v>
      </c>
      <c r="BQ22" s="617"/>
      <c r="BR22" s="614"/>
      <c r="BS22" s="618">
        <v>495312.5</v>
      </c>
      <c r="BT22" s="614"/>
    </row>
    <row r="23" spans="1:72" s="115" customFormat="1" x14ac:dyDescent="0.3">
      <c r="A23" s="435" t="s">
        <v>160</v>
      </c>
      <c r="B23" s="1215">
        <v>200</v>
      </c>
      <c r="C23" s="436" t="s">
        <v>149</v>
      </c>
      <c r="D23" s="1010">
        <f>D24+D45+D33</f>
        <v>639380734.995</v>
      </c>
      <c r="E23" s="59">
        <f>H23+R23+AM23+AK23</f>
        <v>3304618211.1349993</v>
      </c>
      <c r="F23" s="410">
        <f t="shared" si="1"/>
        <v>2665237476.1399994</v>
      </c>
      <c r="G23" s="293">
        <f>G24+G29+G33+G42+G45+G67+G71</f>
        <v>239742190.98000002</v>
      </c>
      <c r="H23" s="157">
        <f>H24+H36+H45</f>
        <v>239742190.98000002</v>
      </c>
      <c r="I23" s="667">
        <f>H23-G23</f>
        <v>0</v>
      </c>
      <c r="J23" s="882">
        <f>J24+J33+J45</f>
        <v>121550240.5065745</v>
      </c>
      <c r="K23" s="157">
        <f>K24+K29+K33+K42+K45+K67+K71</f>
        <v>73111481.360000014</v>
      </c>
      <c r="L23" s="157">
        <f>L24+L29+L33+L42+L45+L67+L71</f>
        <v>83290941.683425516</v>
      </c>
      <c r="M23" s="294">
        <f>L23-K23</f>
        <v>10179460.323425502</v>
      </c>
      <c r="N23" s="283">
        <f>N24+N29+N33+N42+N45+N67+N71</f>
        <v>45080469.109999999</v>
      </c>
      <c r="O23" s="283">
        <f>O24+O29+O33+O42+O45+O67+O71</f>
        <v>34901008.789999999</v>
      </c>
      <c r="P23" s="365">
        <f>O23-N23</f>
        <v>-10179460.32</v>
      </c>
      <c r="Q23" s="276">
        <f>Q24+Q29+Q41+Q42+Q67+Q45+Q33</f>
        <v>1658328676.1500003</v>
      </c>
      <c r="R23" s="307">
        <f>R24+R29+R41+R42+R67+R45+R33</f>
        <v>2663328676.1399994</v>
      </c>
      <c r="S23" s="372">
        <f>R23-Q23</f>
        <v>1004999999.9899991</v>
      </c>
      <c r="T23" s="525">
        <f>T24+T33+T45</f>
        <v>388193676.14999998</v>
      </c>
      <c r="U23" s="307">
        <f>U24+U33+U45</f>
        <v>1216891000</v>
      </c>
      <c r="V23" s="153">
        <f>V24+V33+V45</f>
        <v>2221891000</v>
      </c>
      <c r="W23" s="357">
        <f t="shared" si="2"/>
        <v>1005000000</v>
      </c>
      <c r="X23" s="379">
        <f>X24+X29+X41+X42+X67+X45+X33</f>
        <v>22131000</v>
      </c>
      <c r="Y23" s="153">
        <f>Y24+Y29+Y41+Y42+Y67+Y45+Y33</f>
        <v>22131000</v>
      </c>
      <c r="Z23" s="357">
        <f>Z24+Z29+Z41+Z42+Z67+Z45+Z33</f>
        <v>0</v>
      </c>
      <c r="AA23" s="307">
        <v>6878578.4699999997</v>
      </c>
      <c r="AB23" s="153">
        <f t="shared" ref="AB23:AE23" si="11">AB24+AB29+AB41+AB42+AB67+AB45+AB33</f>
        <v>6878578.4699999997</v>
      </c>
      <c r="AC23" s="357">
        <f>AB23-AA23</f>
        <v>0</v>
      </c>
      <c r="AD23" s="153">
        <v>15071900</v>
      </c>
      <c r="AE23" s="153">
        <f t="shared" si="11"/>
        <v>15071900</v>
      </c>
      <c r="AF23" s="357">
        <f>AE23-AD23</f>
        <v>0</v>
      </c>
      <c r="AG23" s="153">
        <v>9162521.5199999996</v>
      </c>
      <c r="AH23" s="153">
        <f t="shared" ref="AH23" si="12">AH24+AH29+AH41+AH42+AH67+AH45+AH33</f>
        <v>9162521.5199999996</v>
      </c>
      <c r="AI23" s="357">
        <f>AH23-AG23</f>
        <v>0</v>
      </c>
      <c r="AJ23" s="422">
        <f>AJ24+AJ29+AJ36+AJ41+AJ42+AJ67+AJ45</f>
        <v>0</v>
      </c>
      <c r="AK23" s="396">
        <f>AK24+AK29+AK41+AK42+AK45+AK67+AK33</f>
        <v>1908800</v>
      </c>
      <c r="AL23" s="334">
        <v>399638544.01499999</v>
      </c>
      <c r="AM23" s="161">
        <f>AP23+AS23+AW23</f>
        <v>399638544.01500005</v>
      </c>
      <c r="AN23" s="1013">
        <f t="shared" si="5"/>
        <v>0</v>
      </c>
      <c r="AO23" s="334">
        <v>315793818.92446357</v>
      </c>
      <c r="AP23" s="161">
        <f>AP24+AP29+AP41+AP42+AP67+AP45+AP33</f>
        <v>316260265.995</v>
      </c>
      <c r="AQ23" s="406">
        <f>AP23-AO23</f>
        <v>466447.07053643465</v>
      </c>
      <c r="AR23" s="161">
        <f>AR24+AR29+AR41+AR42+AR45+AR67+AR33</f>
        <v>55953690.5</v>
      </c>
      <c r="AS23" s="161">
        <f>AS24+AS29+AS41+AS42+AS45+AS67+AS33</f>
        <v>71106480.590000004</v>
      </c>
      <c r="AT23" s="335">
        <f>AS23-AR23</f>
        <v>15152790.090000004</v>
      </c>
      <c r="AU23" s="539">
        <f>AU24+AU29+AU36+AU41+AU42+AU67+AU45</f>
        <v>0</v>
      </c>
      <c r="AV23" s="161">
        <f>AV24+AV29+AV41+AV42+AV45+AV67+AV33</f>
        <v>12271797.430000002</v>
      </c>
      <c r="AW23" s="161">
        <f>AW24+AW29+AW41+AW42+AW45+AW67+AW33</f>
        <v>12271797.430000002</v>
      </c>
      <c r="AX23" s="335">
        <f>AW23-AV23</f>
        <v>0</v>
      </c>
      <c r="AZ23" s="969">
        <v>315793818.93169999</v>
      </c>
      <c r="BA23" s="135">
        <f>AZ23-AP23</f>
        <v>-466447.06330001354</v>
      </c>
      <c r="BG23" s="334">
        <f>BG24+BG29+BG41+BG42+BG45+BG67+BG33</f>
        <v>0</v>
      </c>
      <c r="BH23" s="539">
        <f>BH24+BH29+BH41+BH42+BH45+BH67+BH33</f>
        <v>15071900</v>
      </c>
      <c r="BI23" s="334">
        <f t="shared" ref="BI23:BJ23" si="13">BI24+BI29+BI41+BI42+BI45+BI67+BI33</f>
        <v>69438047.340000004</v>
      </c>
      <c r="BJ23" s="539">
        <f t="shared" si="13"/>
        <v>-60275525.819999993</v>
      </c>
      <c r="BM23" s="628">
        <f>AL23</f>
        <v>399638544.01499999</v>
      </c>
      <c r="BN23" s="628">
        <f t="shared" ref="BN23:BN74" si="14">BQ23+BS23</f>
        <v>331661665.28999996</v>
      </c>
      <c r="BO23" s="535">
        <f>BM23-BN23</f>
        <v>67976878.725000024</v>
      </c>
      <c r="BP23" s="334">
        <f>BP24+BP29+BP41+BP42+BP45+BP67+BP33</f>
        <v>339463394.52500004</v>
      </c>
      <c r="BQ23" s="334">
        <f>BQ24+BQ29+BQ41+BQ42+BQ45+BQ67+BQ33</f>
        <v>262223617.94999999</v>
      </c>
      <c r="BR23" s="539">
        <f>BR24+BR29+BR41+BR42+BR45+BR67+BR33</f>
        <v>69189438.135000005</v>
      </c>
      <c r="BS23" s="334">
        <f t="shared" ref="BS23:BT23" si="15">BS24+BS29+BS41+BS42+BS45+BS67+BS33</f>
        <v>69438047.340000004</v>
      </c>
      <c r="BT23" s="539">
        <f t="shared" si="15"/>
        <v>-13484356.840000002</v>
      </c>
    </row>
    <row r="24" spans="1:72" s="115" customFormat="1" ht="18.75" customHeight="1" x14ac:dyDescent="0.3">
      <c r="A24" s="435" t="s">
        <v>161</v>
      </c>
      <c r="B24" s="1215">
        <v>210</v>
      </c>
      <c r="C24" s="436">
        <v>110</v>
      </c>
      <c r="D24" s="430">
        <f>D26+D27+D28</f>
        <v>397349570.79999995</v>
      </c>
      <c r="E24" s="59">
        <f>H24+R24+AM24+AK24</f>
        <v>424149150.21000004</v>
      </c>
      <c r="F24" s="410">
        <f t="shared" si="1"/>
        <v>26799579.410000086</v>
      </c>
      <c r="G24" s="293">
        <f>G26+G27+G28</f>
        <v>187885462.61000001</v>
      </c>
      <c r="H24" s="157">
        <f>H26+H27+H28</f>
        <v>187885462.61000001</v>
      </c>
      <c r="I24" s="667">
        <f>H24-G24</f>
        <v>0</v>
      </c>
      <c r="J24" s="882">
        <f>J26+J27+J28</f>
        <v>121550240.5065745</v>
      </c>
      <c r="K24" s="157">
        <f>K26+K27+K28</f>
        <v>40250801.520000003</v>
      </c>
      <c r="L24" s="157">
        <f>L26+L27+L28</f>
        <v>48365622.103425518</v>
      </c>
      <c r="M24" s="294">
        <f>L24-K24</f>
        <v>8114820.5834255144</v>
      </c>
      <c r="N24" s="283">
        <f>N26+N27+N28</f>
        <v>26084420.580000002</v>
      </c>
      <c r="O24" s="283">
        <f>O26+O27+O28</f>
        <v>17969600</v>
      </c>
      <c r="P24" s="365">
        <f>O24-N24</f>
        <v>-8114820.5800000019</v>
      </c>
      <c r="Q24" s="276">
        <f>Q26+Q27+Q28</f>
        <v>24940779.410000004</v>
      </c>
      <c r="R24" s="307">
        <f>R26+R27+R28</f>
        <v>24940779.41</v>
      </c>
      <c r="S24" s="372">
        <f>R24-Q24</f>
        <v>0</v>
      </c>
      <c r="T24" s="525">
        <f>T26+T27</f>
        <v>0</v>
      </c>
      <c r="U24" s="307">
        <v>0</v>
      </c>
      <c r="V24" s="153">
        <f>V26+V27+V28</f>
        <v>0</v>
      </c>
      <c r="W24" s="357">
        <f t="shared" si="2"/>
        <v>0</v>
      </c>
      <c r="X24" s="379">
        <f>X26+X27+X28</f>
        <v>9868879.4100000001</v>
      </c>
      <c r="Y24" s="153">
        <f>Y26+Y27+Y28</f>
        <v>9868879.4100000001</v>
      </c>
      <c r="Z24" s="357">
        <f>Z26+Z27+Z28</f>
        <v>0</v>
      </c>
      <c r="AA24" s="307">
        <v>0</v>
      </c>
      <c r="AB24" s="153">
        <f>AB26+AB27</f>
        <v>0</v>
      </c>
      <c r="AC24" s="357">
        <f>AB24-AA24</f>
        <v>0</v>
      </c>
      <c r="AD24" s="153">
        <v>15071900</v>
      </c>
      <c r="AE24" s="153">
        <f>AE26+AE27</f>
        <v>15071900</v>
      </c>
      <c r="AF24" s="357">
        <f>AE24-AD24</f>
        <v>0</v>
      </c>
      <c r="AG24" s="153">
        <v>0</v>
      </c>
      <c r="AH24" s="153">
        <f>AH26+AH27</f>
        <v>0</v>
      </c>
      <c r="AI24" s="357">
        <f>AH24-AG24</f>
        <v>0</v>
      </c>
      <c r="AJ24" s="422">
        <f>AJ26+AJ27+AJ28</f>
        <v>0</v>
      </c>
      <c r="AK24" s="396">
        <f>AK26+AK27+AK28</f>
        <v>1858800</v>
      </c>
      <c r="AL24" s="334">
        <v>209464108.19</v>
      </c>
      <c r="AM24" s="161">
        <f>AP24+AS24+AW24</f>
        <v>209464108.19000003</v>
      </c>
      <c r="AN24" s="1013">
        <f t="shared" si="5"/>
        <v>0</v>
      </c>
      <c r="AO24" s="334">
        <f>AO26+AO27+AO28</f>
        <v>170310396.47</v>
      </c>
      <c r="AP24" s="161">
        <f>AP26+AP27+AP28</f>
        <v>161117518.49000001</v>
      </c>
      <c r="AQ24" s="406">
        <f>AP24-AO24</f>
        <v>-9192877.9799999893</v>
      </c>
      <c r="AR24" s="161">
        <f>AR26+AR27+AR28</f>
        <v>32053015.510000002</v>
      </c>
      <c r="AS24" s="161">
        <f>AS26+AS27+AS28</f>
        <v>41245893.489999995</v>
      </c>
      <c r="AT24" s="335">
        <f>AS24-AR24</f>
        <v>9192877.979999993</v>
      </c>
      <c r="AU24" s="539">
        <f>AU26+AU27+AU28</f>
        <v>0</v>
      </c>
      <c r="AV24" s="161">
        <f>AV26+AV27+AV28</f>
        <v>7100696.21</v>
      </c>
      <c r="AW24" s="161">
        <f>AW26+AW27+AW28</f>
        <v>7100696.21</v>
      </c>
      <c r="AX24" s="335">
        <f>AW24-AV24</f>
        <v>0</v>
      </c>
      <c r="BG24" s="334">
        <f>BG26+BG27+BG28</f>
        <v>0</v>
      </c>
      <c r="BH24" s="539">
        <f>BH26+BH27+BH28</f>
        <v>15071900</v>
      </c>
      <c r="BI24" s="334">
        <f t="shared" ref="BI24:BJ24" si="16">BI26+BI27+BI28</f>
        <v>43280242.210000001</v>
      </c>
      <c r="BJ24" s="539">
        <f t="shared" si="16"/>
        <v>-43280242.210000001</v>
      </c>
      <c r="BM24" s="628">
        <f>AL24</f>
        <v>209464108.19</v>
      </c>
      <c r="BN24" s="628">
        <f t="shared" si="14"/>
        <v>198794090.73000002</v>
      </c>
      <c r="BO24" s="535">
        <f t="shared" ref="BO24:BO74" si="17">BM24-BN24</f>
        <v>10670017.459999979</v>
      </c>
      <c r="BP24" s="334">
        <f>BP26+BP27+BP28</f>
        <v>207156438.47000003</v>
      </c>
      <c r="BQ24" s="334">
        <f>BQ26+BQ27+BQ28</f>
        <v>155513848.52000001</v>
      </c>
      <c r="BR24" s="539">
        <f>BR26+BR27+BR28</f>
        <v>14796547.949999996</v>
      </c>
      <c r="BS24" s="334">
        <f t="shared" ref="BS24:BT24" si="18">BS26+BS27+BS28</f>
        <v>43280242.210000001</v>
      </c>
      <c r="BT24" s="539">
        <f t="shared" si="18"/>
        <v>-11227226.700000003</v>
      </c>
    </row>
    <row r="25" spans="1:72" x14ac:dyDescent="0.3">
      <c r="A25" s="437" t="s">
        <v>92</v>
      </c>
      <c r="B25" s="133"/>
      <c r="C25" s="438"/>
      <c r="D25" s="431"/>
      <c r="E25" s="59">
        <f>H25+R25+AL25+AK25</f>
        <v>0</v>
      </c>
      <c r="F25" s="410">
        <f t="shared" si="1"/>
        <v>0</v>
      </c>
      <c r="G25" s="285"/>
      <c r="H25" s="158"/>
      <c r="I25" s="667">
        <f t="shared" ref="I25:I75" si="19">H25-G25</f>
        <v>0</v>
      </c>
      <c r="J25" s="881"/>
      <c r="K25" s="285"/>
      <c r="L25" s="158"/>
      <c r="M25" s="298"/>
      <c r="N25" s="297"/>
      <c r="O25" s="285"/>
      <c r="P25" s="367"/>
      <c r="Q25" s="279"/>
      <c r="R25" s="310"/>
      <c r="S25" s="375"/>
      <c r="T25" s="528"/>
      <c r="U25" s="310"/>
      <c r="V25" s="63"/>
      <c r="W25" s="357">
        <f t="shared" si="2"/>
        <v>0</v>
      </c>
      <c r="X25" s="382"/>
      <c r="Y25" s="153">
        <f>X25-W25</f>
        <v>0</v>
      </c>
      <c r="Z25" s="357">
        <f>X25-W25</f>
        <v>0</v>
      </c>
      <c r="AA25" s="310"/>
      <c r="AB25" s="63"/>
      <c r="AC25" s="360"/>
      <c r="AD25" s="279"/>
      <c r="AE25" s="63"/>
      <c r="AF25" s="360"/>
      <c r="AG25" s="279"/>
      <c r="AH25" s="63"/>
      <c r="AI25" s="360"/>
      <c r="AJ25" s="425"/>
      <c r="AK25" s="395"/>
      <c r="AL25" s="334">
        <v>0</v>
      </c>
      <c r="AM25" s="161">
        <f t="shared" ref="AM25:AM73" si="20">AP25+AS25+AW25</f>
        <v>0</v>
      </c>
      <c r="AN25" s="1013">
        <f t="shared" si="5"/>
        <v>0</v>
      </c>
      <c r="AO25" s="338"/>
      <c r="AP25" s="162"/>
      <c r="AQ25" s="1019"/>
      <c r="AR25" s="324"/>
      <c r="AS25" s="162"/>
      <c r="AT25" s="339"/>
      <c r="AU25" s="540"/>
      <c r="AV25" s="324"/>
      <c r="AW25" s="162"/>
      <c r="AX25" s="339"/>
      <c r="BG25" s="617"/>
      <c r="BH25" s="614"/>
      <c r="BI25" s="625"/>
      <c r="BJ25" s="614"/>
      <c r="BM25" s="628">
        <f t="shared" ref="BM25:BM76" si="21">AL25</f>
        <v>0</v>
      </c>
      <c r="BN25" s="628">
        <f t="shared" si="14"/>
        <v>0</v>
      </c>
      <c r="BO25" s="535">
        <f t="shared" si="17"/>
        <v>0</v>
      </c>
      <c r="BP25" s="533"/>
      <c r="BQ25" s="617"/>
      <c r="BR25" s="614"/>
      <c r="BS25" s="625"/>
      <c r="BT25" s="614"/>
    </row>
    <row r="26" spans="1:72" ht="18.75" customHeight="1" x14ac:dyDescent="0.3">
      <c r="A26" s="437" t="s">
        <v>162</v>
      </c>
      <c r="B26" s="1385">
        <v>211</v>
      </c>
      <c r="C26" s="1217">
        <v>111</v>
      </c>
      <c r="D26" s="431">
        <v>303725698.51999998</v>
      </c>
      <c r="E26" s="64">
        <f>H26+R26+AM26+AK26</f>
        <v>324309100.47144389</v>
      </c>
      <c r="F26" s="1072">
        <f t="shared" si="1"/>
        <v>20583401.951443911</v>
      </c>
      <c r="G26" s="285">
        <v>143436558.53</v>
      </c>
      <c r="H26" s="158">
        <v>143436558.53</v>
      </c>
      <c r="I26" s="1071">
        <f t="shared" si="19"/>
        <v>0</v>
      </c>
      <c r="J26" s="881">
        <f>'расчет норматив'!AB10+'ПФХД 2019 с разб 9 мес'!L100</f>
        <v>93378135.336574495</v>
      </c>
      <c r="K26" s="285">
        <v>30201086.870000001</v>
      </c>
      <c r="L26" s="158">
        <f>G26-J26-O26</f>
        <v>36258423.193425506</v>
      </c>
      <c r="M26" s="298">
        <f>L26-K26</f>
        <v>6057336.3234255053</v>
      </c>
      <c r="N26" s="285">
        <v>19857336.32</v>
      </c>
      <c r="O26" s="285">
        <v>13800000</v>
      </c>
      <c r="P26" s="367">
        <f>O26-N26</f>
        <v>-6057336.3200000003</v>
      </c>
      <c r="Q26" s="279">
        <f>19155752.18+0.0014439+0.00000003353</f>
        <v>19155752.181443933</v>
      </c>
      <c r="R26" s="310">
        <f>T26+V26+Y26+AB26+AE26+AH26</f>
        <v>19155752.181443933</v>
      </c>
      <c r="S26" s="1075">
        <f>R26-Q26</f>
        <v>0</v>
      </c>
      <c r="T26" s="528"/>
      <c r="U26" s="310"/>
      <c r="V26" s="63"/>
      <c r="W26" s="357">
        <f t="shared" si="2"/>
        <v>0</v>
      </c>
      <c r="X26" s="382">
        <v>7579792.1200000001</v>
      </c>
      <c r="Y26" s="63">
        <v>7579792.1200000001</v>
      </c>
      <c r="Z26" s="360"/>
      <c r="AA26" s="310"/>
      <c r="AB26" s="63"/>
      <c r="AC26" s="360">
        <f>AB26-AA26</f>
        <v>0</v>
      </c>
      <c r="AD26" s="63">
        <v>11575960.061443932</v>
      </c>
      <c r="AE26" s="63">
        <f>15071900/1.302</f>
        <v>11575960.061443932</v>
      </c>
      <c r="AF26" s="360">
        <f>AE26-AD26</f>
        <v>0</v>
      </c>
      <c r="AG26" s="279"/>
      <c r="AH26" s="63"/>
      <c r="AI26" s="360">
        <f>AH26-AG26</f>
        <v>0</v>
      </c>
      <c r="AJ26" s="425"/>
      <c r="AK26" s="395">
        <v>1427649.77</v>
      </c>
      <c r="AL26" s="334">
        <v>160289139.99000001</v>
      </c>
      <c r="AM26" s="161">
        <f t="shared" si="20"/>
        <v>160289139.99000001</v>
      </c>
      <c r="AN26" s="1013">
        <f t="shared" si="5"/>
        <v>0</v>
      </c>
      <c r="AO26" s="338">
        <v>130433900.66</v>
      </c>
      <c r="AP26" s="162">
        <f t="shared" ref="AP26:AP29" si="22">AL26-AS26-AW26</f>
        <v>123511925.69000001</v>
      </c>
      <c r="AQ26" s="1019">
        <f>AP26-AO26</f>
        <v>-6921974.9699999839</v>
      </c>
      <c r="AR26" s="324">
        <v>24449679.02</v>
      </c>
      <c r="AS26" s="162">
        <v>31371653.989999998</v>
      </c>
      <c r="AT26" s="339">
        <f>AS26-AR26</f>
        <v>6921974.9699999988</v>
      </c>
      <c r="AU26" s="540"/>
      <c r="AV26" s="324">
        <v>5405560.3099999996</v>
      </c>
      <c r="AW26" s="162">
        <v>5405560.3099999996</v>
      </c>
      <c r="AX26" s="339">
        <f>AW26-AV26</f>
        <v>0</v>
      </c>
      <c r="BG26" s="617"/>
      <c r="BH26" s="621">
        <f>AE26-BG26</f>
        <v>11575960.061443932</v>
      </c>
      <c r="BI26" s="617">
        <v>33573582.210000001</v>
      </c>
      <c r="BJ26" s="621">
        <f>AH26-BI26</f>
        <v>-33573582.210000001</v>
      </c>
      <c r="BM26" s="629">
        <f t="shared" si="21"/>
        <v>160289139.99000001</v>
      </c>
      <c r="BN26" s="629">
        <f t="shared" si="14"/>
        <v>151333957.74000001</v>
      </c>
      <c r="BO26" s="533">
        <f t="shared" si="17"/>
        <v>8955182.25</v>
      </c>
      <c r="BP26" s="533">
        <f>BM26</f>
        <v>160289139.99000001</v>
      </c>
      <c r="BQ26" s="617">
        <v>117760375.53</v>
      </c>
      <c r="BR26" s="621">
        <f>AO26-BQ26</f>
        <v>12673525.129999995</v>
      </c>
      <c r="BS26" s="617">
        <v>33573582.210000001</v>
      </c>
      <c r="BT26" s="621">
        <f>AR26-BS26</f>
        <v>-9123903.1900000013</v>
      </c>
    </row>
    <row r="27" spans="1:72" ht="18.75" customHeight="1" x14ac:dyDescent="0.3">
      <c r="A27" s="437" t="s">
        <v>163</v>
      </c>
      <c r="B27" s="1385"/>
      <c r="C27" s="1217">
        <v>119</v>
      </c>
      <c r="D27" s="431">
        <v>92331556.010000005</v>
      </c>
      <c r="E27" s="64">
        <f>H27+R27+AM27+AK27</f>
        <v>98547733.468556076</v>
      </c>
      <c r="F27" s="1073">
        <f t="shared" si="1"/>
        <v>6216177.4585560709</v>
      </c>
      <c r="G27" s="285">
        <v>43924235.740000002</v>
      </c>
      <c r="H27" s="158">
        <v>43924235.740000002</v>
      </c>
      <c r="I27" s="669">
        <f t="shared" si="19"/>
        <v>0</v>
      </c>
      <c r="J27" s="881">
        <f>'расчет норматив'!AB11+'ПФХД 2019 с разб 9 мес'!M101</f>
        <v>28172105.169999998</v>
      </c>
      <c r="K27" s="285">
        <v>9701799.1500000004</v>
      </c>
      <c r="L27" s="158">
        <f t="shared" ref="L27:L28" si="23">G27-J27-O27</f>
        <v>11584530.570000004</v>
      </c>
      <c r="M27" s="298">
        <f>L27-K27</f>
        <v>1882731.4200000037</v>
      </c>
      <c r="N27" s="285">
        <v>6050331.4199999999</v>
      </c>
      <c r="O27" s="285">
        <v>4167600</v>
      </c>
      <c r="P27" s="367">
        <f>O27-N27</f>
        <v>-1882731.42</v>
      </c>
      <c r="Q27" s="279">
        <f>5785027.23-0.00144393</f>
        <v>5785027.2285560705</v>
      </c>
      <c r="R27" s="310">
        <f>T27+V27+Y27+AB27+AE27+AH27</f>
        <v>5785027.2285560677</v>
      </c>
      <c r="S27" s="1074">
        <f>R27-Q27</f>
        <v>0</v>
      </c>
      <c r="T27" s="528"/>
      <c r="U27" s="310"/>
      <c r="V27" s="63"/>
      <c r="W27" s="357">
        <f t="shared" si="2"/>
        <v>0</v>
      </c>
      <c r="X27" s="382">
        <v>2289087.29</v>
      </c>
      <c r="Y27" s="63">
        <v>2289087.29</v>
      </c>
      <c r="Z27" s="360"/>
      <c r="AA27" s="310"/>
      <c r="AB27" s="63"/>
      <c r="AC27" s="360">
        <f>AB27-AA27</f>
        <v>0</v>
      </c>
      <c r="AD27" s="63">
        <v>3495939.9385560676</v>
      </c>
      <c r="AE27" s="63">
        <f>15071900-AE26</f>
        <v>3495939.9385560676</v>
      </c>
      <c r="AF27" s="360">
        <f>AE27-AD27</f>
        <v>0</v>
      </c>
      <c r="AG27" s="279"/>
      <c r="AH27" s="63"/>
      <c r="AI27" s="360">
        <f>AH27-AG27</f>
        <v>0</v>
      </c>
      <c r="AJ27" s="425"/>
      <c r="AK27" s="395">
        <v>431150.23</v>
      </c>
      <c r="AL27" s="334">
        <v>48407320.270000003</v>
      </c>
      <c r="AM27" s="161">
        <f t="shared" si="20"/>
        <v>48407320.270000003</v>
      </c>
      <c r="AN27" s="1013">
        <f t="shared" si="5"/>
        <v>0</v>
      </c>
      <c r="AO27" s="338">
        <v>39376495.810000002</v>
      </c>
      <c r="AP27" s="162">
        <f t="shared" si="22"/>
        <v>37286060.5</v>
      </c>
      <c r="AQ27" s="1019">
        <f>AP27-AO27</f>
        <v>-2090435.3100000024</v>
      </c>
      <c r="AR27" s="324">
        <v>7383804.1900000004</v>
      </c>
      <c r="AS27" s="162">
        <v>9474239.5</v>
      </c>
      <c r="AT27" s="339">
        <f>AS27-AR27</f>
        <v>2090435.3099999996</v>
      </c>
      <c r="AU27" s="540"/>
      <c r="AV27" s="324">
        <v>1647020.27</v>
      </c>
      <c r="AW27" s="162">
        <v>1647020.27</v>
      </c>
      <c r="AX27" s="339">
        <f>AW27-AV27</f>
        <v>0</v>
      </c>
      <c r="BG27" s="617"/>
      <c r="BH27" s="621">
        <f>AE27-BG27</f>
        <v>3495939.9385560676</v>
      </c>
      <c r="BI27" s="617">
        <v>9464700.4900000002</v>
      </c>
      <c r="BJ27" s="621">
        <f t="shared" ref="BJ27:BJ28" si="24">AH27-BI27</f>
        <v>-9464700.4900000002</v>
      </c>
      <c r="BM27" s="629">
        <f t="shared" si="21"/>
        <v>48407320.270000003</v>
      </c>
      <c r="BN27" s="629">
        <f t="shared" si="14"/>
        <v>46099650.550000004</v>
      </c>
      <c r="BO27" s="533">
        <f t="shared" si="17"/>
        <v>2307669.7199999988</v>
      </c>
      <c r="BP27" s="533">
        <f>BN27</f>
        <v>46099650.550000004</v>
      </c>
      <c r="BQ27" s="617">
        <f>36338408.06+96542+200000</f>
        <v>36634950.060000002</v>
      </c>
      <c r="BR27" s="621">
        <f>AO27-BQ27</f>
        <v>2741545.75</v>
      </c>
      <c r="BS27" s="617">
        <v>9464700.4900000002</v>
      </c>
      <c r="BT27" s="621">
        <f t="shared" ref="BT27:BT28" si="25">AR27-BS27</f>
        <v>-2080896.2999999998</v>
      </c>
    </row>
    <row r="28" spans="1:72" ht="39.75" customHeight="1" x14ac:dyDescent="0.3">
      <c r="A28" s="437" t="s">
        <v>164</v>
      </c>
      <c r="B28" s="1385"/>
      <c r="C28" s="1217">
        <v>112</v>
      </c>
      <c r="D28" s="431">
        <v>1292316.27</v>
      </c>
      <c r="E28" s="64">
        <f>H28+R28+AM28+AK28</f>
        <v>1292316.27</v>
      </c>
      <c r="F28" s="410">
        <f t="shared" si="1"/>
        <v>0</v>
      </c>
      <c r="G28" s="285">
        <v>524668.34</v>
      </c>
      <c r="H28" s="158">
        <f>J28+L28+O28</f>
        <v>524668.34</v>
      </c>
      <c r="I28" s="669">
        <f t="shared" si="19"/>
        <v>0</v>
      </c>
      <c r="J28" s="881"/>
      <c r="K28" s="285">
        <v>347915.5</v>
      </c>
      <c r="L28" s="158">
        <f t="shared" si="23"/>
        <v>522668.33999999997</v>
      </c>
      <c r="M28" s="298">
        <f>L28-K28</f>
        <v>174752.83999999997</v>
      </c>
      <c r="N28" s="285">
        <v>176752.84</v>
      </c>
      <c r="O28" s="285">
        <v>2000</v>
      </c>
      <c r="P28" s="367">
        <f>O28-N28</f>
        <v>-174752.84</v>
      </c>
      <c r="Q28" s="279"/>
      <c r="R28" s="310"/>
      <c r="S28" s="375"/>
      <c r="T28" s="528"/>
      <c r="U28" s="310"/>
      <c r="V28" s="63"/>
      <c r="W28" s="357"/>
      <c r="X28" s="382"/>
      <c r="Y28" s="153"/>
      <c r="Z28" s="357"/>
      <c r="AA28" s="310"/>
      <c r="AB28" s="63"/>
      <c r="AC28" s="360"/>
      <c r="AD28" s="279"/>
      <c r="AE28" s="63"/>
      <c r="AF28" s="360"/>
      <c r="AG28" s="279"/>
      <c r="AH28" s="63"/>
      <c r="AI28" s="360"/>
      <c r="AJ28" s="425"/>
      <c r="AK28" s="395"/>
      <c r="AL28" s="334">
        <v>767647.93</v>
      </c>
      <c r="AM28" s="161">
        <f t="shared" si="20"/>
        <v>767647.93</v>
      </c>
      <c r="AN28" s="1013">
        <f t="shared" si="5"/>
        <v>0</v>
      </c>
      <c r="AO28" s="338">
        <v>500000</v>
      </c>
      <c r="AP28" s="162">
        <f t="shared" si="22"/>
        <v>319532.30000000005</v>
      </c>
      <c r="AQ28" s="1019">
        <f>AP28-AO28</f>
        <v>-180467.69999999995</v>
      </c>
      <c r="AR28" s="324">
        <v>219532.3</v>
      </c>
      <c r="AS28" s="162">
        <v>400000</v>
      </c>
      <c r="AT28" s="339">
        <f>AS28-AR28</f>
        <v>180467.7</v>
      </c>
      <c r="AU28" s="540"/>
      <c r="AV28" s="324">
        <v>48115.63</v>
      </c>
      <c r="AW28" s="162">
        <v>48115.63</v>
      </c>
      <c r="AX28" s="339">
        <f>AW28-AV28</f>
        <v>0</v>
      </c>
      <c r="BG28" s="617"/>
      <c r="BH28" s="621">
        <f>AE28-BG28</f>
        <v>0</v>
      </c>
      <c r="BI28" s="617">
        <v>241959.51</v>
      </c>
      <c r="BJ28" s="621">
        <f t="shared" si="24"/>
        <v>-241959.51</v>
      </c>
      <c r="BM28" s="629">
        <f t="shared" si="21"/>
        <v>767647.93</v>
      </c>
      <c r="BN28" s="629">
        <f t="shared" si="14"/>
        <v>1360482.44</v>
      </c>
      <c r="BO28" s="533">
        <f t="shared" si="17"/>
        <v>-592834.50999999989</v>
      </c>
      <c r="BP28" s="533">
        <f>BM28</f>
        <v>767647.93</v>
      </c>
      <c r="BQ28" s="617">
        <v>1118522.93</v>
      </c>
      <c r="BR28" s="621">
        <f>AO28-BQ28</f>
        <v>-618522.92999999993</v>
      </c>
      <c r="BS28" s="617">
        <v>241959.51</v>
      </c>
      <c r="BT28" s="621">
        <f t="shared" si="25"/>
        <v>-22427.210000000021</v>
      </c>
    </row>
    <row r="29" spans="1:72" s="115" customFormat="1" ht="31.5" x14ac:dyDescent="0.3">
      <c r="A29" s="435" t="s">
        <v>165</v>
      </c>
      <c r="B29" s="1385">
        <v>220</v>
      </c>
      <c r="C29" s="436">
        <v>300</v>
      </c>
      <c r="D29" s="430">
        <v>0</v>
      </c>
      <c r="E29" s="59">
        <f>H29+R29+AL29+AK29</f>
        <v>0</v>
      </c>
      <c r="F29" s="410">
        <f t="shared" si="1"/>
        <v>0</v>
      </c>
      <c r="G29" s="283">
        <f>G31+G32</f>
        <v>0</v>
      </c>
      <c r="H29" s="157"/>
      <c r="I29" s="669">
        <f t="shared" si="19"/>
        <v>0</v>
      </c>
      <c r="J29" s="882"/>
      <c r="K29" s="283"/>
      <c r="L29" s="157"/>
      <c r="M29" s="294"/>
      <c r="N29" s="293"/>
      <c r="O29" s="283"/>
      <c r="P29" s="365"/>
      <c r="Q29" s="276"/>
      <c r="R29" s="307"/>
      <c r="S29" s="372"/>
      <c r="T29" s="525"/>
      <c r="U29" s="307">
        <v>0</v>
      </c>
      <c r="V29" s="153">
        <v>0</v>
      </c>
      <c r="W29" s="357">
        <f t="shared" si="2"/>
        <v>0</v>
      </c>
      <c r="X29" s="379">
        <v>0</v>
      </c>
      <c r="Y29" s="153">
        <f>X29-W29</f>
        <v>0</v>
      </c>
      <c r="Z29" s="357">
        <f>X29-W29</f>
        <v>0</v>
      </c>
      <c r="AA29" s="307"/>
      <c r="AB29" s="153"/>
      <c r="AC29" s="357"/>
      <c r="AD29" s="276"/>
      <c r="AE29" s="153"/>
      <c r="AF29" s="357"/>
      <c r="AG29" s="276"/>
      <c r="AH29" s="153"/>
      <c r="AI29" s="357"/>
      <c r="AJ29" s="422">
        <f>AJ31+AJ32</f>
        <v>0</v>
      </c>
      <c r="AK29" s="396">
        <v>0</v>
      </c>
      <c r="AL29" s="334">
        <v>0</v>
      </c>
      <c r="AM29" s="161">
        <f t="shared" si="20"/>
        <v>0</v>
      </c>
      <c r="AN29" s="1013">
        <f t="shared" si="5"/>
        <v>0</v>
      </c>
      <c r="AO29" s="334"/>
      <c r="AP29" s="162">
        <f t="shared" si="22"/>
        <v>0</v>
      </c>
      <c r="AQ29" s="406"/>
      <c r="AR29" s="323"/>
      <c r="AS29" s="161"/>
      <c r="AT29" s="335"/>
      <c r="AU29" s="539">
        <f>AU31+AU32</f>
        <v>0</v>
      </c>
      <c r="AV29" s="323"/>
      <c r="AW29" s="161"/>
      <c r="AX29" s="335"/>
      <c r="BG29" s="617"/>
      <c r="BH29" s="621">
        <f>AF29-BG29</f>
        <v>0</v>
      </c>
      <c r="BI29" s="617"/>
      <c r="BJ29" s="621"/>
      <c r="BM29" s="628">
        <f t="shared" si="21"/>
        <v>0</v>
      </c>
      <c r="BN29" s="628">
        <f t="shared" si="14"/>
        <v>0</v>
      </c>
      <c r="BO29" s="535">
        <f t="shared" si="17"/>
        <v>0</v>
      </c>
      <c r="BP29" s="533"/>
      <c r="BQ29" s="617"/>
      <c r="BR29" s="621">
        <f>AP29-BQ29</f>
        <v>0</v>
      </c>
      <c r="BS29" s="617"/>
      <c r="BT29" s="621"/>
    </row>
    <row r="30" spans="1:72" x14ac:dyDescent="0.3">
      <c r="A30" s="437" t="s">
        <v>92</v>
      </c>
      <c r="B30" s="1385"/>
      <c r="C30" s="438"/>
      <c r="D30" s="431"/>
      <c r="E30" s="59">
        <f>H30+R30+AL30+AK30</f>
        <v>0</v>
      </c>
      <c r="F30" s="410">
        <f t="shared" si="1"/>
        <v>0</v>
      </c>
      <c r="G30" s="285"/>
      <c r="H30" s="158"/>
      <c r="I30" s="669">
        <f t="shared" si="19"/>
        <v>0</v>
      </c>
      <c r="J30" s="881"/>
      <c r="K30" s="285"/>
      <c r="L30" s="158"/>
      <c r="M30" s="298"/>
      <c r="N30" s="297"/>
      <c r="O30" s="285"/>
      <c r="P30" s="367"/>
      <c r="Q30" s="279"/>
      <c r="R30" s="310"/>
      <c r="S30" s="375"/>
      <c r="T30" s="528"/>
      <c r="U30" s="310"/>
      <c r="V30" s="63"/>
      <c r="W30" s="357">
        <f t="shared" si="2"/>
        <v>0</v>
      </c>
      <c r="X30" s="382"/>
      <c r="Y30" s="153">
        <f>X30-W30</f>
        <v>0</v>
      </c>
      <c r="Z30" s="357">
        <f>X30-W30</f>
        <v>0</v>
      </c>
      <c r="AA30" s="310"/>
      <c r="AB30" s="63"/>
      <c r="AC30" s="360"/>
      <c r="AD30" s="279"/>
      <c r="AE30" s="63"/>
      <c r="AF30" s="360"/>
      <c r="AG30" s="279"/>
      <c r="AH30" s="63"/>
      <c r="AI30" s="360"/>
      <c r="AJ30" s="425"/>
      <c r="AK30" s="395"/>
      <c r="AL30" s="334">
        <v>0</v>
      </c>
      <c r="AM30" s="161">
        <f t="shared" si="20"/>
        <v>0</v>
      </c>
      <c r="AN30" s="1013">
        <f t="shared" si="5"/>
        <v>0</v>
      </c>
      <c r="AO30" s="338"/>
      <c r="AP30" s="162"/>
      <c r="AQ30" s="1019"/>
      <c r="AR30" s="324"/>
      <c r="AS30" s="162"/>
      <c r="AT30" s="339"/>
      <c r="AU30" s="540"/>
      <c r="AV30" s="324"/>
      <c r="AW30" s="162"/>
      <c r="AX30" s="339"/>
      <c r="BG30" s="617"/>
      <c r="BH30" s="621">
        <f>AF30-BG30</f>
        <v>0</v>
      </c>
      <c r="BI30" s="617"/>
      <c r="BJ30" s="621"/>
      <c r="BM30" s="628">
        <f t="shared" si="21"/>
        <v>0</v>
      </c>
      <c r="BN30" s="628">
        <f t="shared" si="14"/>
        <v>0</v>
      </c>
      <c r="BO30" s="535">
        <f t="shared" si="17"/>
        <v>0</v>
      </c>
      <c r="BP30" s="533"/>
      <c r="BQ30" s="617"/>
      <c r="BR30" s="621">
        <f>AP30-BQ30</f>
        <v>0</v>
      </c>
      <c r="BS30" s="617"/>
      <c r="BT30" s="621"/>
    </row>
    <row r="31" spans="1:72" x14ac:dyDescent="0.3">
      <c r="A31" s="1446" t="s">
        <v>166</v>
      </c>
      <c r="B31" s="1385"/>
      <c r="C31" s="1217">
        <v>321</v>
      </c>
      <c r="D31" s="431"/>
      <c r="E31" s="59">
        <f>H31+R31+AL31+AK31</f>
        <v>0</v>
      </c>
      <c r="F31" s="410">
        <f t="shared" si="1"/>
        <v>0</v>
      </c>
      <c r="G31" s="285"/>
      <c r="H31" s="158"/>
      <c r="I31" s="669">
        <f t="shared" si="19"/>
        <v>0</v>
      </c>
      <c r="J31" s="881"/>
      <c r="K31" s="285"/>
      <c r="L31" s="158"/>
      <c r="M31" s="298"/>
      <c r="N31" s="297"/>
      <c r="O31" s="285"/>
      <c r="P31" s="367"/>
      <c r="Q31" s="279"/>
      <c r="R31" s="310"/>
      <c r="S31" s="375"/>
      <c r="T31" s="528"/>
      <c r="U31" s="310"/>
      <c r="V31" s="63"/>
      <c r="W31" s="357">
        <f t="shared" si="2"/>
        <v>0</v>
      </c>
      <c r="X31" s="382"/>
      <c r="Y31" s="153">
        <f>X31-W31</f>
        <v>0</v>
      </c>
      <c r="Z31" s="357">
        <f>X31-W31</f>
        <v>0</v>
      </c>
      <c r="AA31" s="310"/>
      <c r="AB31" s="63"/>
      <c r="AC31" s="360"/>
      <c r="AD31" s="279"/>
      <c r="AE31" s="63"/>
      <c r="AF31" s="360"/>
      <c r="AG31" s="279"/>
      <c r="AH31" s="63"/>
      <c r="AI31" s="360"/>
      <c r="AJ31" s="425"/>
      <c r="AK31" s="395"/>
      <c r="AL31" s="334">
        <v>0</v>
      </c>
      <c r="AM31" s="161">
        <f t="shared" si="20"/>
        <v>0</v>
      </c>
      <c r="AN31" s="1013">
        <f t="shared" si="5"/>
        <v>0</v>
      </c>
      <c r="AO31" s="338"/>
      <c r="AP31" s="162"/>
      <c r="AQ31" s="1019"/>
      <c r="AR31" s="324"/>
      <c r="AS31" s="162"/>
      <c r="AT31" s="339"/>
      <c r="AU31" s="540"/>
      <c r="AV31" s="324"/>
      <c r="AW31" s="162"/>
      <c r="AX31" s="339"/>
      <c r="BG31" s="617"/>
      <c r="BH31" s="621">
        <f>AF31-BG31</f>
        <v>0</v>
      </c>
      <c r="BI31" s="617"/>
      <c r="BJ31" s="621"/>
      <c r="BM31" s="628">
        <f t="shared" si="21"/>
        <v>0</v>
      </c>
      <c r="BN31" s="628">
        <f t="shared" si="14"/>
        <v>0</v>
      </c>
      <c r="BO31" s="535">
        <f t="shared" si="17"/>
        <v>0</v>
      </c>
      <c r="BP31" s="533"/>
      <c r="BQ31" s="617"/>
      <c r="BR31" s="621">
        <f>AP31-BQ31</f>
        <v>0</v>
      </c>
      <c r="BS31" s="617"/>
      <c r="BT31" s="621"/>
    </row>
    <row r="32" spans="1:72" x14ac:dyDescent="0.3">
      <c r="A32" s="1447"/>
      <c r="B32" s="1385"/>
      <c r="C32" s="1217">
        <v>360</v>
      </c>
      <c r="D32" s="431"/>
      <c r="E32" s="59">
        <f>H32+R32+AL32+AK32</f>
        <v>0</v>
      </c>
      <c r="F32" s="410">
        <f t="shared" si="1"/>
        <v>0</v>
      </c>
      <c r="G32" s="285"/>
      <c r="H32" s="158"/>
      <c r="I32" s="669">
        <f t="shared" si="19"/>
        <v>0</v>
      </c>
      <c r="J32" s="881"/>
      <c r="K32" s="285"/>
      <c r="L32" s="158"/>
      <c r="M32" s="298"/>
      <c r="N32" s="297"/>
      <c r="O32" s="285"/>
      <c r="P32" s="367"/>
      <c r="Q32" s="279"/>
      <c r="R32" s="310"/>
      <c r="S32" s="375"/>
      <c r="T32" s="528"/>
      <c r="U32" s="310"/>
      <c r="V32" s="63"/>
      <c r="W32" s="357">
        <f t="shared" si="2"/>
        <v>0</v>
      </c>
      <c r="X32" s="382"/>
      <c r="Y32" s="153">
        <f>X32-W32</f>
        <v>0</v>
      </c>
      <c r="Z32" s="357">
        <f>X32-W32</f>
        <v>0</v>
      </c>
      <c r="AA32" s="310"/>
      <c r="AB32" s="63"/>
      <c r="AC32" s="360"/>
      <c r="AD32" s="279"/>
      <c r="AE32" s="63"/>
      <c r="AF32" s="360"/>
      <c r="AG32" s="279"/>
      <c r="AH32" s="63"/>
      <c r="AI32" s="360"/>
      <c r="AJ32" s="425"/>
      <c r="AK32" s="395"/>
      <c r="AL32" s="334">
        <v>0</v>
      </c>
      <c r="AM32" s="161">
        <f t="shared" si="20"/>
        <v>0</v>
      </c>
      <c r="AN32" s="1013">
        <f t="shared" si="5"/>
        <v>0</v>
      </c>
      <c r="AO32" s="338"/>
      <c r="AP32" s="162"/>
      <c r="AQ32" s="1019"/>
      <c r="AR32" s="324"/>
      <c r="AS32" s="162"/>
      <c r="AT32" s="339"/>
      <c r="AU32" s="540"/>
      <c r="AV32" s="324"/>
      <c r="AW32" s="162"/>
      <c r="AX32" s="339"/>
      <c r="BG32" s="617"/>
      <c r="BH32" s="621">
        <f>AF32-BG32</f>
        <v>0</v>
      </c>
      <c r="BI32" s="617"/>
      <c r="BJ32" s="621"/>
      <c r="BM32" s="628">
        <f t="shared" si="21"/>
        <v>0</v>
      </c>
      <c r="BN32" s="628">
        <f t="shared" si="14"/>
        <v>0</v>
      </c>
      <c r="BO32" s="535">
        <f t="shared" si="17"/>
        <v>0</v>
      </c>
      <c r="BP32" s="533"/>
      <c r="BQ32" s="617"/>
      <c r="BR32" s="621">
        <f>AP32-BQ32</f>
        <v>0</v>
      </c>
      <c r="BS32" s="617"/>
      <c r="BT32" s="621"/>
    </row>
    <row r="33" spans="1:72" s="115" customFormat="1" x14ac:dyDescent="0.3">
      <c r="A33" s="439" t="s">
        <v>167</v>
      </c>
      <c r="B33" s="113"/>
      <c r="C33" s="436">
        <v>800</v>
      </c>
      <c r="D33" s="430">
        <f>D34+D36</f>
        <v>12505888.920000002</v>
      </c>
      <c r="E33" s="59">
        <f>H33+R33+AM33+AK33</f>
        <v>14420120.899999999</v>
      </c>
      <c r="F33" s="410">
        <f t="shared" si="1"/>
        <v>1914231.9799999967</v>
      </c>
      <c r="G33" s="157">
        <v>5201007.6000000006</v>
      </c>
      <c r="H33" s="157">
        <f>H34+H36</f>
        <v>5201007.6000000006</v>
      </c>
      <c r="I33" s="669">
        <f t="shared" si="19"/>
        <v>0</v>
      </c>
      <c r="J33" s="882">
        <f>J34+J36</f>
        <v>0</v>
      </c>
      <c r="K33" s="157">
        <f>K34+K36</f>
        <v>3687692.4899999998</v>
      </c>
      <c r="L33" s="157">
        <f>L34+L36</f>
        <v>4651007.6000000006</v>
      </c>
      <c r="M33" s="294">
        <f>L33-K33</f>
        <v>963315.1100000008</v>
      </c>
      <c r="N33" s="283">
        <f>N34+N36</f>
        <v>1513315.11</v>
      </c>
      <c r="O33" s="283">
        <f>O34+O36</f>
        <v>550000</v>
      </c>
      <c r="P33" s="365">
        <f>O33-N33</f>
        <v>-963315.1100000001</v>
      </c>
      <c r="Q33" s="276">
        <f>Q35+Q36+Q37</f>
        <v>1914231.98</v>
      </c>
      <c r="R33" s="307">
        <f>R35+R36+R37</f>
        <v>1914231.98</v>
      </c>
      <c r="S33" s="372">
        <f>R33-Q33</f>
        <v>0</v>
      </c>
      <c r="T33" s="525">
        <f>T34+T36</f>
        <v>0</v>
      </c>
      <c r="U33" s="307">
        <v>0</v>
      </c>
      <c r="V33" s="153">
        <f t="shared" ref="V33:AK33" si="26">V34+V36</f>
        <v>0</v>
      </c>
      <c r="W33" s="357">
        <f t="shared" si="2"/>
        <v>0</v>
      </c>
      <c r="X33" s="379">
        <f>X34+X36</f>
        <v>1258487.81</v>
      </c>
      <c r="Y33" s="153">
        <f>Y34+Y36</f>
        <v>1258487.81</v>
      </c>
      <c r="Z33" s="357">
        <f>Z34+Z36</f>
        <v>0</v>
      </c>
      <c r="AA33" s="307">
        <v>655744.17000000004</v>
      </c>
      <c r="AB33" s="153">
        <f t="shared" si="26"/>
        <v>655744.17000000004</v>
      </c>
      <c r="AC33" s="357">
        <f>AB33-AA33</f>
        <v>0</v>
      </c>
      <c r="AD33" s="276"/>
      <c r="AE33" s="153"/>
      <c r="AF33" s="357"/>
      <c r="AG33" s="276"/>
      <c r="AH33" s="153"/>
      <c r="AI33" s="357"/>
      <c r="AJ33" s="422">
        <f t="shared" si="26"/>
        <v>0</v>
      </c>
      <c r="AK33" s="396">
        <f t="shared" si="26"/>
        <v>0</v>
      </c>
      <c r="AL33" s="334">
        <v>7304881.3199999994</v>
      </c>
      <c r="AM33" s="161">
        <f t="shared" si="20"/>
        <v>7304881.3199999994</v>
      </c>
      <c r="AN33" s="1013">
        <f t="shared" si="5"/>
        <v>0</v>
      </c>
      <c r="AO33" s="334">
        <f>AO34+AO36</f>
        <v>5729310.8399999999</v>
      </c>
      <c r="AP33" s="161">
        <f>AP34+AP36</f>
        <v>6243055.0099999998</v>
      </c>
      <c r="AQ33" s="406">
        <f>AP33-AO33</f>
        <v>513744.16999999993</v>
      </c>
      <c r="AR33" s="161">
        <f t="shared" ref="AR33:AU33" si="27">AR34+AR36</f>
        <v>1163616.26</v>
      </c>
      <c r="AS33" s="161">
        <f t="shared" si="27"/>
        <v>649872.09000000008</v>
      </c>
      <c r="AT33" s="335">
        <f>AS33-AR33</f>
        <v>-513744.16999999993</v>
      </c>
      <c r="AU33" s="539">
        <f t="shared" si="27"/>
        <v>0</v>
      </c>
      <c r="AV33" s="161">
        <f t="shared" ref="AV33:AW33" si="28">AV34+AV36</f>
        <v>411954.22</v>
      </c>
      <c r="AW33" s="161">
        <f t="shared" si="28"/>
        <v>411954.22</v>
      </c>
      <c r="AX33" s="335">
        <f>AW33-AV33</f>
        <v>0</v>
      </c>
      <c r="BG33" s="334">
        <f>BG34+BG36</f>
        <v>0</v>
      </c>
      <c r="BH33" s="539">
        <f t="shared" ref="BH33:BJ33" si="29">BH34+BH36</f>
        <v>0</v>
      </c>
      <c r="BI33" s="334">
        <f t="shared" si="29"/>
        <v>508251.94</v>
      </c>
      <c r="BJ33" s="539">
        <f t="shared" si="29"/>
        <v>-508251.94</v>
      </c>
      <c r="BM33" s="628">
        <f t="shared" si="21"/>
        <v>7304881.3199999994</v>
      </c>
      <c r="BN33" s="628">
        <f t="shared" si="14"/>
        <v>5603626.8600000003</v>
      </c>
      <c r="BO33" s="535">
        <f t="shared" si="17"/>
        <v>1701254.459999999</v>
      </c>
      <c r="BP33" s="334">
        <f>BP34+BP36</f>
        <v>6011062.4199999999</v>
      </c>
      <c r="BQ33" s="334">
        <f>BQ34+BQ36</f>
        <v>5095374.92</v>
      </c>
      <c r="BR33" s="539">
        <f t="shared" ref="BR33:BT33" si="30">BR34+BR36</f>
        <v>633935.91999999981</v>
      </c>
      <c r="BS33" s="334">
        <f t="shared" si="30"/>
        <v>508251.94</v>
      </c>
      <c r="BT33" s="539">
        <f t="shared" si="30"/>
        <v>655364.32000000007</v>
      </c>
    </row>
    <row r="34" spans="1:72" s="115" customFormat="1" x14ac:dyDescent="0.3">
      <c r="A34" s="439" t="s">
        <v>168</v>
      </c>
      <c r="B34" s="113"/>
      <c r="C34" s="436">
        <v>830</v>
      </c>
      <c r="D34" s="59">
        <v>500000</v>
      </c>
      <c r="E34" s="59">
        <f>H34+R34+AM34+AK34</f>
        <v>500000</v>
      </c>
      <c r="F34" s="410">
        <f t="shared" si="1"/>
        <v>0</v>
      </c>
      <c r="G34" s="283">
        <f>SUM(G35)</f>
        <v>0</v>
      </c>
      <c r="H34" s="157"/>
      <c r="I34" s="669">
        <f t="shared" si="19"/>
        <v>0</v>
      </c>
      <c r="J34" s="882"/>
      <c r="K34" s="283"/>
      <c r="L34" s="157"/>
      <c r="M34" s="294"/>
      <c r="N34" s="293"/>
      <c r="O34" s="283"/>
      <c r="P34" s="365"/>
      <c r="Q34" s="276"/>
      <c r="R34" s="307"/>
      <c r="S34" s="372"/>
      <c r="T34" s="525"/>
      <c r="U34" s="307">
        <v>0</v>
      </c>
      <c r="V34" s="153">
        <f t="shared" ref="V34:AK34" si="31">SUM(V35)</f>
        <v>0</v>
      </c>
      <c r="W34" s="357">
        <f t="shared" si="2"/>
        <v>0</v>
      </c>
      <c r="X34" s="379">
        <f t="shared" si="31"/>
        <v>0</v>
      </c>
      <c r="Y34" s="153">
        <f>X34-W34</f>
        <v>0</v>
      </c>
      <c r="Z34" s="357">
        <f>X34-W34</f>
        <v>0</v>
      </c>
      <c r="AA34" s="307"/>
      <c r="AB34" s="153"/>
      <c r="AC34" s="357"/>
      <c r="AD34" s="276"/>
      <c r="AE34" s="153"/>
      <c r="AF34" s="357"/>
      <c r="AG34" s="276"/>
      <c r="AH34" s="153"/>
      <c r="AI34" s="357"/>
      <c r="AJ34" s="422">
        <f t="shared" si="31"/>
        <v>0</v>
      </c>
      <c r="AK34" s="396">
        <f t="shared" si="31"/>
        <v>0</v>
      </c>
      <c r="AL34" s="334">
        <v>500000</v>
      </c>
      <c r="AM34" s="161">
        <f t="shared" si="20"/>
        <v>500000</v>
      </c>
      <c r="AN34" s="1013">
        <f t="shared" si="5"/>
        <v>0</v>
      </c>
      <c r="AO34" s="334">
        <v>500000</v>
      </c>
      <c r="AP34" s="161">
        <f>AP35</f>
        <v>500000</v>
      </c>
      <c r="AQ34" s="406"/>
      <c r="AR34" s="323"/>
      <c r="AS34" s="161"/>
      <c r="AT34" s="335"/>
      <c r="AU34" s="539">
        <f t="shared" ref="AU34" si="32">SUM(AU35)</f>
        <v>0</v>
      </c>
      <c r="AV34" s="323"/>
      <c r="AW34" s="161"/>
      <c r="AX34" s="335"/>
      <c r="AZ34" s="1218" t="s">
        <v>237</v>
      </c>
      <c r="BG34" s="617"/>
      <c r="BH34" s="621">
        <f>BH35</f>
        <v>0</v>
      </c>
      <c r="BI34" s="617"/>
      <c r="BJ34" s="621"/>
      <c r="BM34" s="629">
        <f t="shared" si="21"/>
        <v>500000</v>
      </c>
      <c r="BN34" s="629">
        <f t="shared" si="14"/>
        <v>207144.42</v>
      </c>
      <c r="BO34" s="533">
        <f t="shared" si="17"/>
        <v>292855.57999999996</v>
      </c>
      <c r="BP34" s="533">
        <f>BP35</f>
        <v>207144.42</v>
      </c>
      <c r="BQ34" s="617">
        <f>BQ35</f>
        <v>207144.42</v>
      </c>
      <c r="BR34" s="621">
        <f>BR35</f>
        <v>292855.57999999996</v>
      </c>
      <c r="BS34" s="617"/>
      <c r="BT34" s="621"/>
    </row>
    <row r="35" spans="1:72" ht="63" x14ac:dyDescent="0.3">
      <c r="A35" s="440" t="s">
        <v>169</v>
      </c>
      <c r="B35" s="1216"/>
      <c r="C35" s="1217">
        <v>831</v>
      </c>
      <c r="D35" s="64">
        <v>500000</v>
      </c>
      <c r="E35" s="64">
        <f>H35+R35+AM35+AK35</f>
        <v>500000</v>
      </c>
      <c r="F35" s="411">
        <f t="shared" si="1"/>
        <v>0</v>
      </c>
      <c r="G35" s="285"/>
      <c r="H35" s="158"/>
      <c r="I35" s="669">
        <f t="shared" si="19"/>
        <v>0</v>
      </c>
      <c r="J35" s="881"/>
      <c r="K35" s="285"/>
      <c r="L35" s="158"/>
      <c r="M35" s="298"/>
      <c r="N35" s="297"/>
      <c r="O35" s="285"/>
      <c r="P35" s="367"/>
      <c r="Q35" s="279"/>
      <c r="R35" s="310"/>
      <c r="S35" s="375"/>
      <c r="T35" s="528"/>
      <c r="U35" s="310"/>
      <c r="V35" s="63"/>
      <c r="W35" s="357">
        <f t="shared" si="2"/>
        <v>0</v>
      </c>
      <c r="X35" s="382"/>
      <c r="Y35" s="153">
        <f>X35-W35</f>
        <v>0</v>
      </c>
      <c r="Z35" s="357">
        <f>X35-W35</f>
        <v>0</v>
      </c>
      <c r="AA35" s="310"/>
      <c r="AB35" s="63"/>
      <c r="AC35" s="360"/>
      <c r="AD35" s="279"/>
      <c r="AE35" s="63"/>
      <c r="AF35" s="360"/>
      <c r="AG35" s="279"/>
      <c r="AH35" s="63"/>
      <c r="AI35" s="360"/>
      <c r="AJ35" s="425"/>
      <c r="AK35" s="395"/>
      <c r="AL35" s="334">
        <v>500000</v>
      </c>
      <c r="AM35" s="161">
        <f t="shared" si="20"/>
        <v>500000</v>
      </c>
      <c r="AN35" s="1013">
        <f t="shared" si="5"/>
        <v>0</v>
      </c>
      <c r="AO35" s="338">
        <v>500000</v>
      </c>
      <c r="AP35" s="162">
        <f t="shared" ref="AP35" si="33">AL35-AS35-AW35</f>
        <v>500000</v>
      </c>
      <c r="AQ35" s="1019"/>
      <c r="AR35" s="324"/>
      <c r="AS35" s="162"/>
      <c r="AT35" s="339"/>
      <c r="AU35" s="540"/>
      <c r="AV35" s="324"/>
      <c r="AW35" s="162"/>
      <c r="AX35" s="339"/>
      <c r="AZ35" s="122">
        <v>15000</v>
      </c>
      <c r="BA35" s="1218">
        <v>831</v>
      </c>
      <c r="BG35" s="617"/>
      <c r="BH35" s="621">
        <f>AE35-BG35</f>
        <v>0</v>
      </c>
      <c r="BI35" s="617"/>
      <c r="BJ35" s="621"/>
      <c r="BM35" s="629">
        <f t="shared" si="21"/>
        <v>500000</v>
      </c>
      <c r="BN35" s="629">
        <f t="shared" si="14"/>
        <v>207144.42</v>
      </c>
      <c r="BO35" s="533">
        <f t="shared" si="17"/>
        <v>292855.57999999996</v>
      </c>
      <c r="BP35" s="533">
        <f>BN35</f>
        <v>207144.42</v>
      </c>
      <c r="BQ35" s="617">
        <v>207144.42</v>
      </c>
      <c r="BR35" s="621">
        <f>AO35-BQ35</f>
        <v>292855.57999999996</v>
      </c>
      <c r="BS35" s="617"/>
      <c r="BT35" s="621"/>
    </row>
    <row r="36" spans="1:72" s="115" customFormat="1" ht="33" customHeight="1" x14ac:dyDescent="0.3">
      <c r="A36" s="441" t="s">
        <v>170</v>
      </c>
      <c r="B36" s="1424">
        <v>230</v>
      </c>
      <c r="C36" s="436">
        <v>850</v>
      </c>
      <c r="D36" s="430">
        <f>D38+D39+D40</f>
        <v>12005888.920000002</v>
      </c>
      <c r="E36" s="59">
        <f>H36+R36+AM36+AK36</f>
        <v>13920120.899999999</v>
      </c>
      <c r="F36" s="410">
        <f t="shared" si="1"/>
        <v>1914231.9799999967</v>
      </c>
      <c r="G36" s="157">
        <v>5201007.6000000006</v>
      </c>
      <c r="H36" s="157">
        <f>SUM(H38:H40)</f>
        <v>5201007.6000000006</v>
      </c>
      <c r="I36" s="669">
        <f t="shared" si="19"/>
        <v>0</v>
      </c>
      <c r="J36" s="882">
        <f>SUM(J38:J40)</f>
        <v>0</v>
      </c>
      <c r="K36" s="283">
        <f>K38+K39+K40</f>
        <v>3687692.4899999998</v>
      </c>
      <c r="L36" s="157">
        <f>L38+L39+L40</f>
        <v>4651007.6000000006</v>
      </c>
      <c r="M36" s="294">
        <f>L36-K36</f>
        <v>963315.1100000008</v>
      </c>
      <c r="N36" s="283">
        <f>SUM(N38:N40)</f>
        <v>1513315.11</v>
      </c>
      <c r="O36" s="283">
        <f>SUM(O38:O40)</f>
        <v>550000</v>
      </c>
      <c r="P36" s="365">
        <f>O36-N36</f>
        <v>-963315.1100000001</v>
      </c>
      <c r="Q36" s="276">
        <f t="shared" ref="Q36:AB36" si="34">Q38+Q39+Q40</f>
        <v>1914231.98</v>
      </c>
      <c r="R36" s="307">
        <f t="shared" si="34"/>
        <v>1914231.98</v>
      </c>
      <c r="S36" s="372">
        <f>R36-Q36</f>
        <v>0</v>
      </c>
      <c r="T36" s="525">
        <f t="shared" si="34"/>
        <v>0</v>
      </c>
      <c r="U36" s="307">
        <v>0</v>
      </c>
      <c r="V36" s="153">
        <f t="shared" si="34"/>
        <v>0</v>
      </c>
      <c r="W36" s="357">
        <f t="shared" si="2"/>
        <v>0</v>
      </c>
      <c r="X36" s="379">
        <f>X38+X39+X40</f>
        <v>1258487.81</v>
      </c>
      <c r="Y36" s="153">
        <f>Y38+Y39+Y40</f>
        <v>1258487.81</v>
      </c>
      <c r="Z36" s="357">
        <f>Z38+Z39+Z40</f>
        <v>0</v>
      </c>
      <c r="AA36" s="307">
        <v>655744.17000000004</v>
      </c>
      <c r="AB36" s="153">
        <f t="shared" si="34"/>
        <v>655744.17000000004</v>
      </c>
      <c r="AC36" s="357">
        <f>AB36-AA36</f>
        <v>0</v>
      </c>
      <c r="AD36" s="276"/>
      <c r="AE36" s="153"/>
      <c r="AF36" s="357"/>
      <c r="AG36" s="276"/>
      <c r="AH36" s="153"/>
      <c r="AI36" s="357"/>
      <c r="AJ36" s="422">
        <f>AJ38+AJ39+AJ40</f>
        <v>0</v>
      </c>
      <c r="AK36" s="396">
        <f>SUM(AK37:AK40)</f>
        <v>0</v>
      </c>
      <c r="AL36" s="334">
        <v>6804881.3199999994</v>
      </c>
      <c r="AM36" s="161">
        <f t="shared" si="20"/>
        <v>6804881.3199999994</v>
      </c>
      <c r="AN36" s="1013">
        <f t="shared" si="5"/>
        <v>0</v>
      </c>
      <c r="AO36" s="334">
        <f>AO38+AO39+AO40</f>
        <v>5229310.84</v>
      </c>
      <c r="AP36" s="161">
        <f>AP38+AP39+AP40</f>
        <v>5743055.0099999998</v>
      </c>
      <c r="AQ36" s="406">
        <f>AP36-AO36</f>
        <v>513744.16999999993</v>
      </c>
      <c r="AR36" s="161">
        <f>AR38+AR39+AR40</f>
        <v>1163616.26</v>
      </c>
      <c r="AS36" s="161">
        <f>AS38+AS39+AS40</f>
        <v>649872.09000000008</v>
      </c>
      <c r="AT36" s="335">
        <f>AS36-AR36</f>
        <v>-513744.16999999993</v>
      </c>
      <c r="AU36" s="539">
        <f>AU38+AU39+AU40</f>
        <v>0</v>
      </c>
      <c r="AV36" s="161">
        <f>AV38+AV39+AV40</f>
        <v>411954.22</v>
      </c>
      <c r="AW36" s="161">
        <f>AW38+AW39+AW40</f>
        <v>411954.22</v>
      </c>
      <c r="AX36" s="335">
        <f>AW36-AV36</f>
        <v>0</v>
      </c>
      <c r="BG36" s="334">
        <f>BG38+BG39+BG40</f>
        <v>0</v>
      </c>
      <c r="BH36" s="539">
        <f t="shared" ref="BH36:BJ36" si="35">BH38+BH39+BH40</f>
        <v>0</v>
      </c>
      <c r="BI36" s="334">
        <f t="shared" si="35"/>
        <v>508251.94</v>
      </c>
      <c r="BJ36" s="539">
        <f t="shared" si="35"/>
        <v>-508251.94</v>
      </c>
      <c r="BM36" s="628">
        <f t="shared" si="21"/>
        <v>6804881.3199999994</v>
      </c>
      <c r="BN36" s="628">
        <f t="shared" si="14"/>
        <v>5396482.4400000004</v>
      </c>
      <c r="BO36" s="535">
        <f t="shared" si="17"/>
        <v>1408398.879999999</v>
      </c>
      <c r="BP36" s="334">
        <f>BP38+BP39+BP40</f>
        <v>5803918</v>
      </c>
      <c r="BQ36" s="334">
        <f>BQ38+BQ39+BQ40</f>
        <v>4888230.5</v>
      </c>
      <c r="BR36" s="539">
        <f t="shared" ref="BR36:BT36" si="36">BR38+BR39+BR40</f>
        <v>341080.33999999985</v>
      </c>
      <c r="BS36" s="334">
        <f t="shared" si="36"/>
        <v>508251.94</v>
      </c>
      <c r="BT36" s="539">
        <f t="shared" si="36"/>
        <v>655364.32000000007</v>
      </c>
    </row>
    <row r="37" spans="1:72" x14ac:dyDescent="0.3">
      <c r="A37" s="437" t="s">
        <v>92</v>
      </c>
      <c r="B37" s="1422"/>
      <c r="C37" s="438"/>
      <c r="D37" s="431"/>
      <c r="E37" s="59">
        <f>H37+R37+AL37+AK37</f>
        <v>0</v>
      </c>
      <c r="F37" s="410">
        <f t="shared" si="1"/>
        <v>0</v>
      </c>
      <c r="G37" s="285"/>
      <c r="H37" s="158"/>
      <c r="I37" s="669">
        <f t="shared" si="19"/>
        <v>0</v>
      </c>
      <c r="J37" s="881"/>
      <c r="K37" s="285"/>
      <c r="L37" s="158"/>
      <c r="M37" s="298"/>
      <c r="N37" s="297"/>
      <c r="O37" s="285"/>
      <c r="P37" s="367"/>
      <c r="Q37" s="279"/>
      <c r="R37" s="310"/>
      <c r="S37" s="375"/>
      <c r="T37" s="528"/>
      <c r="U37" s="310"/>
      <c r="V37" s="63"/>
      <c r="W37" s="357">
        <f t="shared" si="2"/>
        <v>0</v>
      </c>
      <c r="X37" s="382"/>
      <c r="Y37" s="153">
        <f>X37-W37</f>
        <v>0</v>
      </c>
      <c r="Z37" s="357">
        <f>X37-W37</f>
        <v>0</v>
      </c>
      <c r="AA37" s="310"/>
      <c r="AB37" s="63"/>
      <c r="AC37" s="360"/>
      <c r="AD37" s="279"/>
      <c r="AE37" s="63"/>
      <c r="AF37" s="360"/>
      <c r="AG37" s="279"/>
      <c r="AH37" s="63"/>
      <c r="AI37" s="360"/>
      <c r="AJ37" s="425"/>
      <c r="AK37" s="395"/>
      <c r="AL37" s="334">
        <v>0</v>
      </c>
      <c r="AM37" s="161">
        <f t="shared" si="20"/>
        <v>0</v>
      </c>
      <c r="AN37" s="1013">
        <f t="shared" si="5"/>
        <v>0</v>
      </c>
      <c r="AO37" s="338"/>
      <c r="AP37" s="162"/>
      <c r="AQ37" s="1019"/>
      <c r="AR37" s="324"/>
      <c r="AS37" s="162"/>
      <c r="AT37" s="339"/>
      <c r="AU37" s="540"/>
      <c r="AV37" s="324"/>
      <c r="AW37" s="162"/>
      <c r="AX37" s="339"/>
      <c r="AZ37" s="1218" t="s">
        <v>237</v>
      </c>
      <c r="BA37" s="1218" t="s">
        <v>197</v>
      </c>
      <c r="BB37" s="1218" t="s">
        <v>237</v>
      </c>
      <c r="BC37" s="1218"/>
      <c r="BD37" s="1218"/>
      <c r="BE37" s="1218"/>
      <c r="BF37" s="1218"/>
      <c r="BG37" s="617"/>
      <c r="BH37" s="621">
        <f>AF37-BG37</f>
        <v>0</v>
      </c>
      <c r="BI37" s="617"/>
      <c r="BJ37" s="621"/>
      <c r="BK37" s="1218"/>
      <c r="BL37" s="1218"/>
      <c r="BM37" s="628">
        <f t="shared" si="21"/>
        <v>0</v>
      </c>
      <c r="BN37" s="628">
        <f t="shared" si="14"/>
        <v>0</v>
      </c>
      <c r="BO37" s="535">
        <f t="shared" si="17"/>
        <v>0</v>
      </c>
      <c r="BP37" s="533"/>
      <c r="BQ37" s="617"/>
      <c r="BR37" s="621">
        <f>AP37-BQ37</f>
        <v>0</v>
      </c>
      <c r="BS37" s="617"/>
      <c r="BT37" s="621"/>
    </row>
    <row r="38" spans="1:72" ht="31.5" x14ac:dyDescent="0.3">
      <c r="A38" s="437" t="s">
        <v>171</v>
      </c>
      <c r="B38" s="1422"/>
      <c r="C38" s="1217">
        <v>851</v>
      </c>
      <c r="D38" s="431">
        <v>10452978.890000001</v>
      </c>
      <c r="E38" s="64">
        <f>H38+R38+AM38+AK38</f>
        <v>12367210.870000001</v>
      </c>
      <c r="F38" s="411">
        <f t="shared" si="1"/>
        <v>1914231.9800000004</v>
      </c>
      <c r="G38" s="285">
        <v>4890097.57</v>
      </c>
      <c r="H38" s="158">
        <f>J38+L38+O38</f>
        <v>4890097.57</v>
      </c>
      <c r="I38" s="669">
        <f t="shared" si="19"/>
        <v>0</v>
      </c>
      <c r="J38" s="881"/>
      <c r="K38" s="285">
        <v>3376782.46</v>
      </c>
      <c r="L38" s="158">
        <f>G38-O38</f>
        <v>4340097.57</v>
      </c>
      <c r="M38" s="298">
        <f>L38-K38</f>
        <v>963315.11000000034</v>
      </c>
      <c r="N38" s="285">
        <v>1513315.11</v>
      </c>
      <c r="O38" s="285">
        <v>550000</v>
      </c>
      <c r="P38" s="367">
        <f>O38-N38</f>
        <v>-963315.1100000001</v>
      </c>
      <c r="Q38" s="279">
        <v>1914231.98</v>
      </c>
      <c r="R38" s="310">
        <f>T38+V38+Y38+AB38+AE38+AH38</f>
        <v>1914231.98</v>
      </c>
      <c r="S38" s="375">
        <f>R38-Q38</f>
        <v>0</v>
      </c>
      <c r="T38" s="528"/>
      <c r="U38" s="310"/>
      <c r="V38" s="63"/>
      <c r="W38" s="357">
        <f t="shared" si="2"/>
        <v>0</v>
      </c>
      <c r="X38" s="379">
        <v>1258487.81</v>
      </c>
      <c r="Y38" s="153">
        <v>1258487.81</v>
      </c>
      <c r="Z38" s="357"/>
      <c r="AA38" s="310">
        <v>655744.17000000004</v>
      </c>
      <c r="AB38" s="63">
        <v>655744.17000000004</v>
      </c>
      <c r="AC38" s="360">
        <f>AB38-AA38</f>
        <v>0</v>
      </c>
      <c r="AD38" s="279"/>
      <c r="AE38" s="63"/>
      <c r="AF38" s="360"/>
      <c r="AG38" s="279"/>
      <c r="AH38" s="63"/>
      <c r="AI38" s="360"/>
      <c r="AJ38" s="425"/>
      <c r="AK38" s="395"/>
      <c r="AL38" s="334">
        <v>5562881.3199999994</v>
      </c>
      <c r="AM38" s="161">
        <f t="shared" si="20"/>
        <v>5562881.3199999994</v>
      </c>
      <c r="AN38" s="1013">
        <f t="shared" si="5"/>
        <v>0</v>
      </c>
      <c r="AO38" s="338">
        <v>4167310.84</v>
      </c>
      <c r="AP38" s="162">
        <f t="shared" ref="AP38:AP40" si="37">AL38-AS38-AW38</f>
        <v>4703055.01</v>
      </c>
      <c r="AQ38" s="1019">
        <f>AP38-AO38</f>
        <v>535744.16999999993</v>
      </c>
      <c r="AR38" s="324">
        <v>983616.26</v>
      </c>
      <c r="AS38" s="162">
        <v>447872.09</v>
      </c>
      <c r="AT38" s="339">
        <f>AS38-AR38</f>
        <v>-535744.16999999993</v>
      </c>
      <c r="AU38" s="540"/>
      <c r="AV38" s="162">
        <v>411954.22</v>
      </c>
      <c r="AW38" s="162">
        <v>411954.22</v>
      </c>
      <c r="AX38" s="339">
        <f>AW38-AV38</f>
        <v>0</v>
      </c>
      <c r="AZ38" s="122">
        <v>2116229.66</v>
      </c>
      <c r="BA38" s="122">
        <v>-2116229.66</v>
      </c>
      <c r="BB38" s="610"/>
      <c r="BC38" s="635"/>
      <c r="BD38" s="635"/>
      <c r="BE38" s="635"/>
      <c r="BF38" s="635"/>
      <c r="BG38" s="617"/>
      <c r="BH38" s="621">
        <f>AE38-BG38</f>
        <v>0</v>
      </c>
      <c r="BI38" s="617">
        <v>383344</v>
      </c>
      <c r="BJ38" s="621">
        <f>AH38-BI38</f>
        <v>-383344</v>
      </c>
      <c r="BK38" s="635"/>
      <c r="BL38" s="635"/>
      <c r="BM38" s="629">
        <f t="shared" si="21"/>
        <v>5562881.3199999994</v>
      </c>
      <c r="BN38" s="629">
        <f t="shared" si="14"/>
        <v>4561918</v>
      </c>
      <c r="BO38" s="533">
        <f t="shared" si="17"/>
        <v>1000963.3199999994</v>
      </c>
      <c r="BP38" s="533">
        <f>BN38</f>
        <v>4561918</v>
      </c>
      <c r="BQ38" s="617">
        <v>4178574</v>
      </c>
      <c r="BR38" s="621">
        <f>AO38-BQ38</f>
        <v>-11263.160000000149</v>
      </c>
      <c r="BS38" s="617">
        <v>383344</v>
      </c>
      <c r="BT38" s="621">
        <f>AR38-BS38</f>
        <v>600272.26</v>
      </c>
    </row>
    <row r="39" spans="1:72" x14ac:dyDescent="0.3">
      <c r="A39" s="437" t="s">
        <v>172</v>
      </c>
      <c r="B39" s="1422"/>
      <c r="C39" s="1217">
        <v>852</v>
      </c>
      <c r="D39" s="431">
        <v>844267.46</v>
      </c>
      <c r="E39" s="64">
        <f>H39+R39+AM39+AK39</f>
        <v>844267.46</v>
      </c>
      <c r="F39" s="410">
        <f t="shared" si="1"/>
        <v>0</v>
      </c>
      <c r="G39" s="285">
        <v>209267.46</v>
      </c>
      <c r="H39" s="158">
        <f>J39+L39+O39</f>
        <v>209267.46</v>
      </c>
      <c r="I39" s="669">
        <f t="shared" si="19"/>
        <v>0</v>
      </c>
      <c r="J39" s="881"/>
      <c r="K39" s="285">
        <v>209267.46</v>
      </c>
      <c r="L39" s="158">
        <f t="shared" ref="L39:L40" si="38">G39-O39</f>
        <v>209267.46</v>
      </c>
      <c r="M39" s="298">
        <f>L39-K39</f>
        <v>0</v>
      </c>
      <c r="N39" s="297"/>
      <c r="O39" s="285"/>
      <c r="P39" s="367"/>
      <c r="Q39" s="279">
        <v>0</v>
      </c>
      <c r="R39" s="310">
        <f>T39+V39+X39+AB39+AE39+AH39</f>
        <v>0</v>
      </c>
      <c r="S39" s="375">
        <f>R39-Q39</f>
        <v>0</v>
      </c>
      <c r="T39" s="528"/>
      <c r="U39" s="310"/>
      <c r="V39" s="63"/>
      <c r="W39" s="357">
        <f t="shared" si="2"/>
        <v>0</v>
      </c>
      <c r="X39" s="382"/>
      <c r="Y39" s="153">
        <f t="shared" ref="Y39:Y44" si="39">X39-W39</f>
        <v>0</v>
      </c>
      <c r="Z39" s="357">
        <f t="shared" ref="Z39:Z44" si="40">X39-W39</f>
        <v>0</v>
      </c>
      <c r="AA39" s="310"/>
      <c r="AB39" s="63"/>
      <c r="AC39" s="360">
        <f>AB39-AA39</f>
        <v>0</v>
      </c>
      <c r="AD39" s="279"/>
      <c r="AE39" s="63"/>
      <c r="AF39" s="360"/>
      <c r="AG39" s="279"/>
      <c r="AH39" s="63"/>
      <c r="AI39" s="360"/>
      <c r="AJ39" s="425"/>
      <c r="AK39" s="395"/>
      <c r="AL39" s="334">
        <v>635000</v>
      </c>
      <c r="AM39" s="161">
        <f t="shared" si="20"/>
        <v>635000</v>
      </c>
      <c r="AN39" s="1013">
        <f t="shared" si="5"/>
        <v>0</v>
      </c>
      <c r="AO39" s="338">
        <v>485000</v>
      </c>
      <c r="AP39" s="162">
        <f t="shared" si="37"/>
        <v>508000</v>
      </c>
      <c r="AQ39" s="1019">
        <f>AP39-AO39</f>
        <v>23000</v>
      </c>
      <c r="AR39" s="324">
        <v>150000</v>
      </c>
      <c r="AS39" s="162">
        <v>127000</v>
      </c>
      <c r="AT39" s="339">
        <f>AS39-AR39</f>
        <v>-23000</v>
      </c>
      <c r="AU39" s="540"/>
      <c r="AV39" s="324"/>
      <c r="AW39" s="162"/>
      <c r="AX39" s="339">
        <f>AW39-AV39</f>
        <v>0</v>
      </c>
      <c r="AZ39" s="122">
        <v>-75470.62</v>
      </c>
      <c r="BA39" s="122"/>
      <c r="BB39" s="610">
        <v>-49993.01</v>
      </c>
      <c r="BC39" s="635"/>
      <c r="BD39" s="635"/>
      <c r="BE39" s="635"/>
      <c r="BF39" s="635"/>
      <c r="BG39" s="617"/>
      <c r="BH39" s="621">
        <f t="shared" ref="BH39:BH40" si="41">AE39-BG39</f>
        <v>0</v>
      </c>
      <c r="BI39" s="617">
        <v>27119</v>
      </c>
      <c r="BJ39" s="621">
        <f t="shared" ref="BJ39:BJ40" si="42">AH39-BI39</f>
        <v>-27119</v>
      </c>
      <c r="BK39" s="635"/>
      <c r="BL39" s="635"/>
      <c r="BM39" s="629">
        <f t="shared" si="21"/>
        <v>635000</v>
      </c>
      <c r="BN39" s="629">
        <f t="shared" si="14"/>
        <v>234308.25</v>
      </c>
      <c r="BO39" s="533">
        <f t="shared" si="17"/>
        <v>400691.75</v>
      </c>
      <c r="BP39" s="533">
        <f>BM39</f>
        <v>635000</v>
      </c>
      <c r="BQ39" s="617">
        <f>272189.25-65000</f>
        <v>207189.25</v>
      </c>
      <c r="BR39" s="621">
        <f t="shared" ref="BR39:BR40" si="43">AO39-BQ39</f>
        <v>277810.75</v>
      </c>
      <c r="BS39" s="617">
        <v>27119</v>
      </c>
      <c r="BT39" s="621">
        <f t="shared" ref="BT39:BT40" si="44">AR39-BS39</f>
        <v>122881</v>
      </c>
    </row>
    <row r="40" spans="1:72" ht="18.75" customHeight="1" x14ac:dyDescent="0.3">
      <c r="A40" s="437" t="s">
        <v>173</v>
      </c>
      <c r="B40" s="1423"/>
      <c r="C40" s="1217">
        <v>853</v>
      </c>
      <c r="D40" s="431">
        <v>708642.57000000007</v>
      </c>
      <c r="E40" s="64">
        <f>H40+R40+AM40+AK40</f>
        <v>708642.57000000007</v>
      </c>
      <c r="F40" s="410">
        <f t="shared" si="1"/>
        <v>0</v>
      </c>
      <c r="G40" s="285">
        <v>101642.57</v>
      </c>
      <c r="H40" s="158">
        <f>J40+L40+O40</f>
        <v>101642.57</v>
      </c>
      <c r="I40" s="669">
        <f t="shared" si="19"/>
        <v>0</v>
      </c>
      <c r="J40" s="881"/>
      <c r="K40" s="285">
        <v>101642.57</v>
      </c>
      <c r="L40" s="158">
        <f t="shared" si="38"/>
        <v>101642.57</v>
      </c>
      <c r="M40" s="298">
        <f>L40-K40</f>
        <v>0</v>
      </c>
      <c r="N40" s="297"/>
      <c r="O40" s="285"/>
      <c r="P40" s="367"/>
      <c r="Q40" s="279"/>
      <c r="R40" s="310"/>
      <c r="S40" s="375"/>
      <c r="T40" s="528"/>
      <c r="U40" s="310"/>
      <c r="V40" s="63"/>
      <c r="W40" s="357">
        <f t="shared" si="2"/>
        <v>0</v>
      </c>
      <c r="X40" s="382"/>
      <c r="Y40" s="153">
        <f t="shared" si="39"/>
        <v>0</v>
      </c>
      <c r="Z40" s="357">
        <f t="shared" si="40"/>
        <v>0</v>
      </c>
      <c r="AA40" s="310"/>
      <c r="AB40" s="63"/>
      <c r="AC40" s="360"/>
      <c r="AD40" s="279"/>
      <c r="AE40" s="63"/>
      <c r="AF40" s="360"/>
      <c r="AG40" s="279"/>
      <c r="AH40" s="63"/>
      <c r="AI40" s="360"/>
      <c r="AJ40" s="425"/>
      <c r="AK40" s="395"/>
      <c r="AL40" s="334">
        <v>607000</v>
      </c>
      <c r="AM40" s="161">
        <f t="shared" si="20"/>
        <v>607000</v>
      </c>
      <c r="AN40" s="1013">
        <f t="shared" si="5"/>
        <v>0</v>
      </c>
      <c r="AO40" s="338">
        <v>577000</v>
      </c>
      <c r="AP40" s="162">
        <f t="shared" si="37"/>
        <v>532000</v>
      </c>
      <c r="AQ40" s="1019">
        <f>AP40-AO40</f>
        <v>-45000</v>
      </c>
      <c r="AR40" s="324">
        <v>30000</v>
      </c>
      <c r="AS40" s="162">
        <v>75000</v>
      </c>
      <c r="AT40" s="339">
        <f>AS40-AR40</f>
        <v>45000</v>
      </c>
      <c r="AU40" s="540"/>
      <c r="AV40" s="324"/>
      <c r="AW40" s="162"/>
      <c r="AX40" s="339">
        <f>AW40-AV40</f>
        <v>0</v>
      </c>
      <c r="AZ40" s="122">
        <v>75470.62</v>
      </c>
      <c r="BA40" s="122"/>
      <c r="BB40" s="610">
        <v>49993.01</v>
      </c>
      <c r="BC40" s="635"/>
      <c r="BD40" s="635"/>
      <c r="BE40" s="635"/>
      <c r="BF40" s="635"/>
      <c r="BG40" s="617"/>
      <c r="BH40" s="621">
        <f t="shared" si="41"/>
        <v>0</v>
      </c>
      <c r="BI40" s="617">
        <v>97788.94</v>
      </c>
      <c r="BJ40" s="621">
        <f t="shared" si="42"/>
        <v>-97788.94</v>
      </c>
      <c r="BK40" s="635"/>
      <c r="BL40" s="635"/>
      <c r="BM40" s="629">
        <f t="shared" si="21"/>
        <v>607000</v>
      </c>
      <c r="BN40" s="629">
        <f t="shared" si="14"/>
        <v>600256.18999999994</v>
      </c>
      <c r="BO40" s="533">
        <f t="shared" si="17"/>
        <v>6743.8100000000559</v>
      </c>
      <c r="BP40" s="533">
        <f>BM40</f>
        <v>607000</v>
      </c>
      <c r="BQ40" s="617">
        <f>502467.25</f>
        <v>502467.25</v>
      </c>
      <c r="BR40" s="621">
        <f t="shared" si="43"/>
        <v>74532.75</v>
      </c>
      <c r="BS40" s="617">
        <v>97788.94</v>
      </c>
      <c r="BT40" s="621">
        <f t="shared" si="44"/>
        <v>-67788.94</v>
      </c>
    </row>
    <row r="41" spans="1:72" x14ac:dyDescent="0.3">
      <c r="A41" s="437" t="s">
        <v>174</v>
      </c>
      <c r="B41" s="1214">
        <v>240</v>
      </c>
      <c r="C41" s="1217">
        <v>853</v>
      </c>
      <c r="D41" s="431"/>
      <c r="E41" s="59">
        <f>H41+R41+AL41+AK41</f>
        <v>0</v>
      </c>
      <c r="F41" s="410">
        <f t="shared" si="1"/>
        <v>0</v>
      </c>
      <c r="G41" s="285"/>
      <c r="H41" s="158"/>
      <c r="I41" s="669">
        <f t="shared" si="19"/>
        <v>0</v>
      </c>
      <c r="J41" s="881"/>
      <c r="K41" s="285"/>
      <c r="L41" s="158"/>
      <c r="M41" s="298"/>
      <c r="N41" s="297"/>
      <c r="O41" s="285"/>
      <c r="P41" s="367"/>
      <c r="Q41" s="279"/>
      <c r="R41" s="310"/>
      <c r="S41" s="375"/>
      <c r="T41" s="528"/>
      <c r="U41" s="310"/>
      <c r="V41" s="63"/>
      <c r="W41" s="357">
        <f t="shared" si="2"/>
        <v>0</v>
      </c>
      <c r="X41" s="382"/>
      <c r="Y41" s="153">
        <f t="shared" si="39"/>
        <v>0</v>
      </c>
      <c r="Z41" s="357">
        <f t="shared" si="40"/>
        <v>0</v>
      </c>
      <c r="AA41" s="310"/>
      <c r="AB41" s="63"/>
      <c r="AC41" s="360"/>
      <c r="AD41" s="279"/>
      <c r="AE41" s="63"/>
      <c r="AF41" s="360"/>
      <c r="AG41" s="279"/>
      <c r="AH41" s="63"/>
      <c r="AI41" s="360"/>
      <c r="AJ41" s="425"/>
      <c r="AK41" s="395"/>
      <c r="AL41" s="334">
        <v>0</v>
      </c>
      <c r="AM41" s="161">
        <f t="shared" si="20"/>
        <v>0</v>
      </c>
      <c r="AN41" s="1013">
        <f t="shared" si="5"/>
        <v>0</v>
      </c>
      <c r="AO41" s="338"/>
      <c r="AP41" s="162"/>
      <c r="AQ41" s="1019"/>
      <c r="AR41" s="324"/>
      <c r="AS41" s="162"/>
      <c r="AT41" s="339"/>
      <c r="AU41" s="540"/>
      <c r="AV41" s="324"/>
      <c r="AW41" s="162"/>
      <c r="AX41" s="339"/>
      <c r="BG41" s="617"/>
      <c r="BH41" s="621">
        <f>AF41-BG41</f>
        <v>0</v>
      </c>
      <c r="BI41" s="617"/>
      <c r="BJ41" s="621"/>
      <c r="BM41" s="628">
        <f t="shared" si="21"/>
        <v>0</v>
      </c>
      <c r="BN41" s="628">
        <f t="shared" si="14"/>
        <v>0</v>
      </c>
      <c r="BO41" s="535">
        <f t="shared" si="17"/>
        <v>0</v>
      </c>
      <c r="BP41" s="533"/>
      <c r="BQ41" s="617"/>
      <c r="BR41" s="621">
        <f>AP41-BQ41</f>
        <v>0</v>
      </c>
      <c r="BS41" s="617"/>
      <c r="BT41" s="621"/>
    </row>
    <row r="42" spans="1:72" s="115" customFormat="1" ht="31.5" x14ac:dyDescent="0.3">
      <c r="A42" s="435" t="s">
        <v>175</v>
      </c>
      <c r="B42" s="1387">
        <v>250</v>
      </c>
      <c r="C42" s="442"/>
      <c r="D42" s="430">
        <f>G42+Q42+AK42+AL42</f>
        <v>0</v>
      </c>
      <c r="E42" s="59">
        <f>H42+R42+AL42+AK42</f>
        <v>0</v>
      </c>
      <c r="F42" s="410">
        <f t="shared" si="1"/>
        <v>0</v>
      </c>
      <c r="G42" s="283"/>
      <c r="H42" s="157"/>
      <c r="I42" s="669">
        <f t="shared" si="19"/>
        <v>0</v>
      </c>
      <c r="J42" s="882"/>
      <c r="K42" s="283"/>
      <c r="L42" s="157"/>
      <c r="M42" s="294"/>
      <c r="N42" s="293"/>
      <c r="O42" s="283"/>
      <c r="P42" s="365"/>
      <c r="Q42" s="276"/>
      <c r="R42" s="307"/>
      <c r="S42" s="372"/>
      <c r="T42" s="525"/>
      <c r="U42" s="307">
        <v>0</v>
      </c>
      <c r="V42" s="153">
        <v>0</v>
      </c>
      <c r="W42" s="357">
        <f t="shared" si="2"/>
        <v>0</v>
      </c>
      <c r="X42" s="379">
        <v>0</v>
      </c>
      <c r="Y42" s="153">
        <f t="shared" si="39"/>
        <v>0</v>
      </c>
      <c r="Z42" s="357">
        <f t="shared" si="40"/>
        <v>0</v>
      </c>
      <c r="AA42" s="307"/>
      <c r="AB42" s="153"/>
      <c r="AC42" s="357"/>
      <c r="AD42" s="276"/>
      <c r="AE42" s="153"/>
      <c r="AF42" s="357"/>
      <c r="AG42" s="276"/>
      <c r="AH42" s="153"/>
      <c r="AI42" s="357"/>
      <c r="AJ42" s="422">
        <v>0</v>
      </c>
      <c r="AK42" s="396">
        <v>0</v>
      </c>
      <c r="AL42" s="334">
        <v>0</v>
      </c>
      <c r="AM42" s="161">
        <f t="shared" si="20"/>
        <v>0</v>
      </c>
      <c r="AN42" s="1013">
        <f t="shared" si="5"/>
        <v>0</v>
      </c>
      <c r="AO42" s="334"/>
      <c r="AP42" s="161"/>
      <c r="AQ42" s="406"/>
      <c r="AR42" s="323"/>
      <c r="AS42" s="161"/>
      <c r="AT42" s="335"/>
      <c r="AU42" s="539">
        <f>AU44</f>
        <v>0</v>
      </c>
      <c r="AV42" s="323"/>
      <c r="AW42" s="161"/>
      <c r="AX42" s="335"/>
      <c r="BG42" s="617"/>
      <c r="BH42" s="621">
        <f>AF42-BG42</f>
        <v>0</v>
      </c>
      <c r="BI42" s="617"/>
      <c r="BJ42" s="621"/>
      <c r="BM42" s="628">
        <f t="shared" si="21"/>
        <v>0</v>
      </c>
      <c r="BN42" s="628">
        <f t="shared" si="14"/>
        <v>0</v>
      </c>
      <c r="BO42" s="535">
        <f t="shared" si="17"/>
        <v>0</v>
      </c>
      <c r="BP42" s="533"/>
      <c r="BQ42" s="617"/>
      <c r="BR42" s="621">
        <f>AP42-BQ42</f>
        <v>0</v>
      </c>
      <c r="BS42" s="617"/>
      <c r="BT42" s="621"/>
    </row>
    <row r="43" spans="1:72" s="115" customFormat="1" x14ac:dyDescent="0.3">
      <c r="A43" s="435" t="s">
        <v>92</v>
      </c>
      <c r="B43" s="1387"/>
      <c r="C43" s="442"/>
      <c r="D43" s="430"/>
      <c r="E43" s="59">
        <f>H43+R43+AL43+AK43</f>
        <v>0</v>
      </c>
      <c r="F43" s="410">
        <f t="shared" si="1"/>
        <v>0</v>
      </c>
      <c r="G43" s="283"/>
      <c r="H43" s="157"/>
      <c r="I43" s="669">
        <f t="shared" si="19"/>
        <v>0</v>
      </c>
      <c r="J43" s="882"/>
      <c r="K43" s="283"/>
      <c r="L43" s="157"/>
      <c r="M43" s="294"/>
      <c r="N43" s="293"/>
      <c r="O43" s="283"/>
      <c r="P43" s="365"/>
      <c r="Q43" s="276"/>
      <c r="R43" s="307"/>
      <c r="S43" s="372"/>
      <c r="T43" s="525"/>
      <c r="U43" s="307"/>
      <c r="V43" s="153"/>
      <c r="W43" s="357">
        <f t="shared" si="2"/>
        <v>0</v>
      </c>
      <c r="X43" s="379"/>
      <c r="Y43" s="153">
        <f t="shared" si="39"/>
        <v>0</v>
      </c>
      <c r="Z43" s="357">
        <f t="shared" si="40"/>
        <v>0</v>
      </c>
      <c r="AA43" s="307"/>
      <c r="AB43" s="153"/>
      <c r="AC43" s="357"/>
      <c r="AD43" s="276"/>
      <c r="AE43" s="153"/>
      <c r="AF43" s="357"/>
      <c r="AG43" s="276"/>
      <c r="AH43" s="153"/>
      <c r="AI43" s="357"/>
      <c r="AJ43" s="422"/>
      <c r="AK43" s="396"/>
      <c r="AL43" s="334">
        <v>0</v>
      </c>
      <c r="AM43" s="161">
        <f t="shared" si="20"/>
        <v>0</v>
      </c>
      <c r="AN43" s="1013">
        <f t="shared" si="5"/>
        <v>0</v>
      </c>
      <c r="AO43" s="334"/>
      <c r="AP43" s="161"/>
      <c r="AQ43" s="406"/>
      <c r="AR43" s="323"/>
      <c r="AS43" s="161"/>
      <c r="AT43" s="335"/>
      <c r="AU43" s="539"/>
      <c r="AV43" s="323"/>
      <c r="AW43" s="161"/>
      <c r="AX43" s="335"/>
      <c r="BG43" s="617"/>
      <c r="BH43" s="621">
        <f>AF43-BG43</f>
        <v>0</v>
      </c>
      <c r="BI43" s="617"/>
      <c r="BJ43" s="621"/>
      <c r="BM43" s="628">
        <f t="shared" si="21"/>
        <v>0</v>
      </c>
      <c r="BN43" s="628">
        <f t="shared" si="14"/>
        <v>0</v>
      </c>
      <c r="BO43" s="535">
        <f t="shared" si="17"/>
        <v>0</v>
      </c>
      <c r="BP43" s="533"/>
      <c r="BQ43" s="617"/>
      <c r="BR43" s="621">
        <f>AP43-BQ43</f>
        <v>0</v>
      </c>
      <c r="BS43" s="617"/>
      <c r="BT43" s="621"/>
    </row>
    <row r="44" spans="1:72" s="115" customFormat="1" x14ac:dyDescent="0.3">
      <c r="A44" s="443"/>
      <c r="B44" s="1387"/>
      <c r="C44" s="442"/>
      <c r="D44" s="430"/>
      <c r="E44" s="59">
        <f>H44+R44+AL44+AK44</f>
        <v>0</v>
      </c>
      <c r="F44" s="410">
        <f t="shared" si="1"/>
        <v>0</v>
      </c>
      <c r="G44" s="283"/>
      <c r="H44" s="157"/>
      <c r="I44" s="669">
        <f t="shared" si="19"/>
        <v>0</v>
      </c>
      <c r="J44" s="882"/>
      <c r="K44" s="283"/>
      <c r="L44" s="157"/>
      <c r="M44" s="294"/>
      <c r="N44" s="293"/>
      <c r="O44" s="283"/>
      <c r="P44" s="365"/>
      <c r="Q44" s="276"/>
      <c r="R44" s="307"/>
      <c r="S44" s="372"/>
      <c r="T44" s="525"/>
      <c r="U44" s="307"/>
      <c r="V44" s="153"/>
      <c r="W44" s="357">
        <f t="shared" si="2"/>
        <v>0</v>
      </c>
      <c r="X44" s="379"/>
      <c r="Y44" s="153">
        <f t="shared" si="39"/>
        <v>0</v>
      </c>
      <c r="Z44" s="357">
        <f t="shared" si="40"/>
        <v>0</v>
      </c>
      <c r="AA44" s="307"/>
      <c r="AB44" s="153"/>
      <c r="AC44" s="357"/>
      <c r="AD44" s="276"/>
      <c r="AE44" s="153"/>
      <c r="AF44" s="357"/>
      <c r="AG44" s="276"/>
      <c r="AH44" s="153"/>
      <c r="AI44" s="357"/>
      <c r="AJ44" s="422"/>
      <c r="AK44" s="396"/>
      <c r="AL44" s="334">
        <v>0</v>
      </c>
      <c r="AM44" s="161">
        <f t="shared" si="20"/>
        <v>0</v>
      </c>
      <c r="AN44" s="1013">
        <f t="shared" si="5"/>
        <v>0</v>
      </c>
      <c r="AO44" s="334"/>
      <c r="AP44" s="161"/>
      <c r="AQ44" s="406"/>
      <c r="AR44" s="323"/>
      <c r="AS44" s="161"/>
      <c r="AT44" s="335"/>
      <c r="AU44" s="539"/>
      <c r="AV44" s="323"/>
      <c r="AW44" s="161"/>
      <c r="AX44" s="335"/>
      <c r="BG44" s="617"/>
      <c r="BH44" s="621">
        <f>AF44-BG44</f>
        <v>0</v>
      </c>
      <c r="BI44" s="617"/>
      <c r="BJ44" s="621"/>
      <c r="BM44" s="628">
        <f t="shared" si="21"/>
        <v>0</v>
      </c>
      <c r="BN44" s="628">
        <f t="shared" si="14"/>
        <v>0</v>
      </c>
      <c r="BO44" s="535">
        <f t="shared" si="17"/>
        <v>0</v>
      </c>
      <c r="BP44" s="533"/>
      <c r="BQ44" s="617"/>
      <c r="BR44" s="621">
        <f>AP44-BQ44</f>
        <v>0</v>
      </c>
      <c r="BS44" s="617"/>
      <c r="BT44" s="621"/>
    </row>
    <row r="45" spans="1:72" s="115" customFormat="1" ht="31.5" x14ac:dyDescent="0.3">
      <c r="A45" s="435" t="s">
        <v>176</v>
      </c>
      <c r="B45" s="1388">
        <v>260</v>
      </c>
      <c r="C45" s="436">
        <v>240</v>
      </c>
      <c r="D45" s="1010">
        <f>D47+D48+D49+D50+D51+D55+D59+D61+D63+D66+D52+D56+D60+D62+D64+D65</f>
        <v>229525275.27500004</v>
      </c>
      <c r="E45" s="59">
        <f>H45+R45+AM45+AK45</f>
        <v>2866048940.0249996</v>
      </c>
      <c r="F45" s="410">
        <f t="shared" si="1"/>
        <v>2636523664.7499995</v>
      </c>
      <c r="G45" s="283">
        <v>46655720.769999996</v>
      </c>
      <c r="H45" s="157">
        <f>H47+H48+H49+H50+H51+H55+H59+H61+H63+H66+H52+H56+H60+H62+H64+H65</f>
        <v>46655720.769999996</v>
      </c>
      <c r="I45" s="669">
        <f t="shared" si="19"/>
        <v>0</v>
      </c>
      <c r="J45" s="882">
        <f>J47+J48+J49+J50+J51+J55+J59+J61</f>
        <v>0</v>
      </c>
      <c r="K45" s="157">
        <f>K47+K48+K49+K50+K51+K55+K59+K61+K63+K66+K52+K56+K60+K62+K64+K65</f>
        <v>29172987.350000001</v>
      </c>
      <c r="L45" s="157">
        <f>L47+L48+L49+L50+L51+L55+L59+L61+L63+L66+L52+L56+L60+L62+L64+L65</f>
        <v>30274311.979999997</v>
      </c>
      <c r="M45" s="294">
        <f>L45-K45</f>
        <v>1101324.6299999952</v>
      </c>
      <c r="N45" s="157">
        <f>N47+N48+N49+N50+N51+N55+N59+N61+N63+N66+N52+N56+N60+N62+N64+N65</f>
        <v>17482733.420000002</v>
      </c>
      <c r="O45" s="157">
        <f>O47+O48+O49+O50+O51+O55+O59+O61+O63+O66+O52+O56+O60+O62+O64+O65</f>
        <v>16381408.789999999</v>
      </c>
      <c r="P45" s="365">
        <f>O45-N45</f>
        <v>-1101324.6300000027</v>
      </c>
      <c r="Q45" s="276">
        <f>Q47+Q48+Q49+Q50+Q51+Q55+Q59+Q61+Q63+Q66+Q52+Q56+Q60+Q62+Q64+Q65</f>
        <v>1631473664.7600002</v>
      </c>
      <c r="R45" s="307">
        <f>R47+R48+R49+R50+R51+R55+R59+R61+R63+R66+R52+R56+R60+R62+R64+R65</f>
        <v>2636473664.7499995</v>
      </c>
      <c r="S45" s="372">
        <f>R45-Q45</f>
        <v>1004999999.9899993</v>
      </c>
      <c r="T45" s="525">
        <f>T47+T48+T49+T50+T51+T55+T59+T61+T63+T66+T52+T56+T60+T62+T64+T65</f>
        <v>388193676.14999998</v>
      </c>
      <c r="U45" s="307">
        <f>U47+U48+U49+U50+U51+U55+U59+U61+U63+U66+U52+U56+U60+U62+U64+U65</f>
        <v>1216891000</v>
      </c>
      <c r="V45" s="153">
        <f>V47+V48+V49+V50+V51+V55+V59+V61+V63+V66+V52+V56+V60+V62+V64+V65</f>
        <v>2221891000</v>
      </c>
      <c r="W45" s="357">
        <f>V45-U45</f>
        <v>1005000000</v>
      </c>
      <c r="X45" s="379">
        <f>X47+X48+X49+X50+X51+X55+X59+X61+X63+X66+X52+X56+X60+X62+X64+X65</f>
        <v>11003632.780000001</v>
      </c>
      <c r="Y45" s="153">
        <f>Y47+Y48+Y49+Y50+Y51+Y55+Y59+Y61+Y63+Y66+Y52+Y56+Y60+Y62+Y64+Y65</f>
        <v>11003632.780000001</v>
      </c>
      <c r="Z45" s="357">
        <f>Z47+Z48+Z49+Z50+Z51+Z55+Z59+Z61+Z63+Z66+Z52+Z56+Z60+Z62+Z64+Z65</f>
        <v>0</v>
      </c>
      <c r="AA45" s="307">
        <v>6222834.2999999998</v>
      </c>
      <c r="AB45" s="153">
        <f>AB47+AB48+AB49+AB50+AB51+AB55+AB59+AB61+AB63+AB66+AB52+AB56+AB60+AB62+AB64+AB65</f>
        <v>6222834.2999999998</v>
      </c>
      <c r="AC45" s="357">
        <f>AB45-AA45</f>
        <v>0</v>
      </c>
      <c r="AD45" s="276"/>
      <c r="AE45" s="153"/>
      <c r="AF45" s="357"/>
      <c r="AG45" s="153">
        <v>9162521.5199999996</v>
      </c>
      <c r="AH45" s="153">
        <f t="shared" ref="AH45" si="45">AH47+AH48+AH49+AH50+AH51+AH55+AH59+AH61+AH63+AH66+AH52+AH56+AH60+AH62+AH64+AH65</f>
        <v>9162521.5199999996</v>
      </c>
      <c r="AI45" s="357">
        <f>AH45-AG45</f>
        <v>0</v>
      </c>
      <c r="AJ45" s="422">
        <f>AJ47+AJ48+AJ49+AJ50+AJ51+AJ52+AJ56+AJ61</f>
        <v>0</v>
      </c>
      <c r="AK45" s="396">
        <f>AK47+AK48+AK49+AK50+AK51+AK55+AK59+AK61+AK63+AK66+AK52+AK56+AK60+AK62+AK64+AK65</f>
        <v>50000</v>
      </c>
      <c r="AL45" s="334">
        <v>182869554.505</v>
      </c>
      <c r="AM45" s="161">
        <f t="shared" si="20"/>
        <v>182869554.505</v>
      </c>
      <c r="AN45" s="1013">
        <f t="shared" si="5"/>
        <v>0</v>
      </c>
      <c r="AO45" s="334">
        <v>149019556.73446354</v>
      </c>
      <c r="AP45" s="323">
        <f>AP47+AP48+AP49+AP50+AP51+AP55+AP59+AP61+AP63+AP66+AP52+AP56+AP60+AP62+AP64+AP65</f>
        <v>148899692.495</v>
      </c>
      <c r="AQ45" s="406">
        <f>AP45-AO45</f>
        <v>-119864.23946353793</v>
      </c>
      <c r="AR45" s="161">
        <f>AR47+AR48+AR49+AR50+AR51+AR55+AR59+AR61+AR63+AR66+AR52+AR56+AR60+AR62+AR64+AR65</f>
        <v>22737058.73</v>
      </c>
      <c r="AS45" s="161">
        <f>AS47+AS48+AS49+AS50+AS51+AS55+AS59+AS61+AS63+AS66+AS52+AS56+AS60+AS62+AS64+AS65</f>
        <v>29210715.010000002</v>
      </c>
      <c r="AT45" s="335">
        <f>AS45-AR45</f>
        <v>6473656.2800000012</v>
      </c>
      <c r="AU45" s="539">
        <f>AU47+AU48+AU49+AU50+AU51+AU52+AU56+AU61</f>
        <v>0</v>
      </c>
      <c r="AV45" s="161">
        <f>AV47+AV48+AV49+AV50+AV51+AV55+AV59+AV61+AV63+AV66+AV52+AV56+AV60+AV62+AV64+AV65</f>
        <v>4759147</v>
      </c>
      <c r="AW45" s="161">
        <f>AW47+AW48+AW49+AW50+AW51+AW55+AW59+AW61+AW63+AW66+AW52+AW56+AW60+AW62+AW64+AW65</f>
        <v>4759147</v>
      </c>
      <c r="AX45" s="335">
        <f>AW45-AV45</f>
        <v>0</v>
      </c>
      <c r="BG45" s="334">
        <f>BG47+BG48+BG49+BG50+BG51+BG55+BG59+BG61+BG63+BG66+BG52+BG56+BG60+BG62+BG64+BG65</f>
        <v>0</v>
      </c>
      <c r="BH45" s="539">
        <f t="shared" ref="BH45:BJ45" si="46">BH47+BH48+BH49+BH50+BH51+BH55+BH59+BH61+BH63+BH66+BH52+BH56+BH60+BH62+BH64+BH65</f>
        <v>0</v>
      </c>
      <c r="BI45" s="334">
        <f t="shared" si="46"/>
        <v>25649553.189999998</v>
      </c>
      <c r="BJ45" s="539">
        <f t="shared" si="46"/>
        <v>-16487031.669999998</v>
      </c>
      <c r="BM45" s="628">
        <f t="shared" si="21"/>
        <v>182869554.505</v>
      </c>
      <c r="BN45" s="628">
        <f t="shared" si="14"/>
        <v>127263947.69999999</v>
      </c>
      <c r="BO45" s="535">
        <f t="shared" si="17"/>
        <v>55605606.805000007</v>
      </c>
      <c r="BP45" s="334">
        <f>SUM(BP48:BP66)</f>
        <v>126295893.63499999</v>
      </c>
      <c r="BQ45" s="334">
        <f>BQ47+BQ48+BQ49+BQ50+BQ51+BQ55+BQ59+BQ61+BQ63+BQ66+BQ52+BQ56+BQ60+BQ62+BQ64+BQ65</f>
        <v>101614394.50999999</v>
      </c>
      <c r="BR45" s="539">
        <f t="shared" ref="BR45:BT45" si="47">BR47+BR48+BR49+BR50+BR51+BR55+BR59+BR61+BR63+BR66+BR52+BR56+BR60+BR62+BR64+BR65</f>
        <v>53758954.265000001</v>
      </c>
      <c r="BS45" s="334">
        <f t="shared" si="47"/>
        <v>25649553.189999998</v>
      </c>
      <c r="BT45" s="539">
        <f t="shared" si="47"/>
        <v>-2912494.4599999995</v>
      </c>
    </row>
    <row r="46" spans="1:72" x14ac:dyDescent="0.3">
      <c r="A46" s="437" t="s">
        <v>92</v>
      </c>
      <c r="B46" s="1392"/>
      <c r="C46" s="438"/>
      <c r="D46" s="431"/>
      <c r="E46" s="59">
        <f>H46+R46+AL46+AK46</f>
        <v>0</v>
      </c>
      <c r="F46" s="410">
        <f t="shared" si="1"/>
        <v>0</v>
      </c>
      <c r="G46" s="285"/>
      <c r="H46" s="158"/>
      <c r="I46" s="669">
        <f t="shared" si="19"/>
        <v>0</v>
      </c>
      <c r="J46" s="881"/>
      <c r="K46" s="285"/>
      <c r="L46" s="158"/>
      <c r="M46" s="298"/>
      <c r="N46" s="297"/>
      <c r="O46" s="285"/>
      <c r="P46" s="367"/>
      <c r="Q46" s="279"/>
      <c r="R46" s="310"/>
      <c r="S46" s="375"/>
      <c r="T46" s="528"/>
      <c r="U46" s="310"/>
      <c r="V46" s="63"/>
      <c r="W46" s="357">
        <f t="shared" si="2"/>
        <v>0</v>
      </c>
      <c r="X46" s="382"/>
      <c r="Y46" s="153">
        <f>X46-W46</f>
        <v>0</v>
      </c>
      <c r="Z46" s="357">
        <f>X46-W46</f>
        <v>0</v>
      </c>
      <c r="AA46" s="310"/>
      <c r="AB46" s="63"/>
      <c r="AC46" s="360"/>
      <c r="AD46" s="279"/>
      <c r="AE46" s="63"/>
      <c r="AF46" s="360"/>
      <c r="AG46" s="279"/>
      <c r="AH46" s="63"/>
      <c r="AI46" s="360"/>
      <c r="AJ46" s="425"/>
      <c r="AK46" s="395"/>
      <c r="AL46" s="334">
        <v>0</v>
      </c>
      <c r="AM46" s="161">
        <f t="shared" si="20"/>
        <v>0</v>
      </c>
      <c r="AN46" s="1013">
        <f t="shared" si="5"/>
        <v>0</v>
      </c>
      <c r="AO46" s="338"/>
      <c r="AP46" s="162"/>
      <c r="AQ46" s="1019"/>
      <c r="AR46" s="324"/>
      <c r="AS46" s="162"/>
      <c r="AT46" s="339"/>
      <c r="AU46" s="540"/>
      <c r="AV46" s="324"/>
      <c r="AW46" s="162"/>
      <c r="AX46" s="339"/>
      <c r="AZ46" s="1218" t="s">
        <v>237</v>
      </c>
      <c r="BA46" s="1218" t="s">
        <v>197</v>
      </c>
      <c r="BG46" s="617"/>
      <c r="BH46" s="621">
        <f>AF46-BG46</f>
        <v>0</v>
      </c>
      <c r="BI46" s="617"/>
      <c r="BJ46" s="621"/>
      <c r="BM46" s="628">
        <f t="shared" si="21"/>
        <v>0</v>
      </c>
      <c r="BN46" s="628">
        <f t="shared" si="14"/>
        <v>0</v>
      </c>
      <c r="BO46" s="535">
        <f t="shared" si="17"/>
        <v>0</v>
      </c>
      <c r="BP46" s="533"/>
      <c r="BQ46" s="617"/>
      <c r="BR46" s="621">
        <f>AP46-BQ46</f>
        <v>0</v>
      </c>
      <c r="BS46" s="617"/>
      <c r="BT46" s="621"/>
    </row>
    <row r="47" spans="1:72" ht="31.5" x14ac:dyDescent="0.3">
      <c r="A47" s="437" t="s">
        <v>177</v>
      </c>
      <c r="B47" s="140"/>
      <c r="C47" s="1217">
        <v>241</v>
      </c>
      <c r="D47" s="431"/>
      <c r="E47" s="59">
        <f>H47+R47+AL47+AK47</f>
        <v>0</v>
      </c>
      <c r="F47" s="410">
        <f t="shared" si="1"/>
        <v>0</v>
      </c>
      <c r="G47" s="285"/>
      <c r="H47" s="158"/>
      <c r="I47" s="669">
        <f t="shared" si="19"/>
        <v>0</v>
      </c>
      <c r="J47" s="881"/>
      <c r="K47" s="285"/>
      <c r="L47" s="158"/>
      <c r="M47" s="298"/>
      <c r="N47" s="297"/>
      <c r="O47" s="285"/>
      <c r="P47" s="367"/>
      <c r="Q47" s="279"/>
      <c r="R47" s="310"/>
      <c r="S47" s="375"/>
      <c r="T47" s="528"/>
      <c r="U47" s="310"/>
      <c r="V47" s="63"/>
      <c r="W47" s="357">
        <f t="shared" si="2"/>
        <v>0</v>
      </c>
      <c r="X47" s="382"/>
      <c r="Y47" s="153">
        <f>X47-W47</f>
        <v>0</v>
      </c>
      <c r="Z47" s="360"/>
      <c r="AA47" s="310"/>
      <c r="AB47" s="63"/>
      <c r="AC47" s="360"/>
      <c r="AD47" s="279"/>
      <c r="AE47" s="63"/>
      <c r="AF47" s="360"/>
      <c r="AG47" s="279"/>
      <c r="AH47" s="63"/>
      <c r="AI47" s="360"/>
      <c r="AJ47" s="425"/>
      <c r="AK47" s="395"/>
      <c r="AL47" s="334">
        <v>0</v>
      </c>
      <c r="AM47" s="161">
        <f t="shared" si="20"/>
        <v>0</v>
      </c>
      <c r="AN47" s="1013">
        <f t="shared" si="5"/>
        <v>0</v>
      </c>
      <c r="AO47" s="338"/>
      <c r="AP47" s="162"/>
      <c r="AQ47" s="1019"/>
      <c r="AR47" s="324"/>
      <c r="AS47" s="162"/>
      <c r="AT47" s="339"/>
      <c r="AU47" s="540"/>
      <c r="AV47" s="324"/>
      <c r="AW47" s="162"/>
      <c r="AX47" s="339"/>
      <c r="AZ47" s="141"/>
      <c r="BA47" s="122">
        <v>25000</v>
      </c>
      <c r="BB47" s="117" t="s">
        <v>234</v>
      </c>
      <c r="BG47" s="617"/>
      <c r="BH47" s="621">
        <f>AF47-BG47</f>
        <v>0</v>
      </c>
      <c r="BI47" s="617"/>
      <c r="BJ47" s="621"/>
      <c r="BM47" s="628">
        <f t="shared" si="21"/>
        <v>0</v>
      </c>
      <c r="BN47" s="628">
        <f t="shared" si="14"/>
        <v>0</v>
      </c>
      <c r="BO47" s="535">
        <f t="shared" si="17"/>
        <v>0</v>
      </c>
      <c r="BP47" s="533"/>
      <c r="BQ47" s="617"/>
      <c r="BR47" s="621">
        <f>AP47-BQ47</f>
        <v>0</v>
      </c>
      <c r="BS47" s="617"/>
      <c r="BT47" s="621"/>
    </row>
    <row r="48" spans="1:72" ht="15.75" customHeight="1" x14ac:dyDescent="0.3">
      <c r="A48" s="437" t="s">
        <v>178</v>
      </c>
      <c r="B48" s="140"/>
      <c r="C48" s="1217">
        <v>244</v>
      </c>
      <c r="D48" s="431">
        <v>2150386.19</v>
      </c>
      <c r="E48" s="64">
        <f>H48+R48+AM48+AK48</f>
        <v>2406359.8600000003</v>
      </c>
      <c r="F48" s="410">
        <f t="shared" si="1"/>
        <v>255973.67000000039</v>
      </c>
      <c r="G48" s="285">
        <v>935479.38</v>
      </c>
      <c r="H48" s="158">
        <f>J48+L48+O48</f>
        <v>935479.38</v>
      </c>
      <c r="I48" s="669">
        <f t="shared" si="19"/>
        <v>0</v>
      </c>
      <c r="J48" s="881"/>
      <c r="K48" s="285">
        <v>717269.39</v>
      </c>
      <c r="L48" s="158">
        <f>G48-O48</f>
        <v>835479.38</v>
      </c>
      <c r="M48" s="298">
        <f>L48-K48</f>
        <v>118209.98999999999</v>
      </c>
      <c r="N48" s="285">
        <v>218209.99</v>
      </c>
      <c r="O48" s="285">
        <v>100000</v>
      </c>
      <c r="P48" s="367">
        <f>O48-N48</f>
        <v>-118209.98999999999</v>
      </c>
      <c r="Q48" s="279">
        <v>255973.67</v>
      </c>
      <c r="R48" s="310">
        <f>T48+V48+Y48+AB48+AE48+AH48</f>
        <v>255973.67</v>
      </c>
      <c r="S48" s="375">
        <f>R48-Q48</f>
        <v>0</v>
      </c>
      <c r="T48" s="528"/>
      <c r="U48" s="310"/>
      <c r="V48" s="63"/>
      <c r="W48" s="357">
        <f t="shared" si="2"/>
        <v>0</v>
      </c>
      <c r="X48" s="382">
        <v>210973.67</v>
      </c>
      <c r="Y48" s="63">
        <v>210973.67</v>
      </c>
      <c r="Z48" s="360"/>
      <c r="AA48" s="310">
        <v>45000</v>
      </c>
      <c r="AB48" s="63">
        <v>45000</v>
      </c>
      <c r="AC48" s="360">
        <f>AB48-AA48</f>
        <v>0</v>
      </c>
      <c r="AD48" s="279"/>
      <c r="AE48" s="63"/>
      <c r="AF48" s="360"/>
      <c r="AG48" s="279"/>
      <c r="AH48" s="63"/>
      <c r="AI48" s="360"/>
      <c r="AJ48" s="425"/>
      <c r="AK48" s="395"/>
      <c r="AL48" s="334">
        <v>1214906.81</v>
      </c>
      <c r="AM48" s="161">
        <f t="shared" si="20"/>
        <v>1214906.81</v>
      </c>
      <c r="AN48" s="1013">
        <f t="shared" si="5"/>
        <v>0</v>
      </c>
      <c r="AO48" s="338">
        <v>889902.56</v>
      </c>
      <c r="AP48" s="162">
        <f t="shared" ref="AP48:AP66" si="48">AL48-AS48-AW48</f>
        <v>825505.57000000007</v>
      </c>
      <c r="AQ48" s="1019">
        <f>AP48-AO48</f>
        <v>-64396.989999999991</v>
      </c>
      <c r="AR48" s="324">
        <v>265603.01</v>
      </c>
      <c r="AS48" s="162">
        <v>330000</v>
      </c>
      <c r="AT48" s="339">
        <f>AS48-AR48</f>
        <v>64396.989999999991</v>
      </c>
      <c r="AU48" s="540"/>
      <c r="AV48" s="324">
        <v>59401.24</v>
      </c>
      <c r="AW48" s="162">
        <v>59401.24</v>
      </c>
      <c r="AX48" s="339">
        <f>AW48-AV48</f>
        <v>0</v>
      </c>
      <c r="AZ48" s="122">
        <v>269900</v>
      </c>
      <c r="BA48" s="122">
        <f>-269900</f>
        <v>-269900</v>
      </c>
      <c r="BB48" s="117" t="s">
        <v>179</v>
      </c>
      <c r="BG48" s="617"/>
      <c r="BH48" s="621">
        <f>AE48-BG48</f>
        <v>0</v>
      </c>
      <c r="BI48" s="617">
        <v>212701.86</v>
      </c>
      <c r="BJ48" s="621">
        <f>AH48-BI48</f>
        <v>-212701.86</v>
      </c>
      <c r="BM48" s="629">
        <f t="shared" si="21"/>
        <v>1214906.81</v>
      </c>
      <c r="BN48" s="629">
        <f t="shared" si="14"/>
        <v>963193.04999999993</v>
      </c>
      <c r="BO48" s="533">
        <f t="shared" si="17"/>
        <v>251713.76000000013</v>
      </c>
      <c r="BP48" s="533">
        <f>BM48</f>
        <v>1214906.81</v>
      </c>
      <c r="BQ48" s="617">
        <v>750491.19</v>
      </c>
      <c r="BR48" s="621">
        <f>AO48-BQ48</f>
        <v>139411.37000000011</v>
      </c>
      <c r="BS48" s="617">
        <v>212701.86</v>
      </c>
      <c r="BT48" s="621">
        <f>AR48-BS48</f>
        <v>52901.150000000023</v>
      </c>
    </row>
    <row r="49" spans="1:74" ht="19.5" customHeight="1" x14ac:dyDescent="0.3">
      <c r="A49" s="437" t="s">
        <v>179</v>
      </c>
      <c r="B49" s="140"/>
      <c r="C49" s="1217">
        <v>244</v>
      </c>
      <c r="D49" s="431">
        <v>161040</v>
      </c>
      <c r="E49" s="64">
        <f>H49+R49+AM49+AK49</f>
        <v>161040</v>
      </c>
      <c r="F49" s="411">
        <f t="shared" si="1"/>
        <v>0</v>
      </c>
      <c r="G49" s="285"/>
      <c r="H49" s="158"/>
      <c r="I49" s="669">
        <f t="shared" si="19"/>
        <v>0</v>
      </c>
      <c r="J49" s="881"/>
      <c r="K49" s="285"/>
      <c r="L49" s="158">
        <f t="shared" ref="L49:L66" si="49">G49-O49</f>
        <v>0</v>
      </c>
      <c r="M49" s="298"/>
      <c r="N49" s="285"/>
      <c r="O49" s="285"/>
      <c r="P49" s="367"/>
      <c r="Q49" s="279"/>
      <c r="R49" s="310"/>
      <c r="S49" s="375"/>
      <c r="T49" s="528"/>
      <c r="U49" s="310"/>
      <c r="V49" s="63"/>
      <c r="W49" s="357">
        <f t="shared" si="2"/>
        <v>0</v>
      </c>
      <c r="X49" s="382"/>
      <c r="Y49" s="63">
        <f t="shared" ref="Y49:Y65" si="50">X49-Z49</f>
        <v>0</v>
      </c>
      <c r="Z49" s="360">
        <f>X49-W49</f>
        <v>0</v>
      </c>
      <c r="AA49" s="310"/>
      <c r="AB49" s="63"/>
      <c r="AC49" s="360"/>
      <c r="AD49" s="279"/>
      <c r="AE49" s="63"/>
      <c r="AF49" s="360"/>
      <c r="AG49" s="279"/>
      <c r="AH49" s="63"/>
      <c r="AI49" s="360"/>
      <c r="AJ49" s="425"/>
      <c r="AK49" s="395"/>
      <c r="AL49" s="334">
        <v>161040</v>
      </c>
      <c r="AM49" s="161">
        <f t="shared" si="20"/>
        <v>161040</v>
      </c>
      <c r="AN49" s="1013">
        <f t="shared" si="5"/>
        <v>0</v>
      </c>
      <c r="AO49" s="338">
        <v>111040</v>
      </c>
      <c r="AP49" s="1237">
        <f t="shared" si="48"/>
        <v>136040</v>
      </c>
      <c r="AQ49" s="1019">
        <f t="shared" ref="AQ49:AQ67" si="51">AP49-AO49</f>
        <v>25000</v>
      </c>
      <c r="AR49" s="324">
        <v>50000</v>
      </c>
      <c r="AS49" s="162">
        <v>25000</v>
      </c>
      <c r="AT49" s="339">
        <f>AS49-AR49</f>
        <v>-25000</v>
      </c>
      <c r="AU49" s="540"/>
      <c r="AV49" s="324"/>
      <c r="AW49" s="162"/>
      <c r="AX49" s="339">
        <f>AW49-AV49</f>
        <v>0</v>
      </c>
      <c r="AZ49" s="111">
        <v>50000</v>
      </c>
      <c r="BA49" s="111">
        <v>845833.33</v>
      </c>
      <c r="BB49" s="117" t="s">
        <v>242</v>
      </c>
      <c r="BG49" s="617"/>
      <c r="BH49" s="621">
        <f t="shared" ref="BH49:BH50" si="52">AE49-BG49</f>
        <v>0</v>
      </c>
      <c r="BI49" s="617">
        <v>30772.66</v>
      </c>
      <c r="BJ49" s="621">
        <f t="shared" ref="BJ49:BJ61" si="53">AH49-BI49</f>
        <v>-30772.66</v>
      </c>
      <c r="BM49" s="629">
        <f t="shared" si="21"/>
        <v>161040</v>
      </c>
      <c r="BN49" s="629">
        <f t="shared" si="14"/>
        <v>39127.660000000003</v>
      </c>
      <c r="BO49" s="533">
        <f t="shared" si="17"/>
        <v>121912.34</v>
      </c>
      <c r="BP49" s="533">
        <f>BN49</f>
        <v>39127.660000000003</v>
      </c>
      <c r="BQ49" s="617">
        <v>8355</v>
      </c>
      <c r="BR49" s="621">
        <f t="shared" ref="BR49:BR50" si="54">AO49-BQ49</f>
        <v>102685</v>
      </c>
      <c r="BS49" s="617">
        <v>30772.66</v>
      </c>
      <c r="BT49" s="621">
        <f t="shared" ref="BT49:BT75" si="55">AR49-BS49</f>
        <v>19227.34</v>
      </c>
    </row>
    <row r="50" spans="1:74" ht="16.5" customHeight="1" x14ac:dyDescent="0.3">
      <c r="A50" s="437" t="s">
        <v>180</v>
      </c>
      <c r="B50" s="140"/>
      <c r="C50" s="1217">
        <v>244</v>
      </c>
      <c r="D50" s="431">
        <v>33549466.220000003</v>
      </c>
      <c r="E50" s="64">
        <f>H50+R50+AM50+AK50</f>
        <v>45311602.850000001</v>
      </c>
      <c r="F50" s="411">
        <f t="shared" si="1"/>
        <v>11762136.629999999</v>
      </c>
      <c r="G50" s="285">
        <v>11180271.91</v>
      </c>
      <c r="H50" s="158">
        <f>J50+L50+O50</f>
        <v>11180271.91</v>
      </c>
      <c r="I50" s="669">
        <f t="shared" si="19"/>
        <v>0</v>
      </c>
      <c r="J50" s="881"/>
      <c r="K50" s="285">
        <v>7064216.5199999996</v>
      </c>
      <c r="L50" s="158">
        <f t="shared" si="49"/>
        <v>8580271.9100000001</v>
      </c>
      <c r="M50" s="298">
        <f>L50-K50</f>
        <v>1516055.3900000006</v>
      </c>
      <c r="N50" s="285">
        <v>4116055.39</v>
      </c>
      <c r="O50" s="285">
        <v>2600000</v>
      </c>
      <c r="P50" s="367">
        <f>O50-N50</f>
        <v>-1516055.3900000001</v>
      </c>
      <c r="Q50" s="279">
        <v>11762136.630000001</v>
      </c>
      <c r="R50" s="310">
        <f>T50+V50+Y50+AB50+AE50+AH50</f>
        <v>11762136.629999999</v>
      </c>
      <c r="S50" s="375">
        <f>R50-Q50</f>
        <v>0</v>
      </c>
      <c r="T50" s="528"/>
      <c r="U50" s="310"/>
      <c r="V50" s="63"/>
      <c r="W50" s="357">
        <f t="shared" si="2"/>
        <v>0</v>
      </c>
      <c r="X50" s="382">
        <v>2604490.63</v>
      </c>
      <c r="Y50" s="63">
        <v>2604490.63</v>
      </c>
      <c r="Z50" s="360"/>
      <c r="AA50" s="310">
        <v>1571646</v>
      </c>
      <c r="AB50" s="63">
        <v>1571646</v>
      </c>
      <c r="AC50" s="360">
        <f>AB50-AA50</f>
        <v>0</v>
      </c>
      <c r="AD50" s="279"/>
      <c r="AE50" s="63"/>
      <c r="AF50" s="360"/>
      <c r="AG50" s="63">
        <v>7586000</v>
      </c>
      <c r="AH50" s="63">
        <f>AG50</f>
        <v>7586000</v>
      </c>
      <c r="AI50" s="360">
        <f>AH50-AG50</f>
        <v>0</v>
      </c>
      <c r="AJ50" s="425"/>
      <c r="AK50" s="395"/>
      <c r="AL50" s="334">
        <v>22369194.310000002</v>
      </c>
      <c r="AM50" s="161">
        <f t="shared" si="20"/>
        <v>22369194.310000002</v>
      </c>
      <c r="AN50" s="1013">
        <f t="shared" si="5"/>
        <v>0</v>
      </c>
      <c r="AO50" s="338">
        <v>19267792.300000001</v>
      </c>
      <c r="AP50" s="162">
        <f t="shared" si="48"/>
        <v>17048722.300000001</v>
      </c>
      <c r="AQ50" s="1019">
        <f t="shared" si="51"/>
        <v>-2219070</v>
      </c>
      <c r="AR50" s="324">
        <v>1980930</v>
      </c>
      <c r="AS50" s="162">
        <v>4200000</v>
      </c>
      <c r="AT50" s="339">
        <f>AS50-AR50</f>
        <v>2219070</v>
      </c>
      <c r="AU50" s="540"/>
      <c r="AV50" s="324">
        <v>1120472.01</v>
      </c>
      <c r="AW50" s="162">
        <v>1120472.01</v>
      </c>
      <c r="AX50" s="339">
        <f>AW50-AV50</f>
        <v>0</v>
      </c>
      <c r="AZ50" s="122">
        <f>-(AZ38+AZ48+AZ35)</f>
        <v>-2401129.66</v>
      </c>
      <c r="BB50" s="117" t="s">
        <v>180</v>
      </c>
      <c r="BG50" s="617"/>
      <c r="BH50" s="621">
        <f t="shared" si="52"/>
        <v>0</v>
      </c>
      <c r="BI50" s="617">
        <v>879775.94</v>
      </c>
      <c r="BJ50" s="621">
        <f t="shared" si="53"/>
        <v>6706224.0600000005</v>
      </c>
      <c r="BM50" s="629">
        <f t="shared" si="21"/>
        <v>22369194.310000002</v>
      </c>
      <c r="BN50" s="629">
        <f t="shared" si="14"/>
        <v>16781898.300000001</v>
      </c>
      <c r="BO50" s="533">
        <f t="shared" si="17"/>
        <v>5587296.0100000016</v>
      </c>
      <c r="BP50" s="533">
        <f>BN50</f>
        <v>16781898.300000001</v>
      </c>
      <c r="BQ50" s="617">
        <f>15377975.9+224146.46+300000</f>
        <v>15902122.360000001</v>
      </c>
      <c r="BR50" s="621">
        <f t="shared" si="54"/>
        <v>3365669.9399999995</v>
      </c>
      <c r="BS50" s="617">
        <v>879775.94</v>
      </c>
      <c r="BT50" s="621">
        <f t="shared" si="55"/>
        <v>1101154.06</v>
      </c>
    </row>
    <row r="51" spans="1:74" x14ac:dyDescent="0.3">
      <c r="A51" s="437" t="s">
        <v>181</v>
      </c>
      <c r="B51" s="140"/>
      <c r="C51" s="1217">
        <v>244</v>
      </c>
      <c r="D51" s="431">
        <v>0</v>
      </c>
      <c r="E51" s="64">
        <f>H51+R51+AL51+AK51</f>
        <v>0</v>
      </c>
      <c r="F51" s="410">
        <f t="shared" si="1"/>
        <v>0</v>
      </c>
      <c r="G51" s="285"/>
      <c r="H51" s="158"/>
      <c r="I51" s="669">
        <f t="shared" si="19"/>
        <v>0</v>
      </c>
      <c r="J51" s="881"/>
      <c r="K51" s="285"/>
      <c r="L51" s="158">
        <f t="shared" si="49"/>
        <v>0</v>
      </c>
      <c r="M51" s="298"/>
      <c r="N51" s="285"/>
      <c r="O51" s="285"/>
      <c r="P51" s="367"/>
      <c r="Q51" s="279"/>
      <c r="R51" s="310"/>
      <c r="S51" s="375"/>
      <c r="T51" s="528"/>
      <c r="U51" s="310"/>
      <c r="V51" s="63"/>
      <c r="W51" s="357">
        <f t="shared" si="2"/>
        <v>0</v>
      </c>
      <c r="X51" s="382"/>
      <c r="Y51" s="63">
        <f t="shared" si="50"/>
        <v>0</v>
      </c>
      <c r="Z51" s="360">
        <f>X51-W51</f>
        <v>0</v>
      </c>
      <c r="AA51" s="310"/>
      <c r="AB51" s="63"/>
      <c r="AC51" s="360"/>
      <c r="AD51" s="279"/>
      <c r="AE51" s="63"/>
      <c r="AF51" s="360"/>
      <c r="AG51" s="279"/>
      <c r="AH51" s="63"/>
      <c r="AI51" s="360">
        <f t="shared" ref="AI51:AI55" si="56">AH51-AG51</f>
        <v>0</v>
      </c>
      <c r="AJ51" s="425"/>
      <c r="AK51" s="395"/>
      <c r="AL51" s="334">
        <v>0</v>
      </c>
      <c r="AM51" s="161">
        <f t="shared" si="20"/>
        <v>0</v>
      </c>
      <c r="AN51" s="1013">
        <f t="shared" si="5"/>
        <v>0</v>
      </c>
      <c r="AO51" s="338">
        <v>0</v>
      </c>
      <c r="AP51" s="162">
        <f t="shared" si="48"/>
        <v>0</v>
      </c>
      <c r="AQ51" s="1019">
        <f t="shared" si="51"/>
        <v>0</v>
      </c>
      <c r="AR51" s="324"/>
      <c r="AS51" s="162"/>
      <c r="AT51" s="339"/>
      <c r="AU51" s="540"/>
      <c r="AV51" s="324"/>
      <c r="AW51" s="162"/>
      <c r="AX51" s="339"/>
      <c r="AZ51" s="111">
        <v>23168167.190000001</v>
      </c>
      <c r="BA51" s="111">
        <v>2186471.81</v>
      </c>
      <c r="BB51" s="117" t="s">
        <v>243</v>
      </c>
      <c r="BG51" s="617"/>
      <c r="BH51" s="621">
        <f>AF51-BG51</f>
        <v>0</v>
      </c>
      <c r="BI51" s="617"/>
      <c r="BJ51" s="621">
        <f t="shared" si="53"/>
        <v>0</v>
      </c>
      <c r="BM51" s="629">
        <f t="shared" si="21"/>
        <v>0</v>
      </c>
      <c r="BN51" s="629">
        <f t="shared" si="14"/>
        <v>0</v>
      </c>
      <c r="BO51" s="533">
        <f t="shared" si="17"/>
        <v>0</v>
      </c>
      <c r="BP51" s="533"/>
      <c r="BQ51" s="617"/>
      <c r="BR51" s="621">
        <f>AP51-BQ51</f>
        <v>0</v>
      </c>
      <c r="BS51" s="617"/>
      <c r="BT51" s="621">
        <f t="shared" si="55"/>
        <v>0</v>
      </c>
    </row>
    <row r="52" spans="1:74" x14ac:dyDescent="0.3">
      <c r="A52" s="1417" t="s">
        <v>182</v>
      </c>
      <c r="B52" s="142"/>
      <c r="C52" s="1414">
        <v>243</v>
      </c>
      <c r="D52" s="431">
        <v>0</v>
      </c>
      <c r="E52" s="64">
        <f t="shared" ref="E52:E59" si="57">H52+R52+AM52+AK52</f>
        <v>1253015908.2</v>
      </c>
      <c r="F52" s="411">
        <f t="shared" si="1"/>
        <v>1253015908.2</v>
      </c>
      <c r="G52" s="285"/>
      <c r="H52" s="158"/>
      <c r="I52" s="669">
        <f t="shared" si="19"/>
        <v>0</v>
      </c>
      <c r="J52" s="883"/>
      <c r="K52" s="286"/>
      <c r="L52" s="158">
        <f t="shared" si="49"/>
        <v>0</v>
      </c>
      <c r="M52" s="300"/>
      <c r="N52" s="286"/>
      <c r="O52" s="286"/>
      <c r="P52" s="368"/>
      <c r="Q52" s="279">
        <v>1003324908.2</v>
      </c>
      <c r="R52" s="310">
        <f>T52+V52+Y52+AB52+AE52+AH52</f>
        <v>1253015908.2</v>
      </c>
      <c r="S52" s="375">
        <f>R52-Q52</f>
        <v>249691000</v>
      </c>
      <c r="T52" s="528">
        <v>146375908.19999999</v>
      </c>
      <c r="U52" s="310">
        <v>856949000</v>
      </c>
      <c r="V52" s="63">
        <v>1106640000</v>
      </c>
      <c r="W52" s="360">
        <f t="shared" si="2"/>
        <v>249691000</v>
      </c>
      <c r="X52" s="382"/>
      <c r="Y52" s="63">
        <f t="shared" si="50"/>
        <v>0</v>
      </c>
      <c r="Z52" s="360"/>
      <c r="AA52" s="310"/>
      <c r="AB52" s="63"/>
      <c r="AC52" s="360"/>
      <c r="AD52" s="279"/>
      <c r="AE52" s="63"/>
      <c r="AF52" s="360"/>
      <c r="AG52" s="279"/>
      <c r="AH52" s="63"/>
      <c r="AI52" s="360">
        <f t="shared" si="56"/>
        <v>0</v>
      </c>
      <c r="AJ52" s="425"/>
      <c r="AK52" s="397"/>
      <c r="AL52" s="334">
        <v>0</v>
      </c>
      <c r="AM52" s="161">
        <f t="shared" si="20"/>
        <v>0</v>
      </c>
      <c r="AN52" s="1013">
        <f t="shared" si="5"/>
        <v>0</v>
      </c>
      <c r="AO52" s="340">
        <v>0</v>
      </c>
      <c r="AP52" s="162">
        <f t="shared" si="48"/>
        <v>0</v>
      </c>
      <c r="AQ52" s="1019">
        <f t="shared" si="51"/>
        <v>0</v>
      </c>
      <c r="AR52" s="401"/>
      <c r="AS52" s="259"/>
      <c r="AT52" s="341"/>
      <c r="AU52" s="540"/>
      <c r="AV52" s="401"/>
      <c r="AW52" s="259"/>
      <c r="AX52" s="341"/>
      <c r="AZ52" s="111">
        <f>AL50-AZ51</f>
        <v>-798972.87999999896</v>
      </c>
      <c r="BG52" s="617"/>
      <c r="BH52" s="621">
        <f>AF52-BG52</f>
        <v>0</v>
      </c>
      <c r="BI52" s="617"/>
      <c r="BJ52" s="621">
        <f t="shared" si="53"/>
        <v>0</v>
      </c>
      <c r="BM52" s="629">
        <f t="shared" si="21"/>
        <v>0</v>
      </c>
      <c r="BN52" s="629">
        <f t="shared" si="14"/>
        <v>0</v>
      </c>
      <c r="BO52" s="533">
        <f t="shared" si="17"/>
        <v>0</v>
      </c>
      <c r="BP52" s="533"/>
      <c r="BQ52" s="617"/>
      <c r="BR52" s="621">
        <f>AP52-BQ52</f>
        <v>0</v>
      </c>
      <c r="BS52" s="617"/>
      <c r="BT52" s="621">
        <f t="shared" si="55"/>
        <v>0</v>
      </c>
    </row>
    <row r="53" spans="1:74" s="145" customFormat="1" ht="19.5" hidden="1" customHeight="1" x14ac:dyDescent="0.3">
      <c r="A53" s="1418"/>
      <c r="B53" s="143"/>
      <c r="C53" s="1415"/>
      <c r="D53" s="432">
        <v>0</v>
      </c>
      <c r="E53" s="64">
        <f t="shared" si="57"/>
        <v>0</v>
      </c>
      <c r="F53" s="411">
        <f t="shared" si="1"/>
        <v>0</v>
      </c>
      <c r="G53" s="285"/>
      <c r="H53" s="158"/>
      <c r="I53" s="669">
        <f t="shared" si="19"/>
        <v>0</v>
      </c>
      <c r="J53" s="884"/>
      <c r="K53" s="287"/>
      <c r="L53" s="158">
        <f t="shared" si="49"/>
        <v>0</v>
      </c>
      <c r="M53" s="302"/>
      <c r="N53" s="287"/>
      <c r="O53" s="287"/>
      <c r="P53" s="369"/>
      <c r="Q53" s="279">
        <v>0</v>
      </c>
      <c r="R53" s="310">
        <f t="shared" ref="R53:R66" si="58">T53+V53+Y53+AB53+AE53+AH53</f>
        <v>0</v>
      </c>
      <c r="S53" s="375">
        <f t="shared" ref="S53:S59" si="59">R53-Q53</f>
        <v>0</v>
      </c>
      <c r="T53" s="529"/>
      <c r="U53" s="523"/>
      <c r="V53" s="163"/>
      <c r="W53" s="360">
        <f t="shared" si="2"/>
        <v>0</v>
      </c>
      <c r="X53" s="384"/>
      <c r="Y53" s="63">
        <f t="shared" si="50"/>
        <v>0</v>
      </c>
      <c r="Z53" s="360">
        <f>X53-W53</f>
        <v>0</v>
      </c>
      <c r="AA53" s="523"/>
      <c r="AB53" s="163"/>
      <c r="AC53" s="361"/>
      <c r="AD53" s="280"/>
      <c r="AE53" s="163"/>
      <c r="AF53" s="361"/>
      <c r="AG53" s="280"/>
      <c r="AH53" s="163"/>
      <c r="AI53" s="360">
        <f t="shared" si="56"/>
        <v>0</v>
      </c>
      <c r="AJ53" s="427"/>
      <c r="AK53" s="398"/>
      <c r="AL53" s="334">
        <v>0</v>
      </c>
      <c r="AM53" s="161">
        <f t="shared" si="20"/>
        <v>0</v>
      </c>
      <c r="AN53" s="1013">
        <f t="shared" si="5"/>
        <v>0</v>
      </c>
      <c r="AO53" s="342">
        <v>0</v>
      </c>
      <c r="AP53" s="162">
        <f t="shared" si="48"/>
        <v>0</v>
      </c>
      <c r="AQ53" s="1019">
        <f t="shared" si="51"/>
        <v>0</v>
      </c>
      <c r="AR53" s="402"/>
      <c r="AS53" s="262"/>
      <c r="AT53" s="343"/>
      <c r="AU53" s="544"/>
      <c r="AV53" s="402"/>
      <c r="AW53" s="262"/>
      <c r="AX53" s="343"/>
      <c r="BG53" s="617"/>
      <c r="BH53" s="621">
        <f>AF53-BG53</f>
        <v>0</v>
      </c>
      <c r="BI53" s="617"/>
      <c r="BJ53" s="621">
        <f t="shared" si="53"/>
        <v>0</v>
      </c>
      <c r="BM53" s="629">
        <f t="shared" si="21"/>
        <v>0</v>
      </c>
      <c r="BN53" s="629">
        <f t="shared" si="14"/>
        <v>0</v>
      </c>
      <c r="BO53" s="533">
        <f t="shared" si="17"/>
        <v>0</v>
      </c>
      <c r="BP53" s="533"/>
      <c r="BQ53" s="617"/>
      <c r="BR53" s="621">
        <f>AP53-BQ53</f>
        <v>0</v>
      </c>
      <c r="BS53" s="617"/>
      <c r="BT53" s="621">
        <f t="shared" si="55"/>
        <v>0</v>
      </c>
    </row>
    <row r="54" spans="1:74" s="145" customFormat="1" ht="19.5" hidden="1" customHeight="1" x14ac:dyDescent="0.3">
      <c r="A54" s="1418"/>
      <c r="B54" s="143"/>
      <c r="C54" s="1416"/>
      <c r="D54" s="432">
        <v>0</v>
      </c>
      <c r="E54" s="64">
        <f t="shared" si="57"/>
        <v>0</v>
      </c>
      <c r="F54" s="411">
        <f t="shared" si="1"/>
        <v>0</v>
      </c>
      <c r="G54" s="285"/>
      <c r="H54" s="158"/>
      <c r="I54" s="669">
        <f t="shared" si="19"/>
        <v>0</v>
      </c>
      <c r="J54" s="884"/>
      <c r="K54" s="287"/>
      <c r="L54" s="158">
        <f t="shared" si="49"/>
        <v>0</v>
      </c>
      <c r="M54" s="302"/>
      <c r="N54" s="287"/>
      <c r="O54" s="287"/>
      <c r="P54" s="369"/>
      <c r="Q54" s="279">
        <v>0</v>
      </c>
      <c r="R54" s="310">
        <f t="shared" si="58"/>
        <v>0</v>
      </c>
      <c r="S54" s="375">
        <f t="shared" si="59"/>
        <v>0</v>
      </c>
      <c r="T54" s="529"/>
      <c r="U54" s="523"/>
      <c r="V54" s="163"/>
      <c r="W54" s="360">
        <f t="shared" si="2"/>
        <v>0</v>
      </c>
      <c r="X54" s="384"/>
      <c r="Y54" s="63">
        <f t="shared" si="50"/>
        <v>0</v>
      </c>
      <c r="Z54" s="360">
        <f>X54-W54</f>
        <v>0</v>
      </c>
      <c r="AA54" s="523"/>
      <c r="AB54" s="163"/>
      <c r="AC54" s="361"/>
      <c r="AD54" s="280"/>
      <c r="AE54" s="163"/>
      <c r="AF54" s="361"/>
      <c r="AG54" s="280"/>
      <c r="AH54" s="163"/>
      <c r="AI54" s="360">
        <f t="shared" si="56"/>
        <v>0</v>
      </c>
      <c r="AJ54" s="427"/>
      <c r="AK54" s="398"/>
      <c r="AL54" s="334">
        <v>0</v>
      </c>
      <c r="AM54" s="161">
        <f t="shared" si="20"/>
        <v>0</v>
      </c>
      <c r="AN54" s="1013">
        <f t="shared" si="5"/>
        <v>0</v>
      </c>
      <c r="AO54" s="342">
        <v>0</v>
      </c>
      <c r="AP54" s="162">
        <f t="shared" si="48"/>
        <v>0</v>
      </c>
      <c r="AQ54" s="1019">
        <f t="shared" si="51"/>
        <v>0</v>
      </c>
      <c r="AR54" s="402"/>
      <c r="AS54" s="262"/>
      <c r="AT54" s="343"/>
      <c r="AU54" s="544"/>
      <c r="AV54" s="402"/>
      <c r="AW54" s="262"/>
      <c r="AX54" s="343"/>
      <c r="AZ54" s="111"/>
      <c r="BA54" s="146"/>
      <c r="BB54" s="117" t="s">
        <v>239</v>
      </c>
      <c r="BC54" s="117"/>
      <c r="BD54" s="117"/>
      <c r="BE54" s="117"/>
      <c r="BF54" s="117"/>
      <c r="BG54" s="617"/>
      <c r="BH54" s="621">
        <f>AF54-BG54</f>
        <v>0</v>
      </c>
      <c r="BI54" s="617"/>
      <c r="BJ54" s="621">
        <f t="shared" si="53"/>
        <v>0</v>
      </c>
      <c r="BK54" s="117"/>
      <c r="BL54" s="117"/>
      <c r="BM54" s="629">
        <f t="shared" si="21"/>
        <v>0</v>
      </c>
      <c r="BN54" s="629">
        <f t="shared" si="14"/>
        <v>0</v>
      </c>
      <c r="BO54" s="533">
        <f t="shared" si="17"/>
        <v>0</v>
      </c>
      <c r="BP54" s="533"/>
      <c r="BQ54" s="617"/>
      <c r="BR54" s="621">
        <f>AP54-BQ54</f>
        <v>0</v>
      </c>
      <c r="BS54" s="617"/>
      <c r="BT54" s="621">
        <f t="shared" si="55"/>
        <v>0</v>
      </c>
    </row>
    <row r="55" spans="1:74" ht="19.5" customHeight="1" x14ac:dyDescent="0.3">
      <c r="A55" s="1419"/>
      <c r="B55" s="147"/>
      <c r="C55" s="444">
        <v>244</v>
      </c>
      <c r="D55" s="431">
        <v>49663432.989999995</v>
      </c>
      <c r="E55" s="64">
        <f t="shared" si="57"/>
        <v>91341380.239999995</v>
      </c>
      <c r="F55" s="411">
        <f t="shared" si="1"/>
        <v>41677947.25</v>
      </c>
      <c r="G55" s="285">
        <v>6515818.2999999998</v>
      </c>
      <c r="H55" s="158">
        <f>G55</f>
        <v>6515818.2999999998</v>
      </c>
      <c r="I55" s="669">
        <f t="shared" si="19"/>
        <v>0</v>
      </c>
      <c r="J55" s="881"/>
      <c r="K55" s="285">
        <v>3934762.54</v>
      </c>
      <c r="L55" s="1236">
        <f>H55-O55</f>
        <v>2515818.2999999998</v>
      </c>
      <c r="M55" s="298">
        <f>L55-K55</f>
        <v>-1418944.2400000002</v>
      </c>
      <c r="N55" s="285">
        <v>2581055.7599999998</v>
      </c>
      <c r="O55" s="285">
        <v>4000000</v>
      </c>
      <c r="P55" s="367">
        <f>O55-N55</f>
        <v>1418944.2400000002</v>
      </c>
      <c r="Q55" s="279">
        <v>4671847.25</v>
      </c>
      <c r="R55" s="310">
        <f t="shared" si="58"/>
        <v>41677947.25</v>
      </c>
      <c r="S55" s="375">
        <f t="shared" si="59"/>
        <v>37006100</v>
      </c>
      <c r="T55" s="528">
        <v>429259.19</v>
      </c>
      <c r="U55" s="310"/>
      <c r="V55" s="1068">
        <f>28582600+9240650.4-817150.39-0.01</f>
        <v>37006100</v>
      </c>
      <c r="W55" s="360">
        <f t="shared" si="2"/>
        <v>37006100</v>
      </c>
      <c r="X55" s="382">
        <v>978752.37</v>
      </c>
      <c r="Y55" s="63">
        <f>978752.36+0.01</f>
        <v>978752.37</v>
      </c>
      <c r="Z55" s="360"/>
      <c r="AA55" s="310">
        <v>1687314.17</v>
      </c>
      <c r="AB55" s="63">
        <v>1687314.17</v>
      </c>
      <c r="AC55" s="360">
        <f>AB55-AA55</f>
        <v>0</v>
      </c>
      <c r="AD55" s="279"/>
      <c r="AE55" s="63"/>
      <c r="AF55" s="360"/>
      <c r="AG55" s="279">
        <v>1576521.5200000003</v>
      </c>
      <c r="AH55" s="63">
        <f>AG55</f>
        <v>1576521.5200000003</v>
      </c>
      <c r="AI55" s="360">
        <f t="shared" si="56"/>
        <v>0</v>
      </c>
      <c r="AJ55" s="425"/>
      <c r="AK55" s="395"/>
      <c r="AL55" s="334">
        <v>43147614.689999998</v>
      </c>
      <c r="AM55" s="161">
        <f t="shared" si="20"/>
        <v>43147614.689999998</v>
      </c>
      <c r="AN55" s="1013">
        <f t="shared" si="5"/>
        <v>0</v>
      </c>
      <c r="AO55" s="338">
        <v>38155862.189999998</v>
      </c>
      <c r="AP55" s="162">
        <f t="shared" si="48"/>
        <v>39945000.269999996</v>
      </c>
      <c r="AQ55" s="1019">
        <f t="shared" si="51"/>
        <v>1789138.0799999982</v>
      </c>
      <c r="AR55" s="324">
        <v>4289138.08</v>
      </c>
      <c r="AS55" s="162">
        <v>2500000</v>
      </c>
      <c r="AT55" s="339">
        <f>AS55-AR55</f>
        <v>-1789138.08</v>
      </c>
      <c r="AU55" s="540"/>
      <c r="AV55" s="324">
        <v>702614.42</v>
      </c>
      <c r="AW55" s="162">
        <v>702614.42</v>
      </c>
      <c r="AX55" s="339">
        <f>AW55-AV55</f>
        <v>0</v>
      </c>
      <c r="AZ55" s="111">
        <v>11260837.890000001</v>
      </c>
      <c r="BA55" s="111">
        <v>2931349.03</v>
      </c>
      <c r="BB55" s="117" t="s">
        <v>238</v>
      </c>
      <c r="BG55" s="617"/>
      <c r="BH55" s="621">
        <f>AE55-BG55</f>
        <v>0</v>
      </c>
      <c r="BI55" s="617">
        <v>1302967.3999999999</v>
      </c>
      <c r="BJ55" s="621">
        <f t="shared" si="53"/>
        <v>273554.12000000034</v>
      </c>
      <c r="BM55" s="629">
        <f t="shared" si="21"/>
        <v>43147614.689999998</v>
      </c>
      <c r="BN55" s="629">
        <f t="shared" si="14"/>
        <v>8810001.3200000003</v>
      </c>
      <c r="BO55" s="533">
        <f t="shared" si="17"/>
        <v>34337613.369999997</v>
      </c>
      <c r="BP55" s="533">
        <f>BN55</f>
        <v>8810001.3200000003</v>
      </c>
      <c r="BQ55" s="617">
        <f>7007033.92+500000</f>
        <v>7507033.9199999999</v>
      </c>
      <c r="BR55" s="621">
        <f>AO55-BQ55</f>
        <v>30648828.269999996</v>
      </c>
      <c r="BS55" s="617">
        <v>1302967.3999999999</v>
      </c>
      <c r="BT55" s="621">
        <f t="shared" si="55"/>
        <v>2986170.68</v>
      </c>
    </row>
    <row r="56" spans="1:74" ht="19.5" customHeight="1" x14ac:dyDescent="0.3">
      <c r="A56" s="1417" t="s">
        <v>183</v>
      </c>
      <c r="B56" s="148"/>
      <c r="C56" s="1414">
        <v>243</v>
      </c>
      <c r="D56" s="431">
        <v>0</v>
      </c>
      <c r="E56" s="64">
        <f t="shared" si="57"/>
        <v>115847257.70999999</v>
      </c>
      <c r="F56" s="411">
        <f t="shared" si="1"/>
        <v>115847257.70999999</v>
      </c>
      <c r="G56" s="285"/>
      <c r="H56" s="158"/>
      <c r="I56" s="669">
        <f t="shared" si="19"/>
        <v>0</v>
      </c>
      <c r="J56" s="883"/>
      <c r="K56" s="286"/>
      <c r="L56" s="158">
        <f t="shared" si="49"/>
        <v>0</v>
      </c>
      <c r="M56" s="300"/>
      <c r="N56" s="286"/>
      <c r="O56" s="286"/>
      <c r="P56" s="368"/>
      <c r="Q56" s="279">
        <v>52389110</v>
      </c>
      <c r="R56" s="310">
        <f t="shared" si="58"/>
        <v>115847257.70999999</v>
      </c>
      <c r="S56" s="375">
        <f t="shared" si="59"/>
        <v>63458147.709999993</v>
      </c>
      <c r="T56" s="528">
        <v>4389110</v>
      </c>
      <c r="U56" s="310">
        <v>48000000</v>
      </c>
      <c r="V56" s="63">
        <v>111458147.70999999</v>
      </c>
      <c r="W56" s="360">
        <f t="shared" si="2"/>
        <v>63458147.709999993</v>
      </c>
      <c r="X56" s="382"/>
      <c r="Y56" s="63"/>
      <c r="Z56" s="360"/>
      <c r="AA56" s="310"/>
      <c r="AB56" s="63"/>
      <c r="AC56" s="360"/>
      <c r="AD56" s="279"/>
      <c r="AE56" s="63"/>
      <c r="AF56" s="360"/>
      <c r="AG56" s="279"/>
      <c r="AH56" s="63"/>
      <c r="AI56" s="360"/>
      <c r="AJ56" s="425"/>
      <c r="AK56" s="397"/>
      <c r="AL56" s="334">
        <v>0</v>
      </c>
      <c r="AM56" s="161">
        <f t="shared" si="20"/>
        <v>0</v>
      </c>
      <c r="AN56" s="1013">
        <f t="shared" si="5"/>
        <v>0</v>
      </c>
      <c r="AO56" s="340">
        <v>0</v>
      </c>
      <c r="AP56" s="162">
        <f t="shared" si="48"/>
        <v>0</v>
      </c>
      <c r="AQ56" s="1019">
        <f t="shared" si="51"/>
        <v>0</v>
      </c>
      <c r="AR56" s="401"/>
      <c r="AS56" s="259"/>
      <c r="AT56" s="341"/>
      <c r="AU56" s="540"/>
      <c r="AV56" s="401"/>
      <c r="AW56" s="259"/>
      <c r="AX56" s="341"/>
      <c r="BG56" s="617"/>
      <c r="BH56" s="621">
        <f>AF56-BG56</f>
        <v>0</v>
      </c>
      <c r="BI56" s="617"/>
      <c r="BJ56" s="621">
        <f t="shared" si="53"/>
        <v>0</v>
      </c>
      <c r="BM56" s="629">
        <f t="shared" si="21"/>
        <v>0</v>
      </c>
      <c r="BN56" s="629">
        <f t="shared" si="14"/>
        <v>0</v>
      </c>
      <c r="BO56" s="533">
        <f t="shared" si="17"/>
        <v>0</v>
      </c>
      <c r="BP56" s="533"/>
      <c r="BQ56" s="617"/>
      <c r="BR56" s="621">
        <f>AP56-BQ56</f>
        <v>0</v>
      </c>
      <c r="BS56" s="617"/>
      <c r="BT56" s="621">
        <f t="shared" si="55"/>
        <v>0</v>
      </c>
    </row>
    <row r="57" spans="1:74" s="145" customFormat="1" ht="18.75" hidden="1" customHeight="1" x14ac:dyDescent="0.3">
      <c r="A57" s="1418"/>
      <c r="B57" s="149"/>
      <c r="C57" s="1415"/>
      <c r="D57" s="432">
        <v>0</v>
      </c>
      <c r="E57" s="64">
        <f t="shared" si="57"/>
        <v>0</v>
      </c>
      <c r="F57" s="411">
        <f t="shared" si="1"/>
        <v>0</v>
      </c>
      <c r="G57" s="285"/>
      <c r="H57" s="158"/>
      <c r="I57" s="669">
        <f t="shared" si="19"/>
        <v>0</v>
      </c>
      <c r="J57" s="884"/>
      <c r="K57" s="287"/>
      <c r="L57" s="158">
        <f t="shared" si="49"/>
        <v>0</v>
      </c>
      <c r="M57" s="302"/>
      <c r="N57" s="287"/>
      <c r="O57" s="287"/>
      <c r="P57" s="369"/>
      <c r="Q57" s="279">
        <v>0</v>
      </c>
      <c r="R57" s="310">
        <f t="shared" si="58"/>
        <v>0</v>
      </c>
      <c r="S57" s="375">
        <f t="shared" si="59"/>
        <v>0</v>
      </c>
      <c r="T57" s="529"/>
      <c r="U57" s="523"/>
      <c r="V57" s="163"/>
      <c r="W57" s="360">
        <f t="shared" si="2"/>
        <v>0</v>
      </c>
      <c r="X57" s="384"/>
      <c r="Y57" s="63">
        <f t="shared" si="50"/>
        <v>0</v>
      </c>
      <c r="Z57" s="360">
        <f>X57-W57</f>
        <v>0</v>
      </c>
      <c r="AA57" s="523"/>
      <c r="AB57" s="163"/>
      <c r="AC57" s="361"/>
      <c r="AD57" s="280"/>
      <c r="AE57" s="163"/>
      <c r="AF57" s="361"/>
      <c r="AG57" s="280"/>
      <c r="AH57" s="163"/>
      <c r="AI57" s="361"/>
      <c r="AJ57" s="427"/>
      <c r="AK57" s="398"/>
      <c r="AL57" s="334">
        <v>0</v>
      </c>
      <c r="AM57" s="161">
        <f t="shared" si="20"/>
        <v>0</v>
      </c>
      <c r="AN57" s="1013">
        <f t="shared" si="5"/>
        <v>0</v>
      </c>
      <c r="AO57" s="342">
        <v>0</v>
      </c>
      <c r="AP57" s="162">
        <f t="shared" si="48"/>
        <v>0</v>
      </c>
      <c r="AQ57" s="1019">
        <f t="shared" si="51"/>
        <v>0</v>
      </c>
      <c r="AR57" s="402"/>
      <c r="AS57" s="262"/>
      <c r="AT57" s="343"/>
      <c r="AU57" s="544"/>
      <c r="AV57" s="402"/>
      <c r="AW57" s="262"/>
      <c r="AX57" s="343"/>
      <c r="BG57" s="617"/>
      <c r="BH57" s="621">
        <f>AF57-BG57</f>
        <v>0</v>
      </c>
      <c r="BI57" s="617"/>
      <c r="BJ57" s="621">
        <f t="shared" si="53"/>
        <v>0</v>
      </c>
      <c r="BM57" s="629">
        <f t="shared" si="21"/>
        <v>0</v>
      </c>
      <c r="BN57" s="629">
        <f t="shared" si="14"/>
        <v>0</v>
      </c>
      <c r="BO57" s="533">
        <f t="shared" si="17"/>
        <v>0</v>
      </c>
      <c r="BP57" s="533"/>
      <c r="BQ57" s="617"/>
      <c r="BR57" s="621">
        <f>AP57-BQ57</f>
        <v>0</v>
      </c>
      <c r="BS57" s="617"/>
      <c r="BT57" s="621">
        <f t="shared" si="55"/>
        <v>0</v>
      </c>
    </row>
    <row r="58" spans="1:74" s="145" customFormat="1" ht="33.75" hidden="1" customHeight="1" x14ac:dyDescent="0.3">
      <c r="A58" s="1418"/>
      <c r="B58" s="149"/>
      <c r="C58" s="1416"/>
      <c r="D58" s="432">
        <v>0</v>
      </c>
      <c r="E58" s="64">
        <f t="shared" si="57"/>
        <v>0</v>
      </c>
      <c r="F58" s="411">
        <f t="shared" si="1"/>
        <v>0</v>
      </c>
      <c r="G58" s="285"/>
      <c r="H58" s="158"/>
      <c r="I58" s="669">
        <f t="shared" si="19"/>
        <v>0</v>
      </c>
      <c r="J58" s="884"/>
      <c r="K58" s="287"/>
      <c r="L58" s="158">
        <f t="shared" si="49"/>
        <v>0</v>
      </c>
      <c r="M58" s="302"/>
      <c r="N58" s="287"/>
      <c r="O58" s="287"/>
      <c r="P58" s="369"/>
      <c r="Q58" s="279">
        <v>0</v>
      </c>
      <c r="R58" s="310">
        <f t="shared" si="58"/>
        <v>0</v>
      </c>
      <c r="S58" s="375">
        <f t="shared" si="59"/>
        <v>0</v>
      </c>
      <c r="T58" s="529"/>
      <c r="U58" s="523"/>
      <c r="V58" s="163"/>
      <c r="W58" s="360">
        <f t="shared" si="2"/>
        <v>0</v>
      </c>
      <c r="X58" s="384"/>
      <c r="Y58" s="63">
        <f t="shared" si="50"/>
        <v>0</v>
      </c>
      <c r="Z58" s="360">
        <f>X58-W58</f>
        <v>0</v>
      </c>
      <c r="AA58" s="523"/>
      <c r="AB58" s="163"/>
      <c r="AC58" s="361"/>
      <c r="AD58" s="280"/>
      <c r="AE58" s="163"/>
      <c r="AF58" s="361"/>
      <c r="AG58" s="280"/>
      <c r="AH58" s="163"/>
      <c r="AI58" s="361"/>
      <c r="AJ58" s="427"/>
      <c r="AK58" s="398"/>
      <c r="AL58" s="334">
        <v>0</v>
      </c>
      <c r="AM58" s="161">
        <f t="shared" si="20"/>
        <v>0</v>
      </c>
      <c r="AN58" s="1013">
        <f t="shared" si="5"/>
        <v>0</v>
      </c>
      <c r="AO58" s="342">
        <v>0</v>
      </c>
      <c r="AP58" s="162">
        <f t="shared" si="48"/>
        <v>0</v>
      </c>
      <c r="AQ58" s="1019">
        <f t="shared" si="51"/>
        <v>0</v>
      </c>
      <c r="AR58" s="402"/>
      <c r="AS58" s="262"/>
      <c r="AT58" s="343"/>
      <c r="AU58" s="544"/>
      <c r="AV58" s="402"/>
      <c r="AW58" s="262"/>
      <c r="AX58" s="343"/>
      <c r="BG58" s="617"/>
      <c r="BH58" s="621">
        <f>AF58-BG58</f>
        <v>0</v>
      </c>
      <c r="BI58" s="617"/>
      <c r="BJ58" s="621">
        <f t="shared" si="53"/>
        <v>0</v>
      </c>
      <c r="BM58" s="629">
        <f t="shared" si="21"/>
        <v>0</v>
      </c>
      <c r="BN58" s="629">
        <f t="shared" si="14"/>
        <v>0</v>
      </c>
      <c r="BO58" s="533">
        <f t="shared" si="17"/>
        <v>0</v>
      </c>
      <c r="BP58" s="533"/>
      <c r="BQ58" s="617"/>
      <c r="BR58" s="621">
        <f>AP58-BQ58</f>
        <v>0</v>
      </c>
      <c r="BS58" s="617"/>
      <c r="BT58" s="621">
        <f t="shared" si="55"/>
        <v>0</v>
      </c>
    </row>
    <row r="59" spans="1:74" ht="19.5" customHeight="1" x14ac:dyDescent="0.3">
      <c r="A59" s="1419"/>
      <c r="B59" s="140"/>
      <c r="C59" s="444">
        <v>244</v>
      </c>
      <c r="D59" s="431">
        <v>23598301.169999998</v>
      </c>
      <c r="E59" s="64">
        <f t="shared" si="57"/>
        <v>865486725.5</v>
      </c>
      <c r="F59" s="411">
        <f t="shared" si="1"/>
        <v>841888424.33000004</v>
      </c>
      <c r="G59" s="285">
        <v>3819615.4699999997</v>
      </c>
      <c r="H59" s="158">
        <f>J59+L59+O59</f>
        <v>3819615.4699999997</v>
      </c>
      <c r="I59" s="669">
        <f t="shared" si="19"/>
        <v>0</v>
      </c>
      <c r="J59" s="881"/>
      <c r="K59" s="285">
        <v>2389277.44</v>
      </c>
      <c r="L59" s="158">
        <f t="shared" si="49"/>
        <v>3319615.4699999997</v>
      </c>
      <c r="M59" s="298">
        <f>L59-K59</f>
        <v>930338.0299999998</v>
      </c>
      <c r="N59" s="285">
        <v>1430338.03</v>
      </c>
      <c r="O59" s="285">
        <v>500000</v>
      </c>
      <c r="P59" s="367">
        <f>O59-N59</f>
        <v>-930338.03</v>
      </c>
      <c r="Q59" s="279">
        <v>297440872.04000002</v>
      </c>
      <c r="R59" s="310">
        <f t="shared" si="58"/>
        <v>841838424.32999992</v>
      </c>
      <c r="S59" s="375">
        <f t="shared" si="59"/>
        <v>544397552.28999996</v>
      </c>
      <c r="T59" s="528">
        <f>143149690.39</f>
        <v>143149690.38999999</v>
      </c>
      <c r="U59" s="310">
        <v>153500000</v>
      </c>
      <c r="V59" s="63">
        <v>697897552.28999996</v>
      </c>
      <c r="W59" s="360">
        <f>V59-U59</f>
        <v>544397552.28999996</v>
      </c>
      <c r="X59" s="382">
        <v>733581.65</v>
      </c>
      <c r="Y59" s="63">
        <v>733581.65</v>
      </c>
      <c r="Z59" s="360"/>
      <c r="AA59" s="310">
        <v>57600</v>
      </c>
      <c r="AB59" s="63">
        <v>57600</v>
      </c>
      <c r="AC59" s="360">
        <f>AB59-AA59</f>
        <v>0</v>
      </c>
      <c r="AD59" s="279"/>
      <c r="AE59" s="63"/>
      <c r="AF59" s="360"/>
      <c r="AG59" s="279"/>
      <c r="AH59" s="63"/>
      <c r="AI59" s="360"/>
      <c r="AJ59" s="425"/>
      <c r="AK59" s="395">
        <v>50000</v>
      </c>
      <c r="AL59" s="334">
        <v>19778685.699999999</v>
      </c>
      <c r="AM59" s="161">
        <f t="shared" si="20"/>
        <v>19778685.699999999</v>
      </c>
      <c r="AN59" s="1013">
        <f t="shared" si="5"/>
        <v>0</v>
      </c>
      <c r="AO59" s="338">
        <v>18130316.859999999</v>
      </c>
      <c r="AP59" s="162">
        <f t="shared" si="48"/>
        <v>17289319.23</v>
      </c>
      <c r="AQ59" s="1019">
        <f t="shared" si="51"/>
        <v>-840997.62999999896</v>
      </c>
      <c r="AR59" s="324">
        <v>1259002.3700000001</v>
      </c>
      <c r="AS59" s="162">
        <v>2100000</v>
      </c>
      <c r="AT59" s="339">
        <f>AS59-AR59</f>
        <v>840997.62999999989</v>
      </c>
      <c r="AU59" s="540"/>
      <c r="AV59" s="324">
        <v>389366.47</v>
      </c>
      <c r="AW59" s="162">
        <v>389366.47</v>
      </c>
      <c r="AX59" s="339">
        <f>AW59-AV59</f>
        <v>0</v>
      </c>
      <c r="BG59" s="617"/>
      <c r="BH59" s="621">
        <f>AE59-BG59</f>
        <v>0</v>
      </c>
      <c r="BI59" s="617">
        <v>6240714.6699999999</v>
      </c>
      <c r="BJ59" s="621">
        <f t="shared" si="53"/>
        <v>-6240714.6699999999</v>
      </c>
      <c r="BM59" s="629">
        <f t="shared" si="21"/>
        <v>19778685.699999999</v>
      </c>
      <c r="BN59" s="629">
        <f t="shared" si="14"/>
        <v>15301417.92</v>
      </c>
      <c r="BO59" s="533">
        <f t="shared" si="17"/>
        <v>4477267.7799999993</v>
      </c>
      <c r="BP59" s="533">
        <f>BN59</f>
        <v>15301417.92</v>
      </c>
      <c r="BQ59" s="617">
        <f>10892760.59-2332057.34+500000</f>
        <v>9060703.25</v>
      </c>
      <c r="BR59" s="621">
        <f>AO59-BQ59</f>
        <v>9069613.6099999994</v>
      </c>
      <c r="BS59" s="617">
        <v>6240714.6699999999</v>
      </c>
      <c r="BT59" s="621">
        <f t="shared" si="55"/>
        <v>-4981712.3</v>
      </c>
      <c r="BV59" s="117">
        <f>2595807.22+2416357.34</f>
        <v>5012164.5600000005</v>
      </c>
    </row>
    <row r="60" spans="1:74" ht="19.5" customHeight="1" x14ac:dyDescent="0.3">
      <c r="A60" s="1417" t="s">
        <v>184</v>
      </c>
      <c r="B60" s="547"/>
      <c r="C60" s="444">
        <v>243</v>
      </c>
      <c r="D60" s="431">
        <v>0</v>
      </c>
      <c r="E60" s="64">
        <f>H60+R60+AL60+AK60</f>
        <v>0</v>
      </c>
      <c r="F60" s="411">
        <f t="shared" si="1"/>
        <v>0</v>
      </c>
      <c r="G60" s="285"/>
      <c r="H60" s="158"/>
      <c r="I60" s="669">
        <f t="shared" si="19"/>
        <v>0</v>
      </c>
      <c r="J60" s="881"/>
      <c r="K60" s="285"/>
      <c r="L60" s="158">
        <f t="shared" si="49"/>
        <v>0</v>
      </c>
      <c r="M60" s="298"/>
      <c r="N60" s="297"/>
      <c r="O60" s="285"/>
      <c r="P60" s="367"/>
      <c r="Q60" s="279"/>
      <c r="R60" s="310">
        <f t="shared" si="58"/>
        <v>0</v>
      </c>
      <c r="S60" s="375"/>
      <c r="T60" s="528"/>
      <c r="U60" s="310">
        <v>0</v>
      </c>
      <c r="V60" s="63">
        <v>0</v>
      </c>
      <c r="W60" s="360">
        <f t="shared" si="2"/>
        <v>0</v>
      </c>
      <c r="X60" s="382">
        <v>0</v>
      </c>
      <c r="Y60" s="63">
        <f t="shared" si="50"/>
        <v>0</v>
      </c>
      <c r="Z60" s="360">
        <f>X60-W60</f>
        <v>0</v>
      </c>
      <c r="AA60" s="310"/>
      <c r="AB60" s="63"/>
      <c r="AC60" s="360"/>
      <c r="AD60" s="279"/>
      <c r="AE60" s="63"/>
      <c r="AF60" s="360"/>
      <c r="AG60" s="279"/>
      <c r="AH60" s="63"/>
      <c r="AI60" s="360"/>
      <c r="AJ60" s="425">
        <v>0</v>
      </c>
      <c r="AK60" s="395">
        <v>0</v>
      </c>
      <c r="AL60" s="338">
        <v>0</v>
      </c>
      <c r="AM60" s="161">
        <f t="shared" si="20"/>
        <v>0</v>
      </c>
      <c r="AN60" s="1013">
        <f t="shared" si="5"/>
        <v>0</v>
      </c>
      <c r="AO60" s="338"/>
      <c r="AP60" s="162">
        <f t="shared" si="48"/>
        <v>0</v>
      </c>
      <c r="AQ60" s="1019">
        <f t="shared" si="51"/>
        <v>0</v>
      </c>
      <c r="AR60" s="324"/>
      <c r="AS60" s="162"/>
      <c r="AT60" s="339"/>
      <c r="AU60" s="540">
        <v>0</v>
      </c>
      <c r="AV60" s="324"/>
      <c r="AW60" s="162"/>
      <c r="AX60" s="339"/>
      <c r="BG60" s="617"/>
      <c r="BH60" s="621">
        <f>AF60-BG60</f>
        <v>0</v>
      </c>
      <c r="BI60" s="617"/>
      <c r="BJ60" s="621">
        <f t="shared" si="53"/>
        <v>0</v>
      </c>
      <c r="BM60" s="629">
        <f t="shared" si="21"/>
        <v>0</v>
      </c>
      <c r="BN60" s="629">
        <f t="shared" si="14"/>
        <v>0</v>
      </c>
      <c r="BO60" s="533">
        <f t="shared" si="17"/>
        <v>0</v>
      </c>
      <c r="BP60" s="533"/>
      <c r="BQ60" s="617"/>
      <c r="BR60" s="621">
        <f>AP60-BQ60</f>
        <v>0</v>
      </c>
      <c r="BS60" s="617"/>
      <c r="BT60" s="621">
        <f t="shared" si="55"/>
        <v>0</v>
      </c>
    </row>
    <row r="61" spans="1:74" ht="16.5" customHeight="1" x14ac:dyDescent="0.3">
      <c r="A61" s="1419"/>
      <c r="B61" s="548"/>
      <c r="C61" s="444">
        <v>244</v>
      </c>
      <c r="D61" s="431">
        <v>1034</v>
      </c>
      <c r="E61" s="64">
        <f>H61+R61+AM61+AK61</f>
        <v>1034</v>
      </c>
      <c r="F61" s="411">
        <f t="shared" si="1"/>
        <v>0</v>
      </c>
      <c r="G61" s="285">
        <v>1034</v>
      </c>
      <c r="H61" s="158">
        <f>J61+L61+O61</f>
        <v>1034</v>
      </c>
      <c r="I61" s="669">
        <f t="shared" si="19"/>
        <v>0</v>
      </c>
      <c r="J61" s="881">
        <f>SUM(J62:J66)</f>
        <v>0</v>
      </c>
      <c r="K61" s="285">
        <v>1034</v>
      </c>
      <c r="L61" s="158">
        <f t="shared" si="49"/>
        <v>1034</v>
      </c>
      <c r="M61" s="298">
        <f>L61-K61</f>
        <v>0</v>
      </c>
      <c r="N61" s="297"/>
      <c r="O61" s="285"/>
      <c r="P61" s="367">
        <f>O61-N61</f>
        <v>0</v>
      </c>
      <c r="Q61" s="279"/>
      <c r="R61" s="310">
        <f t="shared" si="58"/>
        <v>0</v>
      </c>
      <c r="S61" s="375">
        <f>R61-Q61</f>
        <v>0</v>
      </c>
      <c r="T61" s="528"/>
      <c r="U61" s="310"/>
      <c r="V61" s="63"/>
      <c r="W61" s="360">
        <f t="shared" si="2"/>
        <v>0</v>
      </c>
      <c r="X61" s="382"/>
      <c r="Y61" s="63">
        <f t="shared" si="50"/>
        <v>0</v>
      </c>
      <c r="Z61" s="360">
        <f>X61-W61</f>
        <v>0</v>
      </c>
      <c r="AA61" s="310"/>
      <c r="AB61" s="63"/>
      <c r="AC61" s="360">
        <f>AB61-AA61</f>
        <v>0</v>
      </c>
      <c r="AD61" s="279"/>
      <c r="AE61" s="63"/>
      <c r="AF61" s="360"/>
      <c r="AG61" s="279"/>
      <c r="AH61" s="63"/>
      <c r="AI61" s="360"/>
      <c r="AJ61" s="425">
        <f t="shared" ref="AJ61:AK61" si="60">SUM(AJ62:AJ66)</f>
        <v>0</v>
      </c>
      <c r="AK61" s="395">
        <f t="shared" si="60"/>
        <v>0</v>
      </c>
      <c r="AL61" s="338">
        <v>0</v>
      </c>
      <c r="AM61" s="161">
        <f t="shared" si="20"/>
        <v>0</v>
      </c>
      <c r="AN61" s="1013">
        <f t="shared" si="5"/>
        <v>0</v>
      </c>
      <c r="AO61" s="338"/>
      <c r="AP61" s="162">
        <f t="shared" si="48"/>
        <v>0</v>
      </c>
      <c r="AQ61" s="1019"/>
      <c r="AR61" s="324"/>
      <c r="AS61" s="162"/>
      <c r="AT61" s="339">
        <f>AS61-AR61</f>
        <v>0</v>
      </c>
      <c r="AU61" s="540">
        <f t="shared" ref="AU61" si="61">SUM(AU62:AU66)</f>
        <v>0</v>
      </c>
      <c r="AV61" s="324"/>
      <c r="AW61" s="162"/>
      <c r="AX61" s="339">
        <f>AW61-AV61</f>
        <v>0</v>
      </c>
      <c r="AZ61" s="1218" t="s">
        <v>237</v>
      </c>
      <c r="BA61" s="1218" t="s">
        <v>197</v>
      </c>
      <c r="BB61" s="1218" t="s">
        <v>197</v>
      </c>
      <c r="BC61" s="1218"/>
      <c r="BD61" s="1218"/>
      <c r="BE61" s="1218"/>
      <c r="BF61" s="1218"/>
      <c r="BG61" s="617"/>
      <c r="BH61" s="621">
        <f>AF61-BG61</f>
        <v>0</v>
      </c>
      <c r="BI61" s="617">
        <v>25587.66</v>
      </c>
      <c r="BJ61" s="621">
        <f t="shared" si="53"/>
        <v>-25587.66</v>
      </c>
      <c r="BK61" s="1218"/>
      <c r="BL61" s="1218"/>
      <c r="BM61" s="629">
        <f t="shared" si="21"/>
        <v>0</v>
      </c>
      <c r="BN61" s="629">
        <f t="shared" si="14"/>
        <v>25587.66</v>
      </c>
      <c r="BO61" s="533">
        <f t="shared" si="17"/>
        <v>-25587.66</v>
      </c>
      <c r="BP61" s="533">
        <f>BN61</f>
        <v>25587.66</v>
      </c>
      <c r="BQ61" s="617"/>
      <c r="BR61" s="621">
        <f>AP61-BQ61</f>
        <v>0</v>
      </c>
      <c r="BS61" s="617">
        <v>25587.66</v>
      </c>
      <c r="BT61" s="621">
        <f t="shared" si="55"/>
        <v>-25587.66</v>
      </c>
    </row>
    <row r="62" spans="1:74" x14ac:dyDescent="0.3">
      <c r="A62" s="1420" t="s">
        <v>185</v>
      </c>
      <c r="B62" s="1422"/>
      <c r="C62" s="1217">
        <v>243</v>
      </c>
      <c r="D62" s="431">
        <v>0</v>
      </c>
      <c r="E62" s="64">
        <f>H62+R62+AL62+AK62</f>
        <v>860103.18</v>
      </c>
      <c r="F62" s="411">
        <f t="shared" si="1"/>
        <v>860103.18</v>
      </c>
      <c r="G62" s="285"/>
      <c r="H62" s="158"/>
      <c r="I62" s="669">
        <f t="shared" si="19"/>
        <v>0</v>
      </c>
      <c r="J62" s="881"/>
      <c r="K62" s="285"/>
      <c r="L62" s="158">
        <f t="shared" si="49"/>
        <v>0</v>
      </c>
      <c r="M62" s="298"/>
      <c r="N62" s="297"/>
      <c r="O62" s="285"/>
      <c r="P62" s="367"/>
      <c r="Q62" s="279">
        <v>860103.18</v>
      </c>
      <c r="R62" s="310">
        <f t="shared" si="58"/>
        <v>860103.18</v>
      </c>
      <c r="S62" s="375">
        <f>R62-Q62</f>
        <v>0</v>
      </c>
      <c r="T62" s="528">
        <f>R104</f>
        <v>860103.18</v>
      </c>
      <c r="U62" s="310"/>
      <c r="V62" s="63"/>
      <c r="W62" s="360">
        <f t="shared" si="2"/>
        <v>0</v>
      </c>
      <c r="X62" s="382"/>
      <c r="Y62" s="63">
        <f t="shared" si="50"/>
        <v>0</v>
      </c>
      <c r="Z62" s="360">
        <f>X62-W62</f>
        <v>0</v>
      </c>
      <c r="AA62" s="310"/>
      <c r="AB62" s="63"/>
      <c r="AC62" s="360"/>
      <c r="AD62" s="279"/>
      <c r="AE62" s="63"/>
      <c r="AF62" s="360"/>
      <c r="AG62" s="279"/>
      <c r="AH62" s="63"/>
      <c r="AI62" s="360"/>
      <c r="AJ62" s="425"/>
      <c r="AK62" s="395"/>
      <c r="AL62" s="334">
        <v>0</v>
      </c>
      <c r="AM62" s="161">
        <f t="shared" si="20"/>
        <v>0</v>
      </c>
      <c r="AN62" s="1013">
        <f t="shared" si="5"/>
        <v>0</v>
      </c>
      <c r="AO62" s="338"/>
      <c r="AP62" s="162">
        <f t="shared" si="48"/>
        <v>0</v>
      </c>
      <c r="AQ62" s="1019">
        <f t="shared" si="51"/>
        <v>0</v>
      </c>
      <c r="AR62" s="324"/>
      <c r="AS62" s="162"/>
      <c r="AT62" s="339"/>
      <c r="AU62" s="540"/>
      <c r="AV62" s="324"/>
      <c r="AW62" s="162"/>
      <c r="AX62" s="339"/>
      <c r="AZ62" s="118"/>
      <c r="BA62" s="146">
        <v>2621361</v>
      </c>
      <c r="BB62" s="611"/>
      <c r="BC62" s="636"/>
      <c r="BD62" s="636"/>
      <c r="BE62" s="636"/>
      <c r="BF62" s="636"/>
      <c r="BG62" s="617"/>
      <c r="BH62" s="621">
        <f>AF62-BG62</f>
        <v>0</v>
      </c>
      <c r="BI62" s="617"/>
      <c r="BJ62" s="621">
        <f>AH62-BI62</f>
        <v>0</v>
      </c>
      <c r="BK62" s="636"/>
      <c r="BL62" s="636"/>
      <c r="BM62" s="629">
        <f t="shared" si="21"/>
        <v>0</v>
      </c>
      <c r="BN62" s="629">
        <f t="shared" si="14"/>
        <v>0</v>
      </c>
      <c r="BO62" s="533">
        <f t="shared" si="17"/>
        <v>0</v>
      </c>
      <c r="BP62" s="533"/>
      <c r="BQ62" s="617"/>
      <c r="BR62" s="621">
        <f>AP62-BQ62</f>
        <v>0</v>
      </c>
      <c r="BS62" s="617"/>
      <c r="BT62" s="621">
        <f>AR62-BS62</f>
        <v>0</v>
      </c>
    </row>
    <row r="63" spans="1:74" x14ac:dyDescent="0.3">
      <c r="A63" s="1421"/>
      <c r="B63" s="1423"/>
      <c r="C63" s="1217">
        <v>244</v>
      </c>
      <c r="D63" s="431">
        <v>4771877.3450000007</v>
      </c>
      <c r="E63" s="64">
        <f>H63+R63+AM63+AK63</f>
        <v>277328236.04499996</v>
      </c>
      <c r="F63" s="411">
        <f t="shared" si="1"/>
        <v>272556358.69999993</v>
      </c>
      <c r="G63" s="285">
        <v>2019992.7000000002</v>
      </c>
      <c r="H63" s="158">
        <f>J63+L63+O63</f>
        <v>2019992.7000000002</v>
      </c>
      <c r="I63" s="669">
        <f t="shared" si="19"/>
        <v>0</v>
      </c>
      <c r="J63" s="881"/>
      <c r="K63" s="285">
        <v>1247751.54</v>
      </c>
      <c r="L63" s="158">
        <f t="shared" si="49"/>
        <v>1764242.7000000002</v>
      </c>
      <c r="M63" s="298">
        <f>L63-K63</f>
        <v>516491.16000000015</v>
      </c>
      <c r="N63" s="367">
        <v>772241.16</v>
      </c>
      <c r="O63" s="158">
        <v>255750</v>
      </c>
      <c r="P63" s="367">
        <f>O63-N63</f>
        <v>-516491.16000000003</v>
      </c>
      <c r="Q63" s="279">
        <v>226004857.31</v>
      </c>
      <c r="R63" s="310">
        <f>T63+V63+Y63+AB63+AE63+AH63</f>
        <v>272556358.69999999</v>
      </c>
      <c r="S63" s="375">
        <f>R63-Q63</f>
        <v>46551501.389999986</v>
      </c>
      <c r="T63" s="528">
        <f>88525993.1-1033200-36204</f>
        <v>87456589.099999994</v>
      </c>
      <c r="U63" s="310">
        <v>138442000</v>
      </c>
      <c r="V63" s="63">
        <v>184993501.38999999</v>
      </c>
      <c r="W63" s="360">
        <f t="shared" si="2"/>
        <v>46551501.389999986</v>
      </c>
      <c r="X63" s="382">
        <v>106268.21</v>
      </c>
      <c r="Y63" s="63">
        <f>106268.22-0.01</f>
        <v>106268.21</v>
      </c>
      <c r="Z63" s="360"/>
      <c r="AA63" s="310"/>
      <c r="AB63" s="63"/>
      <c r="AC63" s="360"/>
      <c r="AD63" s="279"/>
      <c r="AE63" s="63"/>
      <c r="AF63" s="360"/>
      <c r="AG63" s="279"/>
      <c r="AH63" s="63"/>
      <c r="AI63" s="360"/>
      <c r="AJ63" s="425"/>
      <c r="AK63" s="395"/>
      <c r="AL63" s="334">
        <v>2751884.645</v>
      </c>
      <c r="AM63" s="161">
        <f t="shared" si="20"/>
        <v>2751884.6449999996</v>
      </c>
      <c r="AN63" s="1013">
        <f t="shared" si="5"/>
        <v>0</v>
      </c>
      <c r="AO63" s="338">
        <v>1999999.9950000001</v>
      </c>
      <c r="AP63" s="162">
        <f t="shared" si="48"/>
        <v>1741665.345</v>
      </c>
      <c r="AQ63" s="1019">
        <f t="shared" si="51"/>
        <v>-258334.65000000014</v>
      </c>
      <c r="AR63" s="324">
        <v>541665.35</v>
      </c>
      <c r="AS63" s="162">
        <v>800000</v>
      </c>
      <c r="AT63" s="339">
        <f>AS63-AR63</f>
        <v>258334.65000000002</v>
      </c>
      <c r="AU63" s="540"/>
      <c r="AV63" s="324">
        <v>210219.3</v>
      </c>
      <c r="AW63" s="162">
        <v>210219.3</v>
      </c>
      <c r="AX63" s="339">
        <f>AW63-AV63</f>
        <v>0</v>
      </c>
      <c r="AZ63" s="111"/>
      <c r="BA63" s="111">
        <v>487564.3</v>
      </c>
      <c r="BG63" s="617"/>
      <c r="BH63" s="621">
        <f>AE63-BG63</f>
        <v>0</v>
      </c>
      <c r="BI63" s="617">
        <v>2174384</v>
      </c>
      <c r="BJ63" s="621">
        <f t="shared" ref="BJ63:BJ66" si="62">AH63-BI63</f>
        <v>-2174384</v>
      </c>
      <c r="BM63" s="629">
        <f t="shared" si="21"/>
        <v>2751884.645</v>
      </c>
      <c r="BN63" s="629">
        <f t="shared" si="14"/>
        <v>3971652.4699999997</v>
      </c>
      <c r="BO63" s="533">
        <f t="shared" si="17"/>
        <v>-1219767.8249999997</v>
      </c>
      <c r="BP63" s="533">
        <f>BM63</f>
        <v>2751884.645</v>
      </c>
      <c r="BQ63" s="617">
        <f>1878568.47-81300</f>
        <v>1797268.47</v>
      </c>
      <c r="BR63" s="621">
        <f>AO63-BQ63</f>
        <v>202731.52500000014</v>
      </c>
      <c r="BS63" s="617">
        <v>2174384</v>
      </c>
      <c r="BT63" s="621">
        <f t="shared" si="55"/>
        <v>-1632718.65</v>
      </c>
    </row>
    <row r="64" spans="1:74" ht="31.5" x14ac:dyDescent="0.3">
      <c r="A64" s="437" t="s">
        <v>186</v>
      </c>
      <c r="B64" s="1214"/>
      <c r="C64" s="1217">
        <v>244</v>
      </c>
      <c r="D64" s="431">
        <v>0</v>
      </c>
      <c r="E64" s="59">
        <f>H64+R64+AL64+AK64</f>
        <v>0</v>
      </c>
      <c r="F64" s="411">
        <f t="shared" si="1"/>
        <v>0</v>
      </c>
      <c r="G64" s="285"/>
      <c r="H64" s="158"/>
      <c r="I64" s="669">
        <f t="shared" si="19"/>
        <v>0</v>
      </c>
      <c r="J64" s="881"/>
      <c r="K64" s="285"/>
      <c r="L64" s="158">
        <f>G64-O64</f>
        <v>0</v>
      </c>
      <c r="M64" s="298"/>
      <c r="N64" s="367"/>
      <c r="O64" s="158"/>
      <c r="P64" s="367"/>
      <c r="Q64" s="279"/>
      <c r="R64" s="310">
        <f t="shared" si="58"/>
        <v>0</v>
      </c>
      <c r="S64" s="375"/>
      <c r="T64" s="528"/>
      <c r="U64" s="310"/>
      <c r="V64" s="63"/>
      <c r="W64" s="360">
        <f t="shared" si="2"/>
        <v>0</v>
      </c>
      <c r="X64" s="382"/>
      <c r="Y64" s="63">
        <f t="shared" si="50"/>
        <v>0</v>
      </c>
      <c r="Z64" s="360">
        <f>X64-W64</f>
        <v>0</v>
      </c>
      <c r="AA64" s="310"/>
      <c r="AB64" s="63"/>
      <c r="AC64" s="360"/>
      <c r="AD64" s="279"/>
      <c r="AE64" s="63"/>
      <c r="AF64" s="360"/>
      <c r="AG64" s="279"/>
      <c r="AH64" s="63"/>
      <c r="AI64" s="360"/>
      <c r="AJ64" s="425"/>
      <c r="AK64" s="395"/>
      <c r="AL64" s="334">
        <v>0</v>
      </c>
      <c r="AM64" s="161">
        <f t="shared" si="20"/>
        <v>0</v>
      </c>
      <c r="AN64" s="1013">
        <f t="shared" si="5"/>
        <v>0</v>
      </c>
      <c r="AO64" s="338"/>
      <c r="AP64" s="162">
        <f t="shared" si="48"/>
        <v>0</v>
      </c>
      <c r="AQ64" s="1019">
        <f t="shared" si="51"/>
        <v>0</v>
      </c>
      <c r="AR64" s="324"/>
      <c r="AS64" s="162"/>
      <c r="AT64" s="339"/>
      <c r="AU64" s="540"/>
      <c r="AV64" s="324"/>
      <c r="AW64" s="162"/>
      <c r="AX64" s="339"/>
      <c r="AZ64" s="1218" t="s">
        <v>237</v>
      </c>
      <c r="BA64" s="1218" t="s">
        <v>197</v>
      </c>
      <c r="BG64" s="617"/>
      <c r="BH64" s="621">
        <f>AF64-BG64</f>
        <v>0</v>
      </c>
      <c r="BI64" s="617"/>
      <c r="BJ64" s="621">
        <f t="shared" si="62"/>
        <v>0</v>
      </c>
      <c r="BM64" s="629">
        <f t="shared" si="21"/>
        <v>0</v>
      </c>
      <c r="BN64" s="629">
        <f t="shared" si="14"/>
        <v>0</v>
      </c>
      <c r="BO64" s="533">
        <f t="shared" si="17"/>
        <v>0</v>
      </c>
      <c r="BP64" s="533"/>
      <c r="BQ64" s="617"/>
      <c r="BR64" s="621">
        <f>AP64-BQ64</f>
        <v>0</v>
      </c>
      <c r="BS64" s="617"/>
      <c r="BT64" s="621">
        <f t="shared" si="55"/>
        <v>0</v>
      </c>
    </row>
    <row r="65" spans="1:72" x14ac:dyDescent="0.3">
      <c r="A65" s="1420" t="s">
        <v>187</v>
      </c>
      <c r="B65" s="1424"/>
      <c r="C65" s="1217">
        <v>243</v>
      </c>
      <c r="D65" s="431">
        <v>0</v>
      </c>
      <c r="E65" s="59">
        <f>H65+R65+AL65+AK65</f>
        <v>0</v>
      </c>
      <c r="F65" s="411">
        <f t="shared" si="1"/>
        <v>0</v>
      </c>
      <c r="G65" s="285"/>
      <c r="H65" s="158"/>
      <c r="I65" s="669">
        <f t="shared" si="19"/>
        <v>0</v>
      </c>
      <c r="J65" s="881"/>
      <c r="K65" s="285"/>
      <c r="L65" s="158">
        <f t="shared" si="49"/>
        <v>0</v>
      </c>
      <c r="M65" s="298"/>
      <c r="N65" s="367"/>
      <c r="O65" s="158"/>
      <c r="P65" s="367"/>
      <c r="Q65" s="279"/>
      <c r="R65" s="310">
        <f t="shared" si="58"/>
        <v>0</v>
      </c>
      <c r="S65" s="375"/>
      <c r="T65" s="528"/>
      <c r="U65" s="310"/>
      <c r="V65" s="63"/>
      <c r="W65" s="360">
        <f t="shared" si="2"/>
        <v>0</v>
      </c>
      <c r="X65" s="382"/>
      <c r="Y65" s="63">
        <f t="shared" si="50"/>
        <v>0</v>
      </c>
      <c r="Z65" s="360">
        <f>X65-W65</f>
        <v>0</v>
      </c>
      <c r="AA65" s="310"/>
      <c r="AB65" s="63"/>
      <c r="AC65" s="360"/>
      <c r="AD65" s="279"/>
      <c r="AE65" s="63"/>
      <c r="AF65" s="360"/>
      <c r="AG65" s="279"/>
      <c r="AH65" s="63"/>
      <c r="AI65" s="360"/>
      <c r="AJ65" s="425"/>
      <c r="AK65" s="395"/>
      <c r="AL65" s="334">
        <v>0</v>
      </c>
      <c r="AM65" s="161">
        <f t="shared" si="20"/>
        <v>0</v>
      </c>
      <c r="AN65" s="1013">
        <f t="shared" si="5"/>
        <v>0</v>
      </c>
      <c r="AO65" s="338"/>
      <c r="AP65" s="162">
        <f t="shared" si="48"/>
        <v>0</v>
      </c>
      <c r="AQ65" s="1019">
        <f t="shared" si="51"/>
        <v>0</v>
      </c>
      <c r="AR65" s="324"/>
      <c r="AS65" s="162"/>
      <c r="AT65" s="339"/>
      <c r="AU65" s="540"/>
      <c r="AV65" s="324"/>
      <c r="AW65" s="162"/>
      <c r="AX65" s="339"/>
      <c r="AZ65" s="118"/>
      <c r="BA65" s="146">
        <v>-260231.34</v>
      </c>
      <c r="BG65" s="617"/>
      <c r="BH65" s="621">
        <f>AF65-BG65</f>
        <v>0</v>
      </c>
      <c r="BI65" s="617"/>
      <c r="BJ65" s="621">
        <f t="shared" si="62"/>
        <v>0</v>
      </c>
      <c r="BM65" s="629">
        <f t="shared" si="21"/>
        <v>0</v>
      </c>
      <c r="BN65" s="629">
        <f t="shared" si="14"/>
        <v>0</v>
      </c>
      <c r="BO65" s="533">
        <f t="shared" si="17"/>
        <v>0</v>
      </c>
      <c r="BP65" s="533"/>
      <c r="BQ65" s="617"/>
      <c r="BR65" s="621">
        <f>AP65-BQ65</f>
        <v>0</v>
      </c>
      <c r="BS65" s="617"/>
      <c r="BT65" s="621">
        <f t="shared" si="55"/>
        <v>0</v>
      </c>
    </row>
    <row r="66" spans="1:72" x14ac:dyDescent="0.3">
      <c r="A66" s="1421"/>
      <c r="B66" s="1423"/>
      <c r="C66" s="1217">
        <v>244</v>
      </c>
      <c r="D66" s="431">
        <v>115629737.36000001</v>
      </c>
      <c r="E66" s="64">
        <f>H66+R66+AM66+AK66</f>
        <v>214289292.44</v>
      </c>
      <c r="F66" s="411">
        <f t="shared" si="1"/>
        <v>98659555.079999983</v>
      </c>
      <c r="G66" s="285">
        <v>22183509.009999998</v>
      </c>
      <c r="H66" s="158">
        <f>J66+L66+O66</f>
        <v>22183509.009999998</v>
      </c>
      <c r="I66" s="669">
        <f t="shared" si="19"/>
        <v>0</v>
      </c>
      <c r="J66" s="881"/>
      <c r="K66" s="285">
        <v>13818675.92</v>
      </c>
      <c r="L66" s="1236">
        <f t="shared" si="49"/>
        <v>13257850.219999999</v>
      </c>
      <c r="M66" s="298">
        <f>L66-K66</f>
        <v>-560825.70000000112</v>
      </c>
      <c r="N66" s="367">
        <v>8364833.0899999999</v>
      </c>
      <c r="O66" s="158">
        <v>8925658.7899999991</v>
      </c>
      <c r="P66" s="367">
        <f>O66-N66</f>
        <v>560825.69999999925</v>
      </c>
      <c r="Q66" s="279">
        <v>34763856.479999997</v>
      </c>
      <c r="R66" s="310">
        <f t="shared" si="58"/>
        <v>98659555.079999998</v>
      </c>
      <c r="S66" s="375">
        <f>R66-Q66</f>
        <v>63895698.600000001</v>
      </c>
      <c r="T66" s="528">
        <f>7077043.25-1435000-109027.16</f>
        <v>5533016.0899999999</v>
      </c>
      <c r="U66" s="310">
        <v>20000000</v>
      </c>
      <c r="V66" s="63">
        <v>83895698.609999999</v>
      </c>
      <c r="W66" s="360">
        <f t="shared" si="2"/>
        <v>63895698.609999999</v>
      </c>
      <c r="X66" s="382">
        <v>6369566.25</v>
      </c>
      <c r="Y66" s="63">
        <f>6369566.26-0.01</f>
        <v>6369566.25</v>
      </c>
      <c r="Z66" s="360"/>
      <c r="AA66" s="310">
        <v>2861274.13</v>
      </c>
      <c r="AB66" s="63">
        <v>2861274.13</v>
      </c>
      <c r="AC66" s="360">
        <f>AB66-AA66</f>
        <v>0</v>
      </c>
      <c r="AD66" s="279"/>
      <c r="AE66" s="63"/>
      <c r="AF66" s="360"/>
      <c r="AG66" s="279"/>
      <c r="AH66" s="63"/>
      <c r="AI66" s="360"/>
      <c r="AJ66" s="425"/>
      <c r="AK66" s="395"/>
      <c r="AL66" s="334">
        <v>93446228.350000009</v>
      </c>
      <c r="AM66" s="161">
        <f t="shared" si="20"/>
        <v>93446228.350000009</v>
      </c>
      <c r="AN66" s="1013">
        <f t="shared" si="5"/>
        <v>0</v>
      </c>
      <c r="AO66" s="338">
        <v>76818434.870000005</v>
      </c>
      <c r="AP66" s="162">
        <f t="shared" si="48"/>
        <v>71913439.780000001</v>
      </c>
      <c r="AQ66" s="1019">
        <f t="shared" si="51"/>
        <v>-4904995.0900000036</v>
      </c>
      <c r="AR66" s="324">
        <v>14350719.92</v>
      </c>
      <c r="AS66" s="162">
        <f>19368000-112284.99</f>
        <v>19255715.010000002</v>
      </c>
      <c r="AT66" s="339">
        <f>AS66-AR66</f>
        <v>4904995.0900000017</v>
      </c>
      <c r="AU66" s="540"/>
      <c r="AV66" s="324">
        <v>2277073.56</v>
      </c>
      <c r="AW66" s="162">
        <v>2277073.56</v>
      </c>
      <c r="AX66" s="339">
        <f>AW66-AV66</f>
        <v>0</v>
      </c>
      <c r="AZ66" s="111">
        <v>74638998.689999998</v>
      </c>
      <c r="BA66" s="111">
        <v>25190635.949999999</v>
      </c>
      <c r="BG66" s="617"/>
      <c r="BH66" s="621">
        <f>AE66-BG66</f>
        <v>0</v>
      </c>
      <c r="BI66" s="617">
        <v>14782649</v>
      </c>
      <c r="BJ66" s="621">
        <f t="shared" si="62"/>
        <v>-14782649</v>
      </c>
      <c r="BM66" s="629">
        <f t="shared" si="21"/>
        <v>93446228.350000009</v>
      </c>
      <c r="BN66" s="629">
        <f t="shared" si="14"/>
        <v>81371069.319999993</v>
      </c>
      <c r="BO66" s="533">
        <f t="shared" si="17"/>
        <v>12075159.030000016</v>
      </c>
      <c r="BP66" s="533">
        <f>BN66</f>
        <v>81371069.319999993</v>
      </c>
      <c r="BQ66" s="617">
        <f>64959183.81-3000+1195603.28+500000-63366.77</f>
        <v>66588420.32</v>
      </c>
      <c r="BR66" s="621">
        <f>AO66-BQ66</f>
        <v>10230014.550000004</v>
      </c>
      <c r="BS66" s="617">
        <v>14782649</v>
      </c>
      <c r="BT66" s="621">
        <f t="shared" si="55"/>
        <v>-431929.08000000007</v>
      </c>
    </row>
    <row r="67" spans="1:72" s="115" customFormat="1" ht="21.75" customHeight="1" x14ac:dyDescent="0.3">
      <c r="A67" s="435" t="s">
        <v>188</v>
      </c>
      <c r="B67" s="1215">
        <v>300</v>
      </c>
      <c r="C67" s="436" t="s">
        <v>149</v>
      </c>
      <c r="D67" s="430">
        <v>0</v>
      </c>
      <c r="E67" s="59">
        <f t="shared" ref="E67:E72" si="63">H67+R67+AL67+AK67</f>
        <v>0</v>
      </c>
      <c r="F67" s="411">
        <f t="shared" si="1"/>
        <v>0</v>
      </c>
      <c r="G67" s="283"/>
      <c r="H67" s="157"/>
      <c r="I67" s="669">
        <f t="shared" si="19"/>
        <v>0</v>
      </c>
      <c r="J67" s="882"/>
      <c r="K67" s="283"/>
      <c r="L67" s="157"/>
      <c r="M67" s="294"/>
      <c r="N67" s="521"/>
      <c r="O67" s="157"/>
      <c r="P67" s="365"/>
      <c r="Q67" s="276"/>
      <c r="R67" s="307"/>
      <c r="S67" s="372"/>
      <c r="T67" s="525"/>
      <c r="U67" s="307">
        <v>0</v>
      </c>
      <c r="V67" s="153">
        <v>0</v>
      </c>
      <c r="W67" s="357">
        <f t="shared" si="2"/>
        <v>0</v>
      </c>
      <c r="X67" s="379">
        <v>0</v>
      </c>
      <c r="Y67" s="153">
        <f t="shared" ref="Y67:Y74" si="64">X67-W67</f>
        <v>0</v>
      </c>
      <c r="Z67" s="357">
        <f t="shared" ref="Z67:Z74" si="65">X67-W67</f>
        <v>0</v>
      </c>
      <c r="AA67" s="307"/>
      <c r="AB67" s="153"/>
      <c r="AC67" s="357"/>
      <c r="AD67" s="276"/>
      <c r="AE67" s="153"/>
      <c r="AF67" s="357"/>
      <c r="AG67" s="276"/>
      <c r="AH67" s="153"/>
      <c r="AI67" s="357"/>
      <c r="AJ67" s="422">
        <f>AJ69+AJ70</f>
        <v>0</v>
      </c>
      <c r="AK67" s="396">
        <f>SUM(AK69:AK70)</f>
        <v>0</v>
      </c>
      <c r="AL67" s="334">
        <v>0</v>
      </c>
      <c r="AM67" s="161">
        <f t="shared" si="20"/>
        <v>0</v>
      </c>
      <c r="AN67" s="1013">
        <f t="shared" si="5"/>
        <v>0</v>
      </c>
      <c r="AO67" s="334"/>
      <c r="AP67" s="161"/>
      <c r="AQ67" s="1019">
        <f t="shared" si="51"/>
        <v>0</v>
      </c>
      <c r="AR67" s="323"/>
      <c r="AS67" s="161"/>
      <c r="AT67" s="335"/>
      <c r="AU67" s="539">
        <f>SUM(AU69:AU70)</f>
        <v>0</v>
      </c>
      <c r="AV67" s="323"/>
      <c r="AW67" s="161"/>
      <c r="AX67" s="335"/>
      <c r="BG67" s="617"/>
      <c r="BH67" s="621">
        <f t="shared" ref="BH67:BH74" si="66">AF67-BG67</f>
        <v>0</v>
      </c>
      <c r="BI67" s="617"/>
      <c r="BJ67" s="621">
        <f>AH67-BI67</f>
        <v>0</v>
      </c>
      <c r="BM67" s="628">
        <f t="shared" si="21"/>
        <v>0</v>
      </c>
      <c r="BN67" s="628">
        <f t="shared" si="14"/>
        <v>0</v>
      </c>
      <c r="BO67" s="535">
        <f t="shared" si="17"/>
        <v>0</v>
      </c>
      <c r="BP67" s="533"/>
      <c r="BQ67" s="617"/>
      <c r="BR67" s="621">
        <f t="shared" ref="BR67:BR74" si="67">AP67-BQ67</f>
        <v>0</v>
      </c>
      <c r="BS67" s="617"/>
      <c r="BT67" s="621">
        <f>AR67-BS67</f>
        <v>0</v>
      </c>
    </row>
    <row r="68" spans="1:72" x14ac:dyDescent="0.3">
      <c r="A68" s="437" t="s">
        <v>92</v>
      </c>
      <c r="B68" s="133"/>
      <c r="C68" s="438"/>
      <c r="D68" s="431">
        <v>0</v>
      </c>
      <c r="E68" s="59">
        <f t="shared" si="63"/>
        <v>0</v>
      </c>
      <c r="F68" s="410">
        <f t="shared" si="1"/>
        <v>0</v>
      </c>
      <c r="G68" s="285"/>
      <c r="H68" s="158"/>
      <c r="I68" s="669">
        <f t="shared" si="19"/>
        <v>0</v>
      </c>
      <c r="J68" s="881"/>
      <c r="K68" s="285"/>
      <c r="L68" s="158"/>
      <c r="M68" s="298"/>
      <c r="N68" s="297"/>
      <c r="O68" s="285"/>
      <c r="P68" s="367"/>
      <c r="Q68" s="279"/>
      <c r="R68" s="310"/>
      <c r="S68" s="375"/>
      <c r="T68" s="528"/>
      <c r="U68" s="310"/>
      <c r="V68" s="63"/>
      <c r="W68" s="357">
        <f t="shared" si="2"/>
        <v>0</v>
      </c>
      <c r="X68" s="382"/>
      <c r="Y68" s="153">
        <f t="shared" si="64"/>
        <v>0</v>
      </c>
      <c r="Z68" s="357">
        <f t="shared" si="65"/>
        <v>0</v>
      </c>
      <c r="AA68" s="310"/>
      <c r="AB68" s="63"/>
      <c r="AC68" s="360"/>
      <c r="AD68" s="279"/>
      <c r="AE68" s="63"/>
      <c r="AF68" s="360"/>
      <c r="AG68" s="279"/>
      <c r="AH68" s="63"/>
      <c r="AI68" s="360"/>
      <c r="AJ68" s="425"/>
      <c r="AK68" s="395"/>
      <c r="AL68" s="334">
        <v>0</v>
      </c>
      <c r="AM68" s="161">
        <f t="shared" si="20"/>
        <v>0</v>
      </c>
      <c r="AN68" s="1013">
        <f t="shared" si="5"/>
        <v>0</v>
      </c>
      <c r="AO68" s="338"/>
      <c r="AP68" s="162"/>
      <c r="AQ68" s="1019"/>
      <c r="AR68" s="324"/>
      <c r="AS68" s="162"/>
      <c r="AT68" s="339"/>
      <c r="AU68" s="540"/>
      <c r="AV68" s="324"/>
      <c r="AW68" s="162"/>
      <c r="AX68" s="339"/>
      <c r="BG68" s="617"/>
      <c r="BH68" s="621">
        <f t="shared" si="66"/>
        <v>0</v>
      </c>
      <c r="BI68" s="617"/>
      <c r="BJ68" s="621">
        <f t="shared" ref="BJ68:BJ75" si="68">AH68-BI68</f>
        <v>0</v>
      </c>
      <c r="BM68" s="628">
        <f t="shared" si="21"/>
        <v>0</v>
      </c>
      <c r="BN68" s="628">
        <f t="shared" si="14"/>
        <v>0</v>
      </c>
      <c r="BO68" s="535">
        <f t="shared" si="17"/>
        <v>0</v>
      </c>
      <c r="BP68" s="533"/>
      <c r="BQ68" s="617"/>
      <c r="BR68" s="621">
        <f t="shared" si="67"/>
        <v>0</v>
      </c>
      <c r="BS68" s="617"/>
      <c r="BT68" s="621">
        <f t="shared" si="55"/>
        <v>0</v>
      </c>
    </row>
    <row r="69" spans="1:72" x14ac:dyDescent="0.3">
      <c r="A69" s="437" t="s">
        <v>189</v>
      </c>
      <c r="B69" s="1214">
        <v>310</v>
      </c>
      <c r="C69" s="438"/>
      <c r="D69" s="431">
        <v>0</v>
      </c>
      <c r="E69" s="59">
        <f t="shared" si="63"/>
        <v>0</v>
      </c>
      <c r="F69" s="410">
        <f t="shared" si="1"/>
        <v>0</v>
      </c>
      <c r="G69" s="285"/>
      <c r="H69" s="158"/>
      <c r="I69" s="669">
        <f t="shared" si="19"/>
        <v>0</v>
      </c>
      <c r="J69" s="881"/>
      <c r="K69" s="285"/>
      <c r="L69" s="158"/>
      <c r="M69" s="298"/>
      <c r="N69" s="297"/>
      <c r="O69" s="285"/>
      <c r="P69" s="367"/>
      <c r="Q69" s="279"/>
      <c r="R69" s="310"/>
      <c r="S69" s="375"/>
      <c r="T69" s="528"/>
      <c r="U69" s="310"/>
      <c r="V69" s="63"/>
      <c r="W69" s="357">
        <f t="shared" si="2"/>
        <v>0</v>
      </c>
      <c r="X69" s="382"/>
      <c r="Y69" s="153">
        <f t="shared" si="64"/>
        <v>0</v>
      </c>
      <c r="Z69" s="357">
        <f t="shared" si="65"/>
        <v>0</v>
      </c>
      <c r="AA69" s="310"/>
      <c r="AB69" s="63"/>
      <c r="AC69" s="360"/>
      <c r="AD69" s="279"/>
      <c r="AE69" s="63"/>
      <c r="AF69" s="360"/>
      <c r="AG69" s="279"/>
      <c r="AH69" s="63"/>
      <c r="AI69" s="360"/>
      <c r="AJ69" s="425"/>
      <c r="AK69" s="395"/>
      <c r="AL69" s="334">
        <v>0</v>
      </c>
      <c r="AM69" s="161">
        <f t="shared" si="20"/>
        <v>0</v>
      </c>
      <c r="AN69" s="1013">
        <f t="shared" si="5"/>
        <v>0</v>
      </c>
      <c r="AO69" s="338"/>
      <c r="AP69" s="162"/>
      <c r="AQ69" s="1019"/>
      <c r="AR69" s="324"/>
      <c r="AS69" s="162"/>
      <c r="AT69" s="339"/>
      <c r="AU69" s="540"/>
      <c r="AV69" s="324"/>
      <c r="AW69" s="162"/>
      <c r="AX69" s="339"/>
      <c r="BG69" s="617"/>
      <c r="BH69" s="621">
        <f t="shared" si="66"/>
        <v>0</v>
      </c>
      <c r="BI69" s="617"/>
      <c r="BJ69" s="621">
        <f t="shared" si="68"/>
        <v>0</v>
      </c>
      <c r="BM69" s="628">
        <f t="shared" si="21"/>
        <v>0</v>
      </c>
      <c r="BN69" s="628">
        <f t="shared" si="14"/>
        <v>0</v>
      </c>
      <c r="BO69" s="535">
        <f t="shared" si="17"/>
        <v>0</v>
      </c>
      <c r="BP69" s="533"/>
      <c r="BQ69" s="617"/>
      <c r="BR69" s="621">
        <f t="shared" si="67"/>
        <v>0</v>
      </c>
      <c r="BS69" s="617"/>
      <c r="BT69" s="621">
        <f t="shared" si="55"/>
        <v>0</v>
      </c>
    </row>
    <row r="70" spans="1:72" x14ac:dyDescent="0.3">
      <c r="A70" s="437" t="s">
        <v>190</v>
      </c>
      <c r="B70" s="1214">
        <v>320</v>
      </c>
      <c r="C70" s="438"/>
      <c r="D70" s="431">
        <v>0</v>
      </c>
      <c r="E70" s="59">
        <f t="shared" si="63"/>
        <v>0</v>
      </c>
      <c r="F70" s="410">
        <f t="shared" si="1"/>
        <v>0</v>
      </c>
      <c r="G70" s="285"/>
      <c r="H70" s="158"/>
      <c r="I70" s="669">
        <f t="shared" si="19"/>
        <v>0</v>
      </c>
      <c r="J70" s="881"/>
      <c r="K70" s="285"/>
      <c r="L70" s="158"/>
      <c r="M70" s="298"/>
      <c r="N70" s="297"/>
      <c r="O70" s="285"/>
      <c r="P70" s="367"/>
      <c r="Q70" s="279"/>
      <c r="R70" s="310"/>
      <c r="S70" s="375"/>
      <c r="T70" s="528"/>
      <c r="U70" s="310"/>
      <c r="V70" s="63"/>
      <c r="W70" s="357">
        <f t="shared" si="2"/>
        <v>0</v>
      </c>
      <c r="X70" s="382"/>
      <c r="Y70" s="153">
        <f t="shared" si="64"/>
        <v>0</v>
      </c>
      <c r="Z70" s="357">
        <f t="shared" si="65"/>
        <v>0</v>
      </c>
      <c r="AA70" s="310"/>
      <c r="AB70" s="63"/>
      <c r="AC70" s="360"/>
      <c r="AD70" s="279"/>
      <c r="AE70" s="63"/>
      <c r="AF70" s="360"/>
      <c r="AG70" s="279"/>
      <c r="AH70" s="63"/>
      <c r="AI70" s="360"/>
      <c r="AJ70" s="425"/>
      <c r="AK70" s="395"/>
      <c r="AL70" s="334">
        <v>0</v>
      </c>
      <c r="AM70" s="161">
        <f t="shared" si="20"/>
        <v>0</v>
      </c>
      <c r="AN70" s="1013">
        <f t="shared" si="5"/>
        <v>0</v>
      </c>
      <c r="AO70" s="338"/>
      <c r="AP70" s="162"/>
      <c r="AQ70" s="1019"/>
      <c r="AR70" s="324"/>
      <c r="AS70" s="162"/>
      <c r="AT70" s="339"/>
      <c r="AU70" s="540"/>
      <c r="AV70" s="324"/>
      <c r="AW70" s="162"/>
      <c r="AX70" s="339"/>
      <c r="BG70" s="617"/>
      <c r="BH70" s="621">
        <f t="shared" si="66"/>
        <v>0</v>
      </c>
      <c r="BI70" s="617"/>
      <c r="BJ70" s="621">
        <f t="shared" si="68"/>
        <v>0</v>
      </c>
      <c r="BM70" s="628">
        <f t="shared" si="21"/>
        <v>0</v>
      </c>
      <c r="BN70" s="628">
        <f t="shared" si="14"/>
        <v>0</v>
      </c>
      <c r="BO70" s="535">
        <f t="shared" si="17"/>
        <v>0</v>
      </c>
      <c r="BP70" s="533"/>
      <c r="BQ70" s="617"/>
      <c r="BR70" s="621">
        <f t="shared" si="67"/>
        <v>0</v>
      </c>
      <c r="BS70" s="617"/>
      <c r="BT70" s="621">
        <f t="shared" si="55"/>
        <v>0</v>
      </c>
    </row>
    <row r="71" spans="1:72" s="115" customFormat="1" x14ac:dyDescent="0.3">
      <c r="A71" s="435" t="s">
        <v>191</v>
      </c>
      <c r="B71" s="1215">
        <v>400</v>
      </c>
      <c r="C71" s="442"/>
      <c r="D71" s="430">
        <v>0</v>
      </c>
      <c r="E71" s="59">
        <f t="shared" si="63"/>
        <v>-205614792.37</v>
      </c>
      <c r="F71" s="410">
        <f t="shared" si="1"/>
        <v>-205614792.37</v>
      </c>
      <c r="G71" s="283"/>
      <c r="H71" s="157"/>
      <c r="I71" s="669">
        <f t="shared" si="19"/>
        <v>0</v>
      </c>
      <c r="J71" s="882"/>
      <c r="K71" s="283"/>
      <c r="L71" s="157"/>
      <c r="M71" s="294"/>
      <c r="N71" s="293"/>
      <c r="O71" s="283"/>
      <c r="P71" s="365"/>
      <c r="Q71" s="276">
        <f>Q73</f>
        <v>-205614792.37</v>
      </c>
      <c r="R71" s="307">
        <f>R73</f>
        <v>-205614792.37</v>
      </c>
      <c r="S71" s="372"/>
      <c r="T71" s="525"/>
      <c r="U71" s="307"/>
      <c r="V71" s="153">
        <f>V73</f>
        <v>0</v>
      </c>
      <c r="W71" s="357">
        <f t="shared" si="2"/>
        <v>0</v>
      </c>
      <c r="X71" s="379">
        <v>0</v>
      </c>
      <c r="Y71" s="153">
        <f t="shared" si="64"/>
        <v>0</v>
      </c>
      <c r="Z71" s="357">
        <f t="shared" si="65"/>
        <v>0</v>
      </c>
      <c r="AA71" s="307"/>
      <c r="AB71" s="153"/>
      <c r="AC71" s="357"/>
      <c r="AD71" s="276"/>
      <c r="AE71" s="153"/>
      <c r="AF71" s="357"/>
      <c r="AG71" s="276"/>
      <c r="AH71" s="153"/>
      <c r="AI71" s="357"/>
      <c r="AJ71" s="422">
        <f>AJ73+AJ74</f>
        <v>0</v>
      </c>
      <c r="AK71" s="396">
        <v>0</v>
      </c>
      <c r="AL71" s="334">
        <v>0</v>
      </c>
      <c r="AM71" s="161">
        <f t="shared" si="20"/>
        <v>0</v>
      </c>
      <c r="AN71" s="1013">
        <f t="shared" si="5"/>
        <v>0</v>
      </c>
      <c r="AO71" s="334"/>
      <c r="AP71" s="161"/>
      <c r="AQ71" s="406"/>
      <c r="AR71" s="323"/>
      <c r="AS71" s="161"/>
      <c r="AT71" s="335"/>
      <c r="AU71" s="539">
        <f>AU73+AU74</f>
        <v>0</v>
      </c>
      <c r="AV71" s="323"/>
      <c r="AW71" s="161"/>
      <c r="AX71" s="335"/>
      <c r="BG71" s="617"/>
      <c r="BH71" s="621">
        <f t="shared" si="66"/>
        <v>0</v>
      </c>
      <c r="BI71" s="617"/>
      <c r="BJ71" s="621">
        <f t="shared" si="68"/>
        <v>0</v>
      </c>
      <c r="BM71" s="628">
        <f t="shared" si="21"/>
        <v>0</v>
      </c>
      <c r="BN71" s="628">
        <f t="shared" si="14"/>
        <v>0</v>
      </c>
      <c r="BO71" s="535">
        <f t="shared" si="17"/>
        <v>0</v>
      </c>
      <c r="BP71" s="533"/>
      <c r="BQ71" s="617"/>
      <c r="BR71" s="621">
        <f t="shared" si="67"/>
        <v>0</v>
      </c>
      <c r="BS71" s="617"/>
      <c r="BT71" s="621">
        <f t="shared" si="55"/>
        <v>0</v>
      </c>
    </row>
    <row r="72" spans="1:72" x14ac:dyDescent="0.3">
      <c r="A72" s="437" t="s">
        <v>92</v>
      </c>
      <c r="B72" s="133"/>
      <c r="C72" s="438"/>
      <c r="D72" s="431">
        <v>0</v>
      </c>
      <c r="E72" s="59">
        <f t="shared" si="63"/>
        <v>0</v>
      </c>
      <c r="F72" s="410">
        <f t="shared" si="1"/>
        <v>0</v>
      </c>
      <c r="G72" s="285"/>
      <c r="H72" s="158"/>
      <c r="I72" s="669">
        <f t="shared" si="19"/>
        <v>0</v>
      </c>
      <c r="J72" s="881"/>
      <c r="K72" s="285"/>
      <c r="L72" s="158"/>
      <c r="M72" s="298"/>
      <c r="N72" s="297"/>
      <c r="O72" s="285"/>
      <c r="P72" s="367"/>
      <c r="Q72" s="279"/>
      <c r="R72" s="310"/>
      <c r="S72" s="375"/>
      <c r="T72" s="528"/>
      <c r="U72" s="310"/>
      <c r="V72" s="63"/>
      <c r="W72" s="357">
        <f t="shared" si="2"/>
        <v>0</v>
      </c>
      <c r="X72" s="382"/>
      <c r="Y72" s="153">
        <f t="shared" si="64"/>
        <v>0</v>
      </c>
      <c r="Z72" s="357">
        <f t="shared" si="65"/>
        <v>0</v>
      </c>
      <c r="AA72" s="310"/>
      <c r="AB72" s="63"/>
      <c r="AC72" s="360"/>
      <c r="AD72" s="279"/>
      <c r="AE72" s="63"/>
      <c r="AF72" s="360"/>
      <c r="AG72" s="279"/>
      <c r="AH72" s="63"/>
      <c r="AI72" s="360"/>
      <c r="AJ72" s="425"/>
      <c r="AK72" s="395"/>
      <c r="AL72" s="334">
        <v>0</v>
      </c>
      <c r="AM72" s="161">
        <f t="shared" si="20"/>
        <v>0</v>
      </c>
      <c r="AN72" s="1013">
        <f t="shared" si="5"/>
        <v>0</v>
      </c>
      <c r="AO72" s="338"/>
      <c r="AP72" s="162"/>
      <c r="AQ72" s="1019"/>
      <c r="AR72" s="324"/>
      <c r="AS72" s="162"/>
      <c r="AT72" s="339"/>
      <c r="AU72" s="540"/>
      <c r="AV72" s="324"/>
      <c r="AW72" s="162"/>
      <c r="AX72" s="339"/>
      <c r="BG72" s="617"/>
      <c r="BH72" s="621">
        <f t="shared" si="66"/>
        <v>0</v>
      </c>
      <c r="BI72" s="617"/>
      <c r="BJ72" s="621">
        <f t="shared" si="68"/>
        <v>0</v>
      </c>
      <c r="BM72" s="628">
        <f t="shared" si="21"/>
        <v>0</v>
      </c>
      <c r="BN72" s="628">
        <f t="shared" si="14"/>
        <v>0</v>
      </c>
      <c r="BO72" s="535">
        <f t="shared" si="17"/>
        <v>0</v>
      </c>
      <c r="BP72" s="533"/>
      <c r="BQ72" s="617"/>
      <c r="BR72" s="621">
        <f t="shared" si="67"/>
        <v>0</v>
      </c>
      <c r="BS72" s="617"/>
      <c r="BT72" s="621">
        <f t="shared" si="55"/>
        <v>0</v>
      </c>
    </row>
    <row r="73" spans="1:72" x14ac:dyDescent="0.3">
      <c r="A73" s="437" t="s">
        <v>192</v>
      </c>
      <c r="B73" s="1214">
        <v>410</v>
      </c>
      <c r="C73" s="438"/>
      <c r="D73" s="431">
        <v>0</v>
      </c>
      <c r="E73" s="59">
        <f>H73+R73+AL73-AK73</f>
        <v>-205614792.37</v>
      </c>
      <c r="F73" s="410">
        <f t="shared" si="1"/>
        <v>-205614792.37</v>
      </c>
      <c r="G73" s="285"/>
      <c r="H73" s="158"/>
      <c r="I73" s="669">
        <f t="shared" si="19"/>
        <v>0</v>
      </c>
      <c r="J73" s="881"/>
      <c r="K73" s="285"/>
      <c r="L73" s="158"/>
      <c r="M73" s="298"/>
      <c r="N73" s="297"/>
      <c r="O73" s="285"/>
      <c r="P73" s="367"/>
      <c r="Q73" s="279">
        <v>-205614792.37</v>
      </c>
      <c r="R73" s="63">
        <v>-205614792.37</v>
      </c>
      <c r="S73" s="375"/>
      <c r="T73" s="528"/>
      <c r="U73" s="310"/>
      <c r="V73" s="63"/>
      <c r="W73" s="357">
        <f t="shared" si="2"/>
        <v>0</v>
      </c>
      <c r="X73" s="382"/>
      <c r="Y73" s="153">
        <f t="shared" si="64"/>
        <v>0</v>
      </c>
      <c r="Z73" s="357">
        <f t="shared" si="65"/>
        <v>0</v>
      </c>
      <c r="AA73" s="310"/>
      <c r="AB73" s="63"/>
      <c r="AC73" s="360"/>
      <c r="AD73" s="279"/>
      <c r="AE73" s="63"/>
      <c r="AF73" s="360"/>
      <c r="AG73" s="279"/>
      <c r="AH73" s="63"/>
      <c r="AI73" s="360"/>
      <c r="AJ73" s="425"/>
      <c r="AK73" s="395"/>
      <c r="AL73" s="334">
        <v>0</v>
      </c>
      <c r="AM73" s="161">
        <f t="shared" si="20"/>
        <v>0</v>
      </c>
      <c r="AN73" s="1013">
        <f t="shared" si="5"/>
        <v>0</v>
      </c>
      <c r="AO73" s="338"/>
      <c r="AP73" s="162"/>
      <c r="AQ73" s="1019"/>
      <c r="AR73" s="324"/>
      <c r="AS73" s="162"/>
      <c r="AT73" s="339"/>
      <c r="AU73" s="540"/>
      <c r="AV73" s="324"/>
      <c r="AW73" s="162"/>
      <c r="AX73" s="339"/>
      <c r="BG73" s="617"/>
      <c r="BH73" s="621">
        <f t="shared" si="66"/>
        <v>0</v>
      </c>
      <c r="BI73" s="617"/>
      <c r="BJ73" s="621">
        <f t="shared" si="68"/>
        <v>0</v>
      </c>
      <c r="BM73" s="628">
        <f t="shared" si="21"/>
        <v>0</v>
      </c>
      <c r="BN73" s="628">
        <f t="shared" si="14"/>
        <v>0</v>
      </c>
      <c r="BO73" s="535">
        <f t="shared" si="17"/>
        <v>0</v>
      </c>
      <c r="BP73" s="533"/>
      <c r="BQ73" s="617"/>
      <c r="BR73" s="621">
        <f t="shared" si="67"/>
        <v>0</v>
      </c>
      <c r="BS73" s="617"/>
      <c r="BT73" s="621">
        <f t="shared" si="55"/>
        <v>0</v>
      </c>
    </row>
    <row r="74" spans="1:72" x14ac:dyDescent="0.3">
      <c r="A74" s="437" t="s">
        <v>193</v>
      </c>
      <c r="B74" s="1214">
        <v>420</v>
      </c>
      <c r="C74" s="438"/>
      <c r="D74" s="431">
        <v>0</v>
      </c>
      <c r="E74" s="59">
        <f>H74+R74+AL74+AK74</f>
        <v>0</v>
      </c>
      <c r="F74" s="410">
        <f t="shared" si="1"/>
        <v>0</v>
      </c>
      <c r="G74" s="285"/>
      <c r="H74" s="158"/>
      <c r="I74" s="669">
        <f t="shared" si="19"/>
        <v>0</v>
      </c>
      <c r="J74" s="881"/>
      <c r="K74" s="285"/>
      <c r="L74" s="158"/>
      <c r="M74" s="298"/>
      <c r="N74" s="297"/>
      <c r="O74" s="285"/>
      <c r="P74" s="367"/>
      <c r="Q74" s="279"/>
      <c r="R74" s="310"/>
      <c r="S74" s="375"/>
      <c r="T74" s="528"/>
      <c r="U74" s="310"/>
      <c r="V74" s="63"/>
      <c r="W74" s="357">
        <f t="shared" si="2"/>
        <v>0</v>
      </c>
      <c r="X74" s="382"/>
      <c r="Y74" s="153">
        <f t="shared" si="64"/>
        <v>0</v>
      </c>
      <c r="Z74" s="357">
        <f t="shared" si="65"/>
        <v>0</v>
      </c>
      <c r="AA74" s="310"/>
      <c r="AB74" s="63"/>
      <c r="AC74" s="360"/>
      <c r="AD74" s="279"/>
      <c r="AE74" s="63"/>
      <c r="AF74" s="360"/>
      <c r="AG74" s="279"/>
      <c r="AH74" s="63"/>
      <c r="AI74" s="360"/>
      <c r="AJ74" s="425"/>
      <c r="AK74" s="395"/>
      <c r="AL74" s="334">
        <v>0</v>
      </c>
      <c r="AM74" s="161">
        <f t="shared" si="8"/>
        <v>0</v>
      </c>
      <c r="AN74" s="1013">
        <f t="shared" si="5"/>
        <v>0</v>
      </c>
      <c r="AO74" s="338"/>
      <c r="AP74" s="162"/>
      <c r="AQ74" s="1019"/>
      <c r="AR74" s="324"/>
      <c r="AS74" s="162"/>
      <c r="AT74" s="339"/>
      <c r="AU74" s="540"/>
      <c r="AV74" s="324"/>
      <c r="AW74" s="162"/>
      <c r="AX74" s="339"/>
      <c r="BG74" s="617"/>
      <c r="BH74" s="621">
        <f t="shared" si="66"/>
        <v>0</v>
      </c>
      <c r="BI74" s="617"/>
      <c r="BJ74" s="621">
        <f t="shared" si="68"/>
        <v>0</v>
      </c>
      <c r="BM74" s="628">
        <f t="shared" si="21"/>
        <v>0</v>
      </c>
      <c r="BN74" s="628">
        <f t="shared" si="14"/>
        <v>0</v>
      </c>
      <c r="BO74" s="535">
        <f t="shared" si="17"/>
        <v>0</v>
      </c>
      <c r="BP74" s="533"/>
      <c r="BQ74" s="617"/>
      <c r="BR74" s="621">
        <f t="shared" si="67"/>
        <v>0</v>
      </c>
      <c r="BS74" s="617"/>
      <c r="BT74" s="621">
        <f t="shared" si="55"/>
        <v>0</v>
      </c>
    </row>
    <row r="75" spans="1:72" s="115" customFormat="1" ht="17.25" customHeight="1" x14ac:dyDescent="0.3">
      <c r="A75" s="435" t="s">
        <v>194</v>
      </c>
      <c r="B75" s="1215">
        <v>500</v>
      </c>
      <c r="C75" s="436" t="s">
        <v>149</v>
      </c>
      <c r="D75" s="430">
        <v>31252430.415000021</v>
      </c>
      <c r="E75" s="59">
        <f>H75+R75+AK75+AM75</f>
        <v>625060898.93500006</v>
      </c>
      <c r="F75" s="410">
        <f t="shared" si="1"/>
        <v>593808468.51999998</v>
      </c>
      <c r="G75" s="157">
        <f>G23-G11</f>
        <v>21072590.980000019</v>
      </c>
      <c r="H75" s="157">
        <f>H23-H11</f>
        <v>21072590.980000019</v>
      </c>
      <c r="I75" s="669">
        <f t="shared" si="19"/>
        <v>0</v>
      </c>
      <c r="J75" s="882">
        <f>J23-J11</f>
        <v>16524140.506574497</v>
      </c>
      <c r="K75" s="157">
        <f>K23-K11</f>
        <v>4548450.4600000083</v>
      </c>
      <c r="L75" s="157">
        <f>L23-L11</f>
        <v>4548450.4734255075</v>
      </c>
      <c r="M75" s="298">
        <f>L75-K75</f>
        <v>1.3425499200820923E-2</v>
      </c>
      <c r="N75" s="157">
        <f>N23-N11</f>
        <v>9.9999979138374329E-3</v>
      </c>
      <c r="O75" s="157">
        <f>O23-O11</f>
        <v>0</v>
      </c>
      <c r="P75" s="157">
        <f>P23-P11</f>
        <v>-9.9999979138374329E-3</v>
      </c>
      <c r="Q75" s="1025">
        <v>593808468.51999998</v>
      </c>
      <c r="R75" s="307">
        <v>593808468.51999998</v>
      </c>
      <c r="S75" s="372">
        <f>R75-Q75</f>
        <v>0</v>
      </c>
      <c r="T75" s="525">
        <v>593808468.51999998</v>
      </c>
      <c r="U75" s="307">
        <v>0</v>
      </c>
      <c r="V75" s="63">
        <f>V11-V23</f>
        <v>1.0000228881835938E-2</v>
      </c>
      <c r="W75" s="357">
        <f>V75-U75</f>
        <v>1.0000228881835938E-2</v>
      </c>
      <c r="X75" s="307"/>
      <c r="Y75" s="63"/>
      <c r="Z75" s="357"/>
      <c r="AA75" s="63">
        <f>AA23-AA11</f>
        <v>0</v>
      </c>
      <c r="AB75" s="63">
        <f>AB23-AB11</f>
        <v>0</v>
      </c>
      <c r="AC75" s="63">
        <f>AC23-AC11</f>
        <v>0</v>
      </c>
      <c r="AD75" s="276">
        <v>0</v>
      </c>
      <c r="AE75" s="63">
        <f>AE23-AE11</f>
        <v>0</v>
      </c>
      <c r="AF75" s="357"/>
      <c r="AG75" s="307">
        <f>'расчет норматив'!AQ6+'расчет норматив'!AR6</f>
        <v>0</v>
      </c>
      <c r="AH75" s="63">
        <f>AH11-AH23</f>
        <v>0</v>
      </c>
      <c r="AI75" s="357">
        <f>AH75-AG75</f>
        <v>0</v>
      </c>
      <c r="AJ75" s="422">
        <v>0</v>
      </c>
      <c r="AK75" s="395"/>
      <c r="AL75" s="334">
        <v>10179839.442763567</v>
      </c>
      <c r="AM75" s="161">
        <f t="shared" ref="AM75:AN75" si="69">AM23-AM11</f>
        <v>10179839.435000062</v>
      </c>
      <c r="AN75" s="1013">
        <f t="shared" si="69"/>
        <v>1.1700034141540527E-2</v>
      </c>
      <c r="AO75" s="334">
        <v>9808185.4527635574</v>
      </c>
      <c r="AP75" s="323">
        <f>AP23-AP11</f>
        <v>9808185.4449999928</v>
      </c>
      <c r="AQ75" s="406">
        <f>AQ23-AQ11</f>
        <v>-7.7635645866394043E-3</v>
      </c>
      <c r="AR75" s="323">
        <f>AR23-AR11</f>
        <v>371653.99000000209</v>
      </c>
      <c r="AS75" s="323">
        <f>AS23-AS11</f>
        <v>371653.99000000954</v>
      </c>
      <c r="AT75" s="406">
        <f t="shared" ref="AT75" si="70">AT23-AT11</f>
        <v>0</v>
      </c>
      <c r="AU75" s="539">
        <v>0</v>
      </c>
      <c r="AV75" s="323"/>
      <c r="AW75" s="323">
        <f t="shared" ref="AW75:AX75" si="71">AW23-AW11</f>
        <v>0</v>
      </c>
      <c r="AX75" s="406">
        <f t="shared" si="71"/>
        <v>0</v>
      </c>
      <c r="BG75" s="619"/>
      <c r="BH75" s="620"/>
      <c r="BI75" s="617">
        <v>1222485.57</v>
      </c>
      <c r="BJ75" s="621">
        <f t="shared" si="68"/>
        <v>-1222485.57</v>
      </c>
      <c r="BM75" s="632">
        <f>BM23-BM11</f>
        <v>10179839.423299968</v>
      </c>
      <c r="BN75" s="632">
        <f>BN23-BN11</f>
        <v>-12791385.120000064</v>
      </c>
      <c r="BO75" s="632"/>
      <c r="BP75" s="632">
        <f t="shared" ref="BP75" si="72">BP23-BP11</f>
        <v>-4989655.8849999905</v>
      </c>
      <c r="BQ75" s="619"/>
      <c r="BR75" s="620"/>
      <c r="BS75" s="617">
        <v>1222485.57</v>
      </c>
      <c r="BT75" s="621">
        <f t="shared" si="55"/>
        <v>-850831.57999999798</v>
      </c>
    </row>
    <row r="76" spans="1:72" s="115" customFormat="1" ht="19.5" hidden="1" thickBot="1" x14ac:dyDescent="0.35">
      <c r="A76" s="446" t="s">
        <v>195</v>
      </c>
      <c r="B76" s="447">
        <v>600</v>
      </c>
      <c r="C76" s="448" t="s">
        <v>149</v>
      </c>
      <c r="D76" s="1244">
        <f>D75+D11-D23+D71</f>
        <v>1270135000</v>
      </c>
      <c r="E76" s="1245">
        <f>E75+E11-E23+E71</f>
        <v>1.000058650970459E-2</v>
      </c>
      <c r="F76" s="413">
        <f t="shared" ref="F76" si="73">E76-D76</f>
        <v>-1270134999.9899993</v>
      </c>
      <c r="G76" s="407">
        <f>G11+G75-G23</f>
        <v>0</v>
      </c>
      <c r="H76" s="304">
        <f>H11+H75-H23</f>
        <v>0</v>
      </c>
      <c r="I76" s="670">
        <f t="shared" ref="I76:AE76" si="74">I11+I75-I23</f>
        <v>0</v>
      </c>
      <c r="J76" s="1031">
        <f t="shared" si="74"/>
        <v>0</v>
      </c>
      <c r="K76" s="407">
        <f t="shared" si="74"/>
        <v>0</v>
      </c>
      <c r="L76" s="304">
        <f t="shared" si="74"/>
        <v>0</v>
      </c>
      <c r="M76" s="304">
        <f t="shared" si="74"/>
        <v>0</v>
      </c>
      <c r="N76" s="303">
        <f t="shared" si="74"/>
        <v>0</v>
      </c>
      <c r="O76" s="304">
        <f t="shared" si="74"/>
        <v>0</v>
      </c>
      <c r="P76" s="370"/>
      <c r="Q76" s="1246">
        <f>Q75+Q11-Q23+Q71</f>
        <v>-3.5762786865234375E-7</v>
      </c>
      <c r="R76" s="1247">
        <f>R75+R11-R23+R71</f>
        <v>1.000058650970459E-2</v>
      </c>
      <c r="S76" s="1066">
        <f t="shared" si="74"/>
        <v>1.0000944137573242E-2</v>
      </c>
      <c r="T76" s="530">
        <f>T11+T75-T23+T71</f>
        <v>205614792.37</v>
      </c>
      <c r="U76" s="388">
        <f t="shared" si="74"/>
        <v>0</v>
      </c>
      <c r="V76" s="388">
        <f>V11+V75-V23</f>
        <v>2.0000457763671875E-2</v>
      </c>
      <c r="W76" s="362">
        <f t="shared" ref="W76" si="75">V76-U76</f>
        <v>2.0000457763671875E-2</v>
      </c>
      <c r="X76" s="376">
        <f t="shared" si="74"/>
        <v>0</v>
      </c>
      <c r="Y76" s="388">
        <f t="shared" si="74"/>
        <v>0</v>
      </c>
      <c r="Z76" s="362">
        <f t="shared" si="74"/>
        <v>0</v>
      </c>
      <c r="AA76" s="388">
        <f t="shared" si="74"/>
        <v>0</v>
      </c>
      <c r="AB76" s="388">
        <f t="shared" si="74"/>
        <v>0</v>
      </c>
      <c r="AC76" s="388">
        <f t="shared" si="74"/>
        <v>0</v>
      </c>
      <c r="AD76" s="281">
        <v>0</v>
      </c>
      <c r="AE76" s="388">
        <f t="shared" si="74"/>
        <v>0</v>
      </c>
      <c r="AF76" s="362">
        <f t="shared" ref="AF76" si="76">AE76-AD76</f>
        <v>0</v>
      </c>
      <c r="AG76" s="281"/>
      <c r="AH76" s="388">
        <f>AH11+AH75-AH23</f>
        <v>0</v>
      </c>
      <c r="AI76" s="362">
        <f t="shared" ref="AI76" si="77">AH76-AG76</f>
        <v>0</v>
      </c>
      <c r="AJ76" s="428">
        <f t="shared" ref="AJ76:AU76" si="78">AJ11+AJ75-AJ23</f>
        <v>0</v>
      </c>
      <c r="AK76" s="399">
        <f t="shared" si="78"/>
        <v>0</v>
      </c>
      <c r="AL76" s="344">
        <v>0</v>
      </c>
      <c r="AM76" s="345">
        <f>AM11+AM75-AM23</f>
        <v>0</v>
      </c>
      <c r="AN76" s="1014">
        <f t="shared" ref="AN76:AS76" si="79">AN11+AN75-AN23</f>
        <v>0</v>
      </c>
      <c r="AO76" s="344">
        <v>0</v>
      </c>
      <c r="AP76" s="345">
        <f t="shared" si="79"/>
        <v>0</v>
      </c>
      <c r="AQ76" s="346">
        <f t="shared" si="79"/>
        <v>0</v>
      </c>
      <c r="AR76" s="390">
        <v>0</v>
      </c>
      <c r="AS76" s="345">
        <f t="shared" si="79"/>
        <v>0</v>
      </c>
      <c r="AT76" s="346"/>
      <c r="AU76" s="545">
        <f t="shared" si="78"/>
        <v>0</v>
      </c>
      <c r="AV76" s="390">
        <v>0</v>
      </c>
      <c r="AW76" s="345">
        <f t="shared" ref="AW76" si="80">AW11+AW75-AW23</f>
        <v>0</v>
      </c>
      <c r="AX76" s="346"/>
      <c r="BG76" s="623">
        <f>BG23</f>
        <v>0</v>
      </c>
      <c r="BH76" s="624">
        <f>SUM(BH26:BH74)</f>
        <v>15071900</v>
      </c>
      <c r="BI76" s="623">
        <f>BI23</f>
        <v>69438047.340000004</v>
      </c>
      <c r="BJ76" s="624">
        <f>SUM(BJ26:BJ74)</f>
        <v>-77779061.369999975</v>
      </c>
      <c r="BM76" s="628">
        <f t="shared" si="21"/>
        <v>0</v>
      </c>
      <c r="BN76" s="628"/>
      <c r="BO76" s="604"/>
      <c r="BP76" s="531"/>
      <c r="BQ76" s="623">
        <f>BQ23</f>
        <v>262223617.94999999</v>
      </c>
      <c r="BR76" s="624">
        <f>SUM(BR26:BR74)</f>
        <v>124216264.24000001</v>
      </c>
      <c r="BS76" s="623">
        <f>BS23</f>
        <v>69438047.340000004</v>
      </c>
      <c r="BT76" s="624">
        <f>SUM(BT26:BT74)</f>
        <v>-15086122.66</v>
      </c>
    </row>
    <row r="77" spans="1:72" s="115" customFormat="1" ht="19.5" hidden="1" customHeight="1" thickBot="1" x14ac:dyDescent="0.35">
      <c r="A77" s="463"/>
      <c r="B77" s="464"/>
      <c r="C77" s="465"/>
      <c r="D77" s="466"/>
      <c r="E77" s="466"/>
      <c r="F77" s="466"/>
      <c r="G77" s="466"/>
      <c r="H77" s="466"/>
      <c r="I77" s="471"/>
      <c r="J77" s="466"/>
      <c r="K77" s="466"/>
      <c r="L77" s="466"/>
      <c r="M77" s="466"/>
      <c r="N77" s="466"/>
      <c r="O77" s="466"/>
      <c r="P77" s="466"/>
      <c r="Q77" s="466"/>
      <c r="R77" s="466"/>
      <c r="S77" s="466"/>
      <c r="T77" s="466"/>
      <c r="U77" s="466"/>
      <c r="V77" s="466"/>
      <c r="W77" s="466"/>
      <c r="X77" s="466"/>
      <c r="Y77" s="466"/>
      <c r="Z77" s="466"/>
      <c r="AA77" s="466"/>
      <c r="AB77" s="466"/>
      <c r="AC77" s="466"/>
      <c r="AD77" s="466"/>
      <c r="AE77" s="466"/>
      <c r="AF77" s="466"/>
      <c r="AG77" s="466"/>
      <c r="AH77" s="466"/>
      <c r="AI77" s="466"/>
      <c r="AJ77" s="466"/>
      <c r="AK77" s="466"/>
      <c r="AL77" s="466"/>
      <c r="AM77" s="466"/>
      <c r="AN77" s="466"/>
      <c r="AO77" s="466"/>
      <c r="AP77" s="466"/>
      <c r="AQ77" s="466"/>
      <c r="AR77" s="466"/>
      <c r="AS77" s="466"/>
      <c r="AT77" s="466"/>
      <c r="AU77" s="466"/>
      <c r="AV77" s="466"/>
      <c r="AW77" s="466"/>
      <c r="AX77" s="466"/>
      <c r="BM77" s="604"/>
      <c r="BN77" s="604"/>
      <c r="BO77" s="604"/>
      <c r="BP77" s="531"/>
      <c r="BQ77" s="607"/>
    </row>
    <row r="78" spans="1:72" s="115" customFormat="1" hidden="1" x14ac:dyDescent="0.3">
      <c r="A78" s="463"/>
      <c r="B78" s="464"/>
      <c r="C78" s="465"/>
      <c r="D78" s="157">
        <f>D23-D11</f>
        <v>-1238882569.585</v>
      </c>
      <c r="E78" s="157">
        <f t="shared" ref="E78:AU78" si="81">E23-E11</f>
        <v>419446106.55499935</v>
      </c>
      <c r="F78" s="157">
        <f t="shared" si="81"/>
        <v>1658328676.1399994</v>
      </c>
      <c r="G78" s="157">
        <f t="shared" si="81"/>
        <v>21072590.980000019</v>
      </c>
      <c r="H78" s="157">
        <f t="shared" si="81"/>
        <v>21072590.980000019</v>
      </c>
      <c r="I78" s="157">
        <f t="shared" si="81"/>
        <v>0</v>
      </c>
      <c r="J78" s="157">
        <f t="shared" si="81"/>
        <v>16524140.506574497</v>
      </c>
      <c r="K78" s="157">
        <f t="shared" si="81"/>
        <v>4548450.4600000083</v>
      </c>
      <c r="L78" s="157">
        <f t="shared" si="81"/>
        <v>4548450.4734255075</v>
      </c>
      <c r="M78" s="157">
        <f t="shared" si="81"/>
        <v>1.3425499200820923E-2</v>
      </c>
      <c r="N78" s="157">
        <f t="shared" si="81"/>
        <v>9.9999979138374329E-3</v>
      </c>
      <c r="O78" s="157">
        <f t="shared" si="81"/>
        <v>0</v>
      </c>
      <c r="P78" s="157">
        <f t="shared" si="81"/>
        <v>-9.9999979138374329E-3</v>
      </c>
      <c r="Q78" s="157">
        <f t="shared" si="81"/>
        <v>388193676.15000033</v>
      </c>
      <c r="R78" s="157">
        <f t="shared" si="81"/>
        <v>388193676.13999939</v>
      </c>
      <c r="S78" s="157">
        <f t="shared" si="81"/>
        <v>-1.0000944137573242E-2</v>
      </c>
      <c r="T78" s="157">
        <f t="shared" si="81"/>
        <v>388193676.14999998</v>
      </c>
      <c r="U78" s="157">
        <f t="shared" si="81"/>
        <v>0</v>
      </c>
      <c r="V78" s="157">
        <f t="shared" si="81"/>
        <v>-1.0000228881835938E-2</v>
      </c>
      <c r="W78" s="157">
        <f t="shared" si="81"/>
        <v>-1.0000228881835938E-2</v>
      </c>
      <c r="X78" s="157">
        <f t="shared" si="81"/>
        <v>0</v>
      </c>
      <c r="Y78" s="157">
        <f t="shared" si="81"/>
        <v>0</v>
      </c>
      <c r="Z78" s="157">
        <f t="shared" si="81"/>
        <v>0</v>
      </c>
      <c r="AA78" s="157">
        <f t="shared" si="81"/>
        <v>0</v>
      </c>
      <c r="AB78" s="157">
        <f t="shared" si="81"/>
        <v>0</v>
      </c>
      <c r="AC78" s="157">
        <f t="shared" si="81"/>
        <v>0</v>
      </c>
      <c r="AD78" s="157"/>
      <c r="AE78" s="157"/>
      <c r="AF78" s="157"/>
      <c r="AG78" s="157"/>
      <c r="AH78" s="157"/>
      <c r="AI78" s="157"/>
      <c r="AJ78" s="157">
        <f t="shared" si="81"/>
        <v>0</v>
      </c>
      <c r="AK78" s="157">
        <f t="shared" si="81"/>
        <v>0</v>
      </c>
      <c r="AL78" s="157">
        <f t="shared" si="81"/>
        <v>10179839.423299968</v>
      </c>
      <c r="AM78" s="157">
        <f t="shared" si="81"/>
        <v>10179839.435000062</v>
      </c>
      <c r="AN78" s="157">
        <f t="shared" si="81"/>
        <v>1.1700034141540527E-2</v>
      </c>
      <c r="AO78" s="157">
        <f t="shared" si="81"/>
        <v>9808185.4527635574</v>
      </c>
      <c r="AP78" s="157">
        <f t="shared" si="81"/>
        <v>9808185.4449999928</v>
      </c>
      <c r="AQ78" s="157">
        <f t="shared" si="81"/>
        <v>-7.7635645866394043E-3</v>
      </c>
      <c r="AR78" s="157">
        <f t="shared" si="81"/>
        <v>371653.99000000209</v>
      </c>
      <c r="AS78" s="157">
        <f t="shared" si="81"/>
        <v>371653.99000000954</v>
      </c>
      <c r="AT78" s="157">
        <f t="shared" si="81"/>
        <v>0</v>
      </c>
      <c r="AU78" s="157">
        <f t="shared" si="81"/>
        <v>0</v>
      </c>
      <c r="AV78" s="467"/>
      <c r="AW78" s="467"/>
      <c r="AX78" s="467"/>
      <c r="BM78" s="604"/>
      <c r="BN78" s="604"/>
      <c r="BO78" s="604"/>
      <c r="BP78" s="531"/>
      <c r="BQ78" s="607"/>
    </row>
    <row r="79" spans="1:72" s="115" customFormat="1" hidden="1" x14ac:dyDescent="0.3">
      <c r="A79" s="463"/>
      <c r="B79" s="464"/>
      <c r="C79" s="465"/>
      <c r="D79" s="466">
        <f>D78+D76</f>
        <v>31252430.414999962</v>
      </c>
      <c r="E79" s="466">
        <f t="shared" ref="E79:AU79" si="82">E78+E76</f>
        <v>419446106.56499994</v>
      </c>
      <c r="F79" s="466">
        <f t="shared" si="82"/>
        <v>388193676.1500001</v>
      </c>
      <c r="G79" s="466">
        <f t="shared" si="82"/>
        <v>21072590.980000019</v>
      </c>
      <c r="H79" s="466">
        <f t="shared" si="82"/>
        <v>21072590.980000019</v>
      </c>
      <c r="I79" s="466">
        <f t="shared" si="82"/>
        <v>0</v>
      </c>
      <c r="J79" s="466">
        <f t="shared" si="82"/>
        <v>16524140.506574497</v>
      </c>
      <c r="K79" s="466">
        <f t="shared" si="82"/>
        <v>4548450.4600000083</v>
      </c>
      <c r="L79" s="466">
        <f t="shared" si="82"/>
        <v>4548450.4734255075</v>
      </c>
      <c r="M79" s="466">
        <f t="shared" si="82"/>
        <v>1.3425499200820923E-2</v>
      </c>
      <c r="N79" s="466">
        <f t="shared" si="82"/>
        <v>9.9999979138374329E-3</v>
      </c>
      <c r="O79" s="466">
        <f t="shared" si="82"/>
        <v>0</v>
      </c>
      <c r="P79" s="466">
        <f t="shared" si="82"/>
        <v>-9.9999979138374329E-3</v>
      </c>
      <c r="Q79" s="466">
        <f t="shared" si="82"/>
        <v>388193676.14999998</v>
      </c>
      <c r="R79" s="466">
        <f t="shared" si="82"/>
        <v>388193676.14999998</v>
      </c>
      <c r="S79" s="466">
        <f t="shared" si="82"/>
        <v>0</v>
      </c>
      <c r="T79" s="466">
        <f t="shared" si="82"/>
        <v>593808468.51999998</v>
      </c>
      <c r="U79" s="466">
        <f t="shared" si="82"/>
        <v>0</v>
      </c>
      <c r="V79" s="466">
        <f t="shared" si="82"/>
        <v>1.0000228881835938E-2</v>
      </c>
      <c r="W79" s="466">
        <f t="shared" si="82"/>
        <v>1.0000228881835938E-2</v>
      </c>
      <c r="X79" s="466">
        <f t="shared" si="82"/>
        <v>0</v>
      </c>
      <c r="Y79" s="466">
        <f t="shared" si="82"/>
        <v>0</v>
      </c>
      <c r="Z79" s="466">
        <f t="shared" si="82"/>
        <v>0</v>
      </c>
      <c r="AA79" s="466">
        <f t="shared" si="82"/>
        <v>0</v>
      </c>
      <c r="AB79" s="466">
        <f t="shared" si="82"/>
        <v>0</v>
      </c>
      <c r="AC79" s="466">
        <f t="shared" si="82"/>
        <v>0</v>
      </c>
      <c r="AD79" s="466"/>
      <c r="AE79" s="466"/>
      <c r="AF79" s="466"/>
      <c r="AG79" s="466"/>
      <c r="AH79" s="466"/>
      <c r="AI79" s="466"/>
      <c r="AJ79" s="466">
        <f t="shared" si="82"/>
        <v>0</v>
      </c>
      <c r="AK79" s="466">
        <f t="shared" si="82"/>
        <v>0</v>
      </c>
      <c r="AL79" s="466">
        <f t="shared" si="82"/>
        <v>10179839.423299968</v>
      </c>
      <c r="AM79" s="466">
        <f t="shared" si="82"/>
        <v>10179839.435000062</v>
      </c>
      <c r="AN79" s="466">
        <f t="shared" si="82"/>
        <v>1.1700034141540527E-2</v>
      </c>
      <c r="AO79" s="466">
        <f t="shared" si="82"/>
        <v>9808185.4527635574</v>
      </c>
      <c r="AP79" s="466">
        <f t="shared" si="82"/>
        <v>9808185.4449999928</v>
      </c>
      <c r="AQ79" s="466">
        <f t="shared" si="82"/>
        <v>-7.7635645866394043E-3</v>
      </c>
      <c r="AR79" s="466">
        <f t="shared" si="82"/>
        <v>371653.99000000209</v>
      </c>
      <c r="AS79" s="466">
        <f t="shared" si="82"/>
        <v>371653.99000000954</v>
      </c>
      <c r="AT79" s="466">
        <f t="shared" si="82"/>
        <v>0</v>
      </c>
      <c r="AU79" s="466">
        <f t="shared" si="82"/>
        <v>0</v>
      </c>
      <c r="AV79" s="466"/>
      <c r="AW79" s="466"/>
      <c r="AX79" s="466"/>
      <c r="BM79" s="604"/>
      <c r="BN79" s="604"/>
      <c r="BO79" s="604"/>
      <c r="BP79" s="531"/>
      <c r="BQ79" s="607"/>
    </row>
    <row r="80" spans="1:72" s="115" customFormat="1" hidden="1" x14ac:dyDescent="0.3">
      <c r="A80" s="463"/>
      <c r="B80" s="464"/>
      <c r="C80" s="465"/>
      <c r="D80" s="466" t="b">
        <f>D75=D79</f>
        <v>1</v>
      </c>
      <c r="E80" s="466" t="b">
        <f t="shared" ref="E80:AU80" si="83">E75=E79</f>
        <v>0</v>
      </c>
      <c r="F80" s="466" t="b">
        <f t="shared" si="83"/>
        <v>0</v>
      </c>
      <c r="G80" s="466" t="b">
        <f t="shared" si="83"/>
        <v>1</v>
      </c>
      <c r="H80" s="466" t="b">
        <f t="shared" si="83"/>
        <v>1</v>
      </c>
      <c r="I80" s="466" t="b">
        <f t="shared" si="83"/>
        <v>1</v>
      </c>
      <c r="J80" s="466" t="b">
        <f t="shared" si="83"/>
        <v>1</v>
      </c>
      <c r="K80" s="466" t="b">
        <f t="shared" si="83"/>
        <v>1</v>
      </c>
      <c r="L80" s="466" t="b">
        <f t="shared" si="83"/>
        <v>1</v>
      </c>
      <c r="M80" s="466" t="b">
        <f t="shared" si="83"/>
        <v>1</v>
      </c>
      <c r="N80" s="466" t="b">
        <f t="shared" si="83"/>
        <v>1</v>
      </c>
      <c r="O80" s="466" t="b">
        <f t="shared" si="83"/>
        <v>1</v>
      </c>
      <c r="P80" s="466" t="b">
        <f t="shared" si="83"/>
        <v>1</v>
      </c>
      <c r="Q80" s="466" t="b">
        <f t="shared" si="83"/>
        <v>0</v>
      </c>
      <c r="R80" s="466" t="b">
        <f t="shared" si="83"/>
        <v>0</v>
      </c>
      <c r="S80" s="466" t="b">
        <f t="shared" si="83"/>
        <v>1</v>
      </c>
      <c r="T80" s="466" t="b">
        <f t="shared" si="83"/>
        <v>1</v>
      </c>
      <c r="U80" s="466" t="b">
        <f t="shared" si="83"/>
        <v>1</v>
      </c>
      <c r="V80" s="466" t="b">
        <f t="shared" si="83"/>
        <v>1</v>
      </c>
      <c r="W80" s="466" t="b">
        <f t="shared" si="83"/>
        <v>1</v>
      </c>
      <c r="X80" s="466" t="b">
        <f t="shared" si="83"/>
        <v>1</v>
      </c>
      <c r="Y80" s="466" t="b">
        <f t="shared" si="83"/>
        <v>1</v>
      </c>
      <c r="Z80" s="466" t="b">
        <f t="shared" si="83"/>
        <v>1</v>
      </c>
      <c r="AA80" s="466" t="b">
        <f t="shared" si="83"/>
        <v>1</v>
      </c>
      <c r="AB80" s="466" t="b">
        <f t="shared" si="83"/>
        <v>1</v>
      </c>
      <c r="AC80" s="466" t="b">
        <f t="shared" si="83"/>
        <v>1</v>
      </c>
      <c r="AD80" s="466"/>
      <c r="AE80" s="466"/>
      <c r="AF80" s="466"/>
      <c r="AG80" s="466"/>
      <c r="AH80" s="466"/>
      <c r="AI80" s="466"/>
      <c r="AJ80" s="466" t="b">
        <f t="shared" si="83"/>
        <v>1</v>
      </c>
      <c r="AK80" s="466" t="b">
        <f t="shared" si="83"/>
        <v>1</v>
      </c>
      <c r="AL80" s="466" t="b">
        <f t="shared" si="83"/>
        <v>0</v>
      </c>
      <c r="AM80" s="466" t="b">
        <f t="shared" si="83"/>
        <v>1</v>
      </c>
      <c r="AN80" s="466" t="b">
        <f t="shared" si="83"/>
        <v>1</v>
      </c>
      <c r="AO80" s="466" t="b">
        <f t="shared" si="83"/>
        <v>1</v>
      </c>
      <c r="AP80" s="466" t="b">
        <f t="shared" si="83"/>
        <v>1</v>
      </c>
      <c r="AQ80" s="466" t="b">
        <f t="shared" si="83"/>
        <v>1</v>
      </c>
      <c r="AR80" s="466" t="b">
        <f t="shared" si="83"/>
        <v>1</v>
      </c>
      <c r="AS80" s="466" t="b">
        <f t="shared" si="83"/>
        <v>1</v>
      </c>
      <c r="AT80" s="466" t="b">
        <f t="shared" si="83"/>
        <v>1</v>
      </c>
      <c r="AU80" s="466" t="b">
        <f t="shared" si="83"/>
        <v>1</v>
      </c>
      <c r="AV80" s="466"/>
      <c r="AW80" s="466"/>
      <c r="AX80" s="466"/>
      <c r="BM80" s="604"/>
      <c r="BN80" s="604"/>
      <c r="BO80" s="604"/>
      <c r="BP80" s="531"/>
      <c r="BQ80" s="607"/>
    </row>
    <row r="81" spans="1:69" s="115" customFormat="1" hidden="1" x14ac:dyDescent="0.3">
      <c r="A81" s="463"/>
      <c r="B81" s="464"/>
      <c r="C81" s="465"/>
      <c r="D81" s="466"/>
      <c r="E81" s="466">
        <f>E23-E11</f>
        <v>419446106.55499935</v>
      </c>
      <c r="F81" s="466"/>
      <c r="G81" s="466"/>
      <c r="H81" s="466"/>
      <c r="I81" s="466"/>
      <c r="J81" s="466"/>
      <c r="K81" s="466"/>
      <c r="L81" s="466"/>
      <c r="M81" s="466"/>
      <c r="N81" s="466"/>
      <c r="O81" s="466"/>
      <c r="P81" s="466"/>
      <c r="Q81" s="466"/>
      <c r="R81" s="466"/>
      <c r="S81" s="466"/>
      <c r="T81" s="466"/>
      <c r="U81" s="466"/>
      <c r="V81" s="466"/>
      <c r="W81" s="466"/>
      <c r="X81" s="466"/>
      <c r="Y81" s="466"/>
      <c r="Z81" s="466"/>
      <c r="AA81" s="466"/>
      <c r="AB81" s="466"/>
      <c r="AC81" s="466"/>
      <c r="AD81" s="466"/>
      <c r="AE81" s="466"/>
      <c r="AF81" s="466"/>
      <c r="AG81" s="466"/>
      <c r="AH81" s="466"/>
      <c r="AI81" s="466"/>
      <c r="AJ81" s="466"/>
      <c r="AK81" s="466"/>
      <c r="AL81" s="466"/>
      <c r="AM81" s="466"/>
      <c r="AN81" s="466"/>
      <c r="AO81" s="466"/>
      <c r="AP81" s="466"/>
      <c r="AQ81" s="466"/>
      <c r="AR81" s="466"/>
      <c r="AS81" s="466"/>
      <c r="AT81" s="466"/>
      <c r="AU81" s="466"/>
      <c r="AV81" s="466"/>
      <c r="AW81" s="466"/>
      <c r="AX81" s="466"/>
      <c r="BM81" s="604"/>
      <c r="BN81" s="604"/>
      <c r="BO81" s="604"/>
      <c r="BP81" s="531"/>
      <c r="BQ81" s="607"/>
    </row>
    <row r="82" spans="1:69" s="115" customFormat="1" hidden="1" x14ac:dyDescent="0.3">
      <c r="A82" s="463"/>
      <c r="B82" s="464"/>
      <c r="C82" s="465"/>
      <c r="D82" s="466"/>
      <c r="E82" s="466"/>
      <c r="F82" s="466"/>
      <c r="G82" s="466"/>
      <c r="H82" s="466"/>
      <c r="I82" s="466"/>
      <c r="J82" s="466"/>
      <c r="K82" s="466"/>
      <c r="L82" s="466"/>
      <c r="M82" s="466"/>
      <c r="N82" s="466"/>
      <c r="O82" s="466"/>
      <c r="P82" s="466"/>
      <c r="Q82" s="466"/>
      <c r="R82" s="466"/>
      <c r="S82" s="466"/>
      <c r="T82" s="466"/>
      <c r="U82" s="466"/>
      <c r="V82" s="466">
        <v>824053700</v>
      </c>
      <c r="W82" s="466"/>
      <c r="X82" s="466"/>
      <c r="Y82" s="466"/>
      <c r="Z82" s="466"/>
      <c r="AA82" s="466"/>
      <c r="AB82" s="466"/>
      <c r="AC82" s="466"/>
      <c r="AD82" s="466"/>
      <c r="AE82" s="466"/>
      <c r="AF82" s="466"/>
      <c r="AG82" s="466"/>
      <c r="AH82" s="466"/>
      <c r="AI82" s="466"/>
      <c r="AJ82" s="466"/>
      <c r="AK82" s="466"/>
      <c r="AL82" s="466"/>
      <c r="AM82" s="466"/>
      <c r="AN82" s="466"/>
      <c r="AO82" s="466"/>
      <c r="AP82" s="466">
        <f>AO75-AP75</f>
        <v>7.7635645866394043E-3</v>
      </c>
      <c r="AQ82" s="466"/>
      <c r="AR82" s="466"/>
      <c r="AS82" s="466"/>
      <c r="AT82" s="466"/>
      <c r="AU82" s="466"/>
      <c r="AV82" s="466"/>
      <c r="AW82" s="466"/>
      <c r="AX82" s="466"/>
      <c r="BM82" s="604"/>
      <c r="BN82" s="604"/>
      <c r="BO82" s="604"/>
      <c r="BP82" s="531"/>
      <c r="BQ82" s="607"/>
    </row>
    <row r="83" spans="1:69" s="115" customFormat="1" hidden="1" x14ac:dyDescent="0.3">
      <c r="A83" s="463"/>
      <c r="B83" s="464"/>
      <c r="C83" s="465"/>
      <c r="D83" s="466"/>
      <c r="E83" s="466"/>
      <c r="F83" s="466">
        <f>F11-F23</f>
        <v>-1658328676.1399994</v>
      </c>
      <c r="G83" s="466"/>
      <c r="H83" s="466"/>
      <c r="I83" s="466"/>
      <c r="J83" s="466"/>
      <c r="K83" s="466"/>
      <c r="L83" s="466"/>
      <c r="M83" s="466"/>
      <c r="N83" s="466"/>
      <c r="O83" s="466"/>
      <c r="P83" s="466"/>
      <c r="Q83" s="466"/>
      <c r="R83" s="466"/>
      <c r="S83" s="466"/>
      <c r="T83" s="466"/>
      <c r="U83" s="466"/>
      <c r="V83" s="466">
        <f>V82-X11-AA11-1896500.82-6372300</f>
        <v>786775320.70999992</v>
      </c>
      <c r="W83" s="466"/>
      <c r="X83" s="466"/>
      <c r="Y83" s="466"/>
      <c r="Z83" s="466"/>
      <c r="AA83" s="466"/>
      <c r="AB83" s="466"/>
      <c r="AC83" s="466"/>
      <c r="AD83" s="466"/>
      <c r="AE83" s="466"/>
      <c r="AF83" s="466"/>
      <c r="AG83" s="466"/>
      <c r="AH83" s="466"/>
      <c r="AI83" s="466"/>
      <c r="AJ83" s="466"/>
      <c r="AK83" s="466"/>
      <c r="AL83" s="466"/>
      <c r="AM83" s="466"/>
      <c r="AN83" s="466"/>
      <c r="AO83" s="466"/>
      <c r="AP83" s="466"/>
      <c r="AQ83" s="466"/>
      <c r="AR83" s="466"/>
      <c r="AS83" s="466"/>
      <c r="AT83" s="466"/>
      <c r="AU83" s="466"/>
      <c r="AV83" s="466"/>
      <c r="AW83" s="466"/>
      <c r="AX83" s="466"/>
      <c r="BM83" s="604"/>
      <c r="BN83" s="604"/>
      <c r="BO83" s="604"/>
      <c r="BP83" s="531"/>
      <c r="BQ83" s="607"/>
    </row>
    <row r="84" spans="1:69" s="115" customFormat="1" hidden="1" x14ac:dyDescent="0.3">
      <c r="A84" s="463"/>
      <c r="B84" s="464"/>
      <c r="C84" s="465"/>
      <c r="D84" s="466"/>
      <c r="E84" s="466"/>
      <c r="F84" s="466" t="b">
        <f>F76=F83</f>
        <v>0</v>
      </c>
      <c r="G84" s="466"/>
      <c r="H84" s="466"/>
      <c r="I84" s="466"/>
      <c r="J84" s="466"/>
      <c r="K84" s="466"/>
      <c r="L84" s="466"/>
      <c r="M84" s="466"/>
      <c r="N84" s="466"/>
      <c r="O84" s="466"/>
      <c r="P84" s="466"/>
      <c r="Q84" s="466"/>
      <c r="R84" s="466"/>
      <c r="S84" s="466"/>
      <c r="T84" s="466"/>
      <c r="U84" s="466"/>
      <c r="V84" s="466"/>
      <c r="W84" s="466"/>
      <c r="X84" s="466"/>
      <c r="Y84" s="466"/>
      <c r="Z84" s="466"/>
      <c r="AA84" s="466"/>
      <c r="AB84" s="466"/>
      <c r="AC84" s="466"/>
      <c r="AD84" s="466"/>
      <c r="AE84" s="466"/>
      <c r="AF84" s="466"/>
      <c r="AG84" s="466"/>
      <c r="AH84" s="466"/>
      <c r="AI84" s="466"/>
      <c r="AJ84" s="466"/>
      <c r="AK84" s="466"/>
      <c r="AL84" s="466"/>
      <c r="AM84" s="466"/>
      <c r="AN84" s="466"/>
      <c r="AO84" s="466"/>
      <c r="AP84" s="466"/>
      <c r="AQ84" s="466"/>
      <c r="AR84" s="466"/>
      <c r="AS84" s="466"/>
      <c r="AT84" s="466"/>
      <c r="AU84" s="466"/>
      <c r="AV84" s="466"/>
      <c r="AW84" s="466"/>
      <c r="AX84" s="466"/>
      <c r="BM84" s="604"/>
      <c r="BN84" s="604"/>
      <c r="BO84" s="604"/>
      <c r="BP84" s="531"/>
      <c r="BQ84" s="607"/>
    </row>
    <row r="85" spans="1:69" s="115" customFormat="1" hidden="1" x14ac:dyDescent="0.3">
      <c r="A85" s="463"/>
      <c r="B85" s="464"/>
      <c r="C85" s="465"/>
      <c r="D85" s="466"/>
      <c r="E85" s="466"/>
      <c r="F85" s="466"/>
      <c r="G85" s="466"/>
      <c r="H85" s="466"/>
      <c r="I85" s="466"/>
      <c r="J85" s="466"/>
      <c r="K85" s="466"/>
      <c r="L85" s="466"/>
      <c r="M85" s="466"/>
      <c r="N85" s="466"/>
      <c r="O85" s="466"/>
      <c r="P85" s="466"/>
      <c r="Q85" s="466"/>
      <c r="R85" s="466"/>
      <c r="S85" s="466"/>
      <c r="T85" s="466"/>
      <c r="U85" s="466"/>
      <c r="V85" s="466"/>
      <c r="W85" s="466"/>
      <c r="X85" s="466"/>
      <c r="Y85" s="466"/>
      <c r="Z85" s="466"/>
      <c r="AA85" s="466"/>
      <c r="AB85" s="466"/>
      <c r="AC85" s="466"/>
      <c r="AD85" s="466"/>
      <c r="AE85" s="466"/>
      <c r="AF85" s="466"/>
      <c r="AG85" s="466"/>
      <c r="AH85" s="466"/>
      <c r="AI85" s="466"/>
      <c r="AJ85" s="466"/>
      <c r="AK85" s="466"/>
      <c r="AL85" s="466"/>
      <c r="AM85" s="466"/>
      <c r="AN85" s="466"/>
      <c r="AO85" s="466"/>
      <c r="AP85" s="466"/>
      <c r="AQ85" s="466"/>
      <c r="AR85" s="466"/>
      <c r="AS85" s="466"/>
      <c r="AT85" s="466"/>
      <c r="AU85" s="466"/>
      <c r="AV85" s="466"/>
      <c r="AW85" s="466"/>
      <c r="AX85" s="466"/>
      <c r="BM85" s="604"/>
      <c r="BN85" s="604"/>
      <c r="BO85" s="604"/>
      <c r="BP85" s="531"/>
      <c r="BQ85" s="607"/>
    </row>
    <row r="86" spans="1:69" s="115" customFormat="1" hidden="1" x14ac:dyDescent="0.3">
      <c r="A86" s="463"/>
      <c r="B86" s="464"/>
      <c r="C86" s="465"/>
      <c r="D86" s="466"/>
      <c r="E86" s="466"/>
      <c r="F86" s="466"/>
      <c r="G86" s="283">
        <v>493797.89</v>
      </c>
      <c r="H86" s="157">
        <v>493797.8900000155</v>
      </c>
      <c r="I86" s="298">
        <v>1.548323780298233E-8</v>
      </c>
      <c r="J86" s="467"/>
      <c r="K86" s="467"/>
      <c r="L86" s="467"/>
      <c r="M86" s="467"/>
      <c r="N86" s="467"/>
      <c r="O86" s="467"/>
      <c r="P86" s="467"/>
      <c r="Q86" s="468"/>
      <c r="R86" s="468"/>
      <c r="S86" s="468"/>
      <c r="T86" s="468"/>
      <c r="U86" s="468"/>
      <c r="V86" s="468"/>
      <c r="W86" s="468"/>
      <c r="X86" s="468"/>
      <c r="Y86" s="468"/>
      <c r="Z86" s="468"/>
      <c r="AA86" s="468"/>
      <c r="AB86" s="468"/>
      <c r="AC86" s="468"/>
      <c r="AD86" s="468"/>
      <c r="AE86" s="468"/>
      <c r="AF86" s="468"/>
      <c r="AG86" s="468"/>
      <c r="AH86" s="468"/>
      <c r="AI86" s="468"/>
      <c r="AJ86" s="469"/>
      <c r="AK86" s="469"/>
      <c r="AL86" s="470"/>
      <c r="AM86" s="470"/>
      <c r="AN86" s="470"/>
      <c r="AO86" s="470"/>
      <c r="AP86" s="470"/>
      <c r="AQ86" s="470"/>
      <c r="AR86" s="470"/>
      <c r="AS86" s="470"/>
      <c r="AT86" s="470"/>
      <c r="AU86" s="470"/>
      <c r="AV86" s="470"/>
      <c r="AW86" s="470"/>
      <c r="AX86" s="470"/>
      <c r="BM86" s="604"/>
      <c r="BN86" s="604"/>
      <c r="BO86" s="604"/>
      <c r="BP86" s="531"/>
      <c r="BQ86" s="607"/>
    </row>
    <row r="87" spans="1:69" ht="19.5" hidden="1" thickBot="1" x14ac:dyDescent="0.35">
      <c r="G87" s="407">
        <v>-2.1200180053710938E-3</v>
      </c>
      <c r="H87" s="304">
        <v>0</v>
      </c>
      <c r="I87" s="377">
        <v>2.1200180053710938E-3</v>
      </c>
      <c r="J87" s="117"/>
      <c r="K87" s="117"/>
      <c r="L87" s="117"/>
      <c r="M87" s="117"/>
      <c r="N87" s="117"/>
      <c r="O87" s="117"/>
      <c r="P87" s="117"/>
      <c r="Q87" s="117"/>
      <c r="R87" s="117"/>
      <c r="S87" s="117"/>
      <c r="T87" s="111">
        <v>49006743.600000001</v>
      </c>
      <c r="U87" s="117" t="s">
        <v>237</v>
      </c>
      <c r="V87" s="117"/>
      <c r="W87" s="117"/>
      <c r="X87" s="117"/>
      <c r="Y87" s="117"/>
      <c r="Z87" s="117"/>
      <c r="AA87" s="117"/>
      <c r="AB87" s="117"/>
      <c r="AC87" s="117"/>
      <c r="AD87" s="117"/>
      <c r="AE87" s="117"/>
      <c r="AF87" s="117"/>
      <c r="AG87" s="117"/>
      <c r="AH87" s="117"/>
      <c r="AI87" s="117"/>
      <c r="AL87" s="137">
        <f>AL23-AL11</f>
        <v>10179839.423299968</v>
      </c>
      <c r="AM87" s="137">
        <f>AM23-AM11</f>
        <v>10179839.435000062</v>
      </c>
      <c r="AO87" s="137">
        <f>AO23-AO11</f>
        <v>9808185.4527635574</v>
      </c>
      <c r="AP87" s="137">
        <f>AP23-AP11</f>
        <v>9808185.4449999928</v>
      </c>
      <c r="AQ87" s="137"/>
      <c r="AR87" s="137">
        <f t="shared" ref="AR87:AS87" si="84">AR23-AR11</f>
        <v>371653.99000000209</v>
      </c>
      <c r="AS87" s="137">
        <f t="shared" si="84"/>
        <v>371653.99000000954</v>
      </c>
    </row>
    <row r="88" spans="1:69" hidden="1" x14ac:dyDescent="0.3">
      <c r="D88" s="111">
        <f>D23-D11</f>
        <v>-1238882569.585</v>
      </c>
      <c r="G88" s="466"/>
      <c r="H88" s="466"/>
      <c r="I88" s="471"/>
      <c r="J88" s="117"/>
      <c r="K88" s="111"/>
      <c r="L88" s="111"/>
      <c r="M88" s="111"/>
      <c r="N88" s="117"/>
      <c r="O88" s="117"/>
      <c r="P88" s="117"/>
      <c r="Q88" s="117"/>
      <c r="R88" s="117"/>
      <c r="S88" s="117"/>
      <c r="T88" s="111">
        <f>T76-T87</f>
        <v>156608048.77000001</v>
      </c>
      <c r="U88" s="117" t="s">
        <v>197</v>
      </c>
      <c r="V88" s="117"/>
      <c r="W88" s="117"/>
      <c r="X88" s="117"/>
      <c r="Y88" s="117"/>
      <c r="Z88" s="117"/>
      <c r="AA88" s="117"/>
      <c r="AB88" s="117"/>
      <c r="AC88" s="117"/>
      <c r="AD88" s="117"/>
      <c r="AE88" s="117"/>
      <c r="AF88" s="117"/>
      <c r="AG88" s="117"/>
      <c r="AH88" s="117"/>
      <c r="AI88" s="117"/>
    </row>
    <row r="89" spans="1:69" hidden="1" x14ac:dyDescent="0.3">
      <c r="G89" s="157">
        <v>493797.8921200037</v>
      </c>
      <c r="H89" s="157">
        <v>493797.8900000155</v>
      </c>
      <c r="I89" s="157">
        <v>-2.1199882030487061E-3</v>
      </c>
      <c r="J89" s="117">
        <v>211</v>
      </c>
      <c r="K89" s="111">
        <v>170582.06</v>
      </c>
      <c r="L89" s="111"/>
      <c r="M89" s="111"/>
      <c r="N89" s="117"/>
      <c r="O89" s="117"/>
      <c r="P89" s="117"/>
      <c r="Q89" s="117"/>
      <c r="R89" s="117"/>
      <c r="S89" s="117"/>
      <c r="T89" s="117"/>
      <c r="U89" s="117"/>
      <c r="V89" s="117"/>
      <c r="W89" s="117"/>
      <c r="X89" s="117"/>
      <c r="Y89" s="117"/>
      <c r="Z89" s="117"/>
      <c r="AA89" s="117"/>
      <c r="AB89" s="117"/>
      <c r="AC89" s="117"/>
      <c r="AD89" s="117"/>
      <c r="AE89" s="117"/>
      <c r="AF89" s="117"/>
      <c r="AG89" s="117"/>
      <c r="AH89" s="117"/>
      <c r="AI89" s="117"/>
      <c r="AJ89" s="117">
        <v>211</v>
      </c>
      <c r="AK89" s="137">
        <v>109680.99846390169</v>
      </c>
      <c r="AO89" s="263"/>
      <c r="AP89" s="263"/>
      <c r="AQ89" s="263"/>
      <c r="AR89" s="137">
        <v>2818.05</v>
      </c>
      <c r="AS89" s="137"/>
      <c r="AT89" s="137"/>
      <c r="AU89" s="151">
        <v>221</v>
      </c>
      <c r="AV89" s="151"/>
      <c r="AW89" s="151"/>
      <c r="AX89" s="151"/>
    </row>
    <row r="90" spans="1:69" hidden="1" x14ac:dyDescent="0.3">
      <c r="G90" s="466">
        <v>493797.88999998569</v>
      </c>
      <c r="H90" s="466">
        <v>493797.8900000155</v>
      </c>
      <c r="I90" s="466">
        <v>2.9802322387695313E-8</v>
      </c>
      <c r="J90" s="117">
        <v>213</v>
      </c>
      <c r="K90" s="111">
        <f>K89*30.2%+0.01</f>
        <v>51515.792119999998</v>
      </c>
      <c r="L90" s="111"/>
      <c r="M90" s="111"/>
      <c r="N90" s="117"/>
      <c r="O90" s="117"/>
      <c r="P90" s="117"/>
      <c r="Q90" s="117"/>
      <c r="R90" s="117"/>
      <c r="S90" s="117"/>
      <c r="T90" s="117"/>
      <c r="U90" s="117"/>
      <c r="V90" s="117"/>
      <c r="W90" s="117"/>
      <c r="X90" s="117"/>
      <c r="Y90" s="117"/>
      <c r="Z90" s="117"/>
      <c r="AA90" s="117"/>
      <c r="AB90" s="117"/>
      <c r="AC90" s="117"/>
      <c r="AD90" s="117"/>
      <c r="AE90" s="117"/>
      <c r="AF90" s="117"/>
      <c r="AG90" s="117"/>
      <c r="AH90" s="117"/>
      <c r="AI90" s="117"/>
      <c r="AJ90" s="117">
        <v>213</v>
      </c>
      <c r="AK90" s="137">
        <v>33123.660000000003</v>
      </c>
      <c r="AO90" s="263"/>
      <c r="AP90" s="263"/>
      <c r="AQ90" s="263"/>
      <c r="AR90" s="137">
        <v>63920</v>
      </c>
      <c r="AS90" s="137"/>
      <c r="AT90" s="137"/>
      <c r="AU90" s="151">
        <v>310</v>
      </c>
      <c r="AV90" s="151"/>
      <c r="AW90" s="151"/>
      <c r="AX90" s="151"/>
    </row>
    <row r="91" spans="1:69" hidden="1" x14ac:dyDescent="0.3">
      <c r="G91" s="466" t="b">
        <v>0</v>
      </c>
      <c r="H91" s="466" t="b">
        <v>1</v>
      </c>
      <c r="I91" s="466" t="b">
        <v>0</v>
      </c>
      <c r="J91" s="117">
        <v>226</v>
      </c>
      <c r="K91" s="111">
        <v>176906.04</v>
      </c>
      <c r="L91" s="111"/>
      <c r="M91" s="111"/>
      <c r="N91" s="117"/>
      <c r="O91" s="117"/>
      <c r="P91" s="117"/>
      <c r="Q91" s="111"/>
      <c r="R91" s="111"/>
      <c r="S91" s="111"/>
      <c r="T91" s="111"/>
      <c r="U91" s="117"/>
      <c r="V91" s="117"/>
      <c r="W91" s="117"/>
      <c r="X91" s="117"/>
      <c r="Y91" s="117"/>
      <c r="Z91" s="117"/>
      <c r="AA91" s="117"/>
      <c r="AB91" s="117"/>
      <c r="AC91" s="117"/>
      <c r="AD91" s="117"/>
      <c r="AE91" s="117"/>
      <c r="AF91" s="117"/>
      <c r="AG91" s="117"/>
      <c r="AH91" s="117"/>
      <c r="AI91" s="117"/>
      <c r="AK91" s="137">
        <f>SUM(AK89:AK90)</f>
        <v>142804.65846390169</v>
      </c>
      <c r="AO91" s="264">
        <f>AO75</f>
        <v>9808185.4527635574</v>
      </c>
      <c r="AP91" s="264"/>
      <c r="AQ91" s="264"/>
      <c r="AR91" s="137">
        <v>1155747.52</v>
      </c>
      <c r="AS91" s="137"/>
      <c r="AT91" s="137"/>
      <c r="AU91" s="151">
        <v>340</v>
      </c>
      <c r="AV91" s="151"/>
      <c r="AW91" s="151"/>
      <c r="AX91" s="151"/>
    </row>
    <row r="92" spans="1:69" hidden="1" x14ac:dyDescent="0.3">
      <c r="G92" s="117"/>
      <c r="H92" s="117"/>
      <c r="I92" s="117"/>
      <c r="J92" s="117">
        <v>340</v>
      </c>
      <c r="K92" s="111">
        <v>94794</v>
      </c>
      <c r="L92" s="111"/>
      <c r="M92" s="111"/>
      <c r="N92" s="117"/>
      <c r="O92" s="117"/>
      <c r="P92" s="117"/>
      <c r="Q92" s="117"/>
      <c r="R92" s="117"/>
      <c r="S92" s="117"/>
      <c r="T92" s="117"/>
      <c r="U92" s="117"/>
      <c r="V92" s="117"/>
      <c r="W92" s="117"/>
      <c r="X92" s="117"/>
      <c r="Y92" s="117"/>
      <c r="Z92" s="117"/>
      <c r="AA92" s="117"/>
      <c r="AB92" s="117"/>
      <c r="AC92" s="117"/>
      <c r="AD92" s="117"/>
      <c r="AE92" s="117"/>
      <c r="AF92" s="117"/>
      <c r="AG92" s="117"/>
      <c r="AH92" s="117"/>
      <c r="AI92" s="117"/>
    </row>
    <row r="93" spans="1:69" s="531" customFormat="1" hidden="1" x14ac:dyDescent="0.3">
      <c r="C93" s="532"/>
      <c r="H93" s="535">
        <f>H23-H86</f>
        <v>239248393.09</v>
      </c>
      <c r="K93" s="533">
        <f>SUM(K89:K92)</f>
        <v>493797.89211999997</v>
      </c>
      <c r="L93" s="533"/>
      <c r="M93" s="533"/>
      <c r="AK93" s="534"/>
      <c r="AL93" s="534"/>
      <c r="AM93" s="534"/>
      <c r="AN93" s="534"/>
      <c r="BQ93" s="602"/>
    </row>
    <row r="94" spans="1:69" s="531" customFormat="1" hidden="1" x14ac:dyDescent="0.3">
      <c r="C94" s="532"/>
      <c r="G94" s="531" t="s">
        <v>450</v>
      </c>
      <c r="H94" s="535">
        <f>212239200+57300000</f>
        <v>269539200</v>
      </c>
      <c r="I94" s="533">
        <f>H94+H86</f>
        <v>270032997.88999999</v>
      </c>
      <c r="K94" s="533"/>
      <c r="L94" s="533"/>
      <c r="M94" s="533"/>
      <c r="AK94" s="534"/>
      <c r="AL94" s="534"/>
      <c r="AM94" s="534"/>
      <c r="AN94" s="534"/>
      <c r="BQ94" s="602"/>
    </row>
    <row r="95" spans="1:69" hidden="1" x14ac:dyDescent="0.3">
      <c r="G95" s="117"/>
      <c r="H95" s="111">
        <f>H94-H93</f>
        <v>30290806.909999996</v>
      </c>
      <c r="I95" s="117"/>
      <c r="J95" s="117"/>
      <c r="K95" s="111"/>
      <c r="L95" s="111"/>
      <c r="M95" s="111"/>
      <c r="N95" s="117"/>
      <c r="O95" s="117"/>
      <c r="P95" s="117"/>
      <c r="Q95" s="117"/>
      <c r="R95" s="117"/>
      <c r="S95" s="117"/>
      <c r="T95" s="117"/>
      <c r="U95" s="117"/>
      <c r="V95" s="117"/>
      <c r="W95" s="117"/>
      <c r="X95" s="117"/>
      <c r="Y95" s="117"/>
      <c r="Z95" s="117"/>
      <c r="AA95" s="117"/>
      <c r="AB95" s="117"/>
      <c r="AC95" s="117"/>
      <c r="AD95" s="117"/>
      <c r="AE95" s="117"/>
      <c r="AF95" s="117"/>
      <c r="AG95" s="117"/>
      <c r="AH95" s="117"/>
      <c r="AI95" s="117"/>
    </row>
    <row r="96" spans="1:69" hidden="1" x14ac:dyDescent="0.3">
      <c r="G96" s="117"/>
      <c r="H96" s="117"/>
      <c r="I96" s="117"/>
      <c r="J96" s="117"/>
      <c r="K96" s="117"/>
      <c r="L96" s="117"/>
      <c r="M96" s="117"/>
      <c r="N96" s="117"/>
      <c r="O96" s="117"/>
      <c r="P96" s="117"/>
      <c r="Q96" s="117"/>
      <c r="R96" s="117"/>
      <c r="S96" s="117"/>
      <c r="T96" s="117"/>
      <c r="U96" s="117"/>
      <c r="V96" s="117"/>
      <c r="W96" s="117"/>
      <c r="X96" s="117"/>
      <c r="Y96" s="117"/>
      <c r="Z96" s="117"/>
      <c r="AA96" s="117"/>
      <c r="AB96" s="117"/>
      <c r="AC96" s="117"/>
      <c r="AD96" s="117"/>
      <c r="AE96" s="117"/>
      <c r="AF96" s="117"/>
      <c r="AG96" s="117"/>
      <c r="AH96" s="117"/>
      <c r="AI96" s="117"/>
    </row>
    <row r="97" spans="5:69" hidden="1" x14ac:dyDescent="0.3">
      <c r="E97" s="111">
        <f>E45-T45-AM45</f>
        <v>2294985709.3699994</v>
      </c>
      <c r="G97" s="117"/>
      <c r="H97" s="117"/>
      <c r="I97" s="117"/>
      <c r="J97" s="117"/>
      <c r="K97" s="117"/>
      <c r="L97" s="117"/>
      <c r="M97" s="117"/>
      <c r="N97" s="117"/>
      <c r="O97" s="117"/>
      <c r="P97" s="117"/>
      <c r="Q97" s="117"/>
      <c r="R97" s="117"/>
      <c r="S97" s="117"/>
      <c r="T97" s="117"/>
      <c r="U97" s="117"/>
      <c r="V97" s="117"/>
      <c r="W97" s="117"/>
      <c r="X97" s="117"/>
      <c r="Y97" s="117"/>
      <c r="Z97" s="117"/>
      <c r="AA97" s="117"/>
      <c r="AB97" s="117"/>
      <c r="AC97" s="117"/>
      <c r="AD97" s="117"/>
      <c r="AE97" s="117"/>
      <c r="AF97" s="117"/>
      <c r="AG97" s="117"/>
      <c r="AH97" s="117"/>
      <c r="AI97" s="117"/>
    </row>
    <row r="98" spans="5:69" hidden="1" x14ac:dyDescent="0.3">
      <c r="G98" s="117"/>
      <c r="H98" s="117"/>
      <c r="I98" s="117"/>
      <c r="J98" s="117"/>
      <c r="K98" s="117"/>
      <c r="L98" s="117"/>
      <c r="M98" s="117"/>
      <c r="N98" s="117"/>
      <c r="O98" s="117"/>
      <c r="P98" s="117"/>
      <c r="Q98" s="117"/>
      <c r="R98" s="117"/>
      <c r="S98" s="117"/>
      <c r="T98" s="117"/>
      <c r="U98" s="117"/>
      <c r="V98" s="117"/>
      <c r="W98" s="117"/>
      <c r="X98" s="117"/>
      <c r="Y98" s="117"/>
      <c r="Z98" s="117"/>
      <c r="AA98" s="117"/>
      <c r="AB98" s="117"/>
      <c r="AC98" s="117"/>
      <c r="AD98" s="117"/>
      <c r="AE98" s="117"/>
      <c r="AF98" s="117"/>
      <c r="AG98" s="117"/>
      <c r="AH98" s="117"/>
      <c r="AI98" s="117"/>
    </row>
    <row r="99" spans="5:69" hidden="1" x14ac:dyDescent="0.3">
      <c r="G99" s="117"/>
      <c r="H99" s="117"/>
      <c r="I99" s="117"/>
      <c r="J99" s="117"/>
      <c r="K99" s="117"/>
      <c r="L99" s="117"/>
      <c r="M99" s="117"/>
      <c r="N99" s="117"/>
      <c r="O99" s="117"/>
      <c r="P99" s="117"/>
      <c r="Q99" s="117"/>
      <c r="R99" s="1030" t="s">
        <v>908</v>
      </c>
      <c r="S99" s="117"/>
      <c r="T99" s="117"/>
      <c r="U99" s="117"/>
      <c r="V99" s="602" t="s">
        <v>905</v>
      </c>
      <c r="W99" s="111">
        <f>SUM(W51:W98)</f>
        <v>1005000000.0300007</v>
      </c>
      <c r="X99" s="602" t="s">
        <v>906</v>
      </c>
      <c r="Y99" s="117"/>
      <c r="Z99" s="117"/>
      <c r="AA99" s="117"/>
      <c r="AB99" s="602" t="s">
        <v>907</v>
      </c>
      <c r="AC99" s="117"/>
      <c r="AD99" s="117"/>
      <c r="AE99" s="117"/>
      <c r="AF99" s="117"/>
      <c r="AG99" s="117"/>
      <c r="AH99" s="117"/>
      <c r="AI99" s="117"/>
      <c r="BQ99" s="605"/>
    </row>
    <row r="100" spans="5:69" hidden="1" x14ac:dyDescent="0.3">
      <c r="E100" s="111"/>
      <c r="G100" s="117"/>
      <c r="H100" s="111">
        <f>H24-L100-L101-L102</f>
        <v>170782400.00000003</v>
      </c>
      <c r="I100" s="117"/>
      <c r="J100" s="117"/>
      <c r="K100" s="117">
        <v>211</v>
      </c>
      <c r="L100" s="111">
        <f>Санкционирование!AV25</f>
        <v>12712935.3365745</v>
      </c>
      <c r="M100" s="111">
        <f>L100</f>
        <v>12712935.3365745</v>
      </c>
      <c r="N100" s="117"/>
      <c r="O100" s="117"/>
      <c r="P100" s="117"/>
      <c r="Q100" s="880" t="s">
        <v>917</v>
      </c>
      <c r="R100" s="111">
        <v>146375908.19999999</v>
      </c>
      <c r="S100" s="117"/>
      <c r="T100" s="117"/>
      <c r="U100" s="117"/>
      <c r="V100" s="117">
        <v>211</v>
      </c>
      <c r="W100" s="117"/>
      <c r="X100" s="111">
        <f>'расчет норматив'!AC10</f>
        <v>130723623.19</v>
      </c>
      <c r="Y100" s="117"/>
      <c r="Z100" s="117"/>
      <c r="AA100" s="117"/>
      <c r="AB100" s="111">
        <f>115806600+15362600</f>
        <v>131169200</v>
      </c>
      <c r="AC100" s="117"/>
      <c r="AD100" s="117"/>
      <c r="AE100" s="117"/>
      <c r="AF100" s="117"/>
      <c r="AG100" s="117"/>
      <c r="AH100" s="117"/>
      <c r="AI100" s="117"/>
      <c r="AK100" s="1032">
        <v>530061.06000000006</v>
      </c>
      <c r="AP100" s="970">
        <v>9808185.4700000044</v>
      </c>
      <c r="AS100" s="111">
        <f>AS75-AR75</f>
        <v>7.4505805969238281E-9</v>
      </c>
      <c r="BP100" s="533">
        <f>BP75-AL75</f>
        <v>-15169495.327763557</v>
      </c>
      <c r="BQ100" s="605">
        <v>261252050.31999999</v>
      </c>
    </row>
    <row r="101" spans="5:69" hidden="1" x14ac:dyDescent="0.3">
      <c r="E101" s="117">
        <v>205614792.37</v>
      </c>
      <c r="G101" s="117"/>
      <c r="H101" s="111">
        <f>AB103-H100</f>
        <v>0</v>
      </c>
      <c r="I101" s="117"/>
      <c r="J101" s="117"/>
      <c r="K101" s="117">
        <v>213</v>
      </c>
      <c r="L101" s="111">
        <f>Санкционирование!AV26</f>
        <v>4311035.7434254978</v>
      </c>
      <c r="M101" s="111">
        <f>'Лист2 (2)'!F13</f>
        <v>3811205.169999999</v>
      </c>
      <c r="N101" s="111">
        <f>L101-M101</f>
        <v>499830.57342549879</v>
      </c>
      <c r="O101" s="111">
        <f>'расчет норматив'!AC8+L100+L101</f>
        <v>187806371.08477378</v>
      </c>
      <c r="P101" s="117"/>
      <c r="Q101" s="880" t="s">
        <v>919</v>
      </c>
      <c r="R101" s="111">
        <v>429259.19</v>
      </c>
      <c r="S101" s="117"/>
      <c r="T101" s="117">
        <v>205614792.37</v>
      </c>
      <c r="U101" s="117"/>
      <c r="V101" s="117">
        <v>213</v>
      </c>
      <c r="W101" s="117"/>
      <c r="X101" s="111">
        <f>'расчет норматив'!AC11</f>
        <v>39613200</v>
      </c>
      <c r="Y101" s="117"/>
      <c r="Z101" s="117"/>
      <c r="AA101" s="117"/>
      <c r="AB101" s="111">
        <f>34973700+4639500</f>
        <v>39613200</v>
      </c>
      <c r="AC101" s="117"/>
      <c r="AD101" s="117"/>
      <c r="AE101" s="117"/>
      <c r="AF101" s="117"/>
      <c r="AG101" s="117"/>
      <c r="AH101" s="117"/>
      <c r="AI101" s="117"/>
      <c r="AJ101" s="117">
        <v>211</v>
      </c>
      <c r="AK101" s="1032">
        <f>AK100/1.302</f>
        <v>407112.94930875581</v>
      </c>
      <c r="BQ101" s="605">
        <f>BQ100-BQ76</f>
        <v>-971567.62999999523</v>
      </c>
    </row>
    <row r="102" spans="5:69" hidden="1" x14ac:dyDescent="0.3">
      <c r="E102" s="111">
        <f>E11+E75-E23</f>
        <v>205614792.38000059</v>
      </c>
      <c r="G102" s="117"/>
      <c r="H102" s="117"/>
      <c r="I102" s="117"/>
      <c r="J102" s="117"/>
      <c r="K102" s="117">
        <v>212</v>
      </c>
      <c r="L102" s="111">
        <f>Санкционирование!AV27</f>
        <v>79091.530000000028</v>
      </c>
      <c r="M102" s="117"/>
      <c r="N102" s="111">
        <f>L102</f>
        <v>79091.530000000028</v>
      </c>
      <c r="O102" s="111">
        <f>H24</f>
        <v>187885462.61000001</v>
      </c>
      <c r="P102" s="117"/>
      <c r="Q102" s="880" t="s">
        <v>918</v>
      </c>
      <c r="R102" s="111">
        <v>4389110</v>
      </c>
      <c r="S102" s="117"/>
      <c r="T102" s="117">
        <v>203001361.21000001</v>
      </c>
      <c r="U102" s="117"/>
      <c r="V102" s="117">
        <v>212</v>
      </c>
      <c r="W102" s="117"/>
      <c r="X102" s="111">
        <f>'расчет норматив'!AC12</f>
        <v>445576.81477379624</v>
      </c>
      <c r="Y102" s="117"/>
      <c r="Z102" s="117"/>
      <c r="AA102" s="117"/>
      <c r="AB102" s="117"/>
      <c r="AC102" s="117"/>
      <c r="AD102" s="117"/>
      <c r="AE102" s="117"/>
      <c r="AF102" s="117"/>
      <c r="AG102" s="117"/>
      <c r="AH102" s="117"/>
      <c r="AI102" s="117"/>
      <c r="AJ102" s="117">
        <v>213</v>
      </c>
      <c r="AK102" s="1032">
        <f>AK101*0.302</f>
        <v>122948.11069124425</v>
      </c>
    </row>
    <row r="103" spans="5:69" hidden="1" x14ac:dyDescent="0.3">
      <c r="G103" s="117"/>
      <c r="H103" s="117"/>
      <c r="I103" s="117"/>
      <c r="J103" s="117"/>
      <c r="K103" s="117">
        <v>221</v>
      </c>
      <c r="L103" s="111">
        <f>Санкционирование!AV47</f>
        <v>385393.10000000003</v>
      </c>
      <c r="M103" s="117"/>
      <c r="N103" s="111">
        <f t="shared" ref="N103:N113" si="85">L103</f>
        <v>385393.10000000003</v>
      </c>
      <c r="O103" s="117"/>
      <c r="P103" s="117"/>
      <c r="Q103" s="880" t="s">
        <v>920</v>
      </c>
      <c r="R103" s="111">
        <v>137961180.06</v>
      </c>
      <c r="S103" s="117"/>
      <c r="T103" s="117">
        <f>T101-T102</f>
        <v>2613431.1599999964</v>
      </c>
      <c r="U103" s="117"/>
      <c r="V103" s="117"/>
      <c r="W103" s="117"/>
      <c r="X103" s="111">
        <f>SUM(X100:X102)</f>
        <v>170782400.0047738</v>
      </c>
      <c r="Y103" s="117"/>
      <c r="Z103" s="117"/>
      <c r="AA103" s="117"/>
      <c r="AB103" s="111">
        <f>SUM(AB100:AB102)</f>
        <v>170782400</v>
      </c>
      <c r="AC103" s="117"/>
      <c r="AD103" s="117"/>
      <c r="AE103" s="137">
        <f>X103-AB103</f>
        <v>4.7737956047058105E-3</v>
      </c>
      <c r="AF103" s="117"/>
      <c r="AG103" s="117"/>
      <c r="AH103" s="117"/>
      <c r="AI103" s="117"/>
      <c r="AK103" s="1032">
        <f>AK101+AK102</f>
        <v>530061.06000000006</v>
      </c>
    </row>
    <row r="104" spans="5:69" hidden="1" x14ac:dyDescent="0.3">
      <c r="E104" s="111">
        <f>E75-D75</f>
        <v>593808468.51999998</v>
      </c>
      <c r="G104" s="117"/>
      <c r="H104" s="117"/>
      <c r="I104" s="117"/>
      <c r="J104" s="117"/>
      <c r="K104" s="117">
        <v>222</v>
      </c>
      <c r="L104" s="111">
        <f>Санкционирование!AV48</f>
        <v>0</v>
      </c>
      <c r="M104" s="117"/>
      <c r="N104" s="111">
        <f t="shared" si="85"/>
        <v>0</v>
      </c>
      <c r="O104" s="117"/>
      <c r="P104" s="117"/>
      <c r="Q104" s="880" t="s">
        <v>922</v>
      </c>
      <c r="R104" s="111">
        <v>860103.18</v>
      </c>
      <c r="S104" s="117"/>
      <c r="T104" s="117"/>
      <c r="U104" s="117"/>
      <c r="V104" s="117"/>
      <c r="W104" s="117"/>
      <c r="X104" s="117"/>
      <c r="Y104" s="117"/>
      <c r="Z104" s="117"/>
      <c r="AA104" s="117"/>
      <c r="AB104" s="602" t="s">
        <v>908</v>
      </c>
      <c r="AC104" s="117"/>
      <c r="AD104" s="117"/>
      <c r="AE104" s="117"/>
      <c r="AF104" s="117"/>
      <c r="AG104" s="117"/>
      <c r="AH104" s="117"/>
      <c r="AI104" s="117"/>
    </row>
    <row r="105" spans="5:69" hidden="1" x14ac:dyDescent="0.3">
      <c r="G105" s="117"/>
      <c r="H105" s="117"/>
      <c r="I105" s="117"/>
      <c r="J105" s="117"/>
      <c r="K105" s="117">
        <v>223</v>
      </c>
      <c r="L105" s="111">
        <f>Санкционирование!AV49</f>
        <v>804094.59999999963</v>
      </c>
      <c r="M105" s="117"/>
      <c r="N105" s="111">
        <f t="shared" si="85"/>
        <v>804094.59999999963</v>
      </c>
      <c r="O105" s="117"/>
      <c r="P105" s="117"/>
      <c r="Q105" s="880" t="s">
        <v>921</v>
      </c>
      <c r="R105" s="111">
        <v>87456589.090000004</v>
      </c>
      <c r="S105" s="117"/>
      <c r="T105" s="117"/>
      <c r="U105" s="117"/>
      <c r="V105" s="117">
        <v>211</v>
      </c>
      <c r="W105" s="117"/>
      <c r="X105" s="111">
        <f>L100</f>
        <v>12712935.3365745</v>
      </c>
      <c r="Y105" s="117"/>
      <c r="Z105" s="117"/>
      <c r="AA105" s="117"/>
      <c r="AB105" s="111">
        <f>L100</f>
        <v>12712935.3365745</v>
      </c>
      <c r="AC105" s="117"/>
      <c r="AD105" s="117"/>
      <c r="AE105" s="117"/>
      <c r="AF105" s="117"/>
      <c r="AG105" s="117"/>
      <c r="AH105" s="117"/>
      <c r="AI105" s="117"/>
    </row>
    <row r="106" spans="5:69" hidden="1" x14ac:dyDescent="0.3">
      <c r="G106" s="117"/>
      <c r="H106" s="117"/>
      <c r="I106" s="117"/>
      <c r="J106" s="117"/>
      <c r="K106" s="117">
        <v>225</v>
      </c>
      <c r="L106" s="111">
        <f>Санкционирование!AV54</f>
        <v>9226.5200000004843</v>
      </c>
      <c r="M106" s="117"/>
      <c r="N106" s="111">
        <f t="shared" si="85"/>
        <v>9226.5200000004843</v>
      </c>
      <c r="O106" s="117"/>
      <c r="P106" s="117"/>
      <c r="Q106" s="880" t="s">
        <v>923</v>
      </c>
      <c r="R106" s="111">
        <v>5533016.0999999996</v>
      </c>
      <c r="S106" s="117"/>
      <c r="T106" s="117"/>
      <c r="U106" s="117"/>
      <c r="V106" s="117">
        <v>213</v>
      </c>
      <c r="W106" s="117"/>
      <c r="X106" s="111">
        <f>L101</f>
        <v>4311035.7434254978</v>
      </c>
      <c r="Y106" s="117"/>
      <c r="Z106" s="117"/>
      <c r="AA106" s="117"/>
      <c r="AB106" s="111">
        <f>L101</f>
        <v>4311035.7434254978</v>
      </c>
      <c r="AC106" s="117"/>
      <c r="AD106" s="117"/>
      <c r="AE106" s="117"/>
      <c r="AF106" s="117"/>
      <c r="AG106" s="117"/>
      <c r="AH106" s="117"/>
      <c r="AI106" s="117"/>
    </row>
    <row r="107" spans="5:69" hidden="1" x14ac:dyDescent="0.3">
      <c r="G107" s="117"/>
      <c r="H107" s="117"/>
      <c r="I107" s="117"/>
      <c r="J107" s="117"/>
      <c r="K107" s="117">
        <v>226</v>
      </c>
      <c r="L107" s="111">
        <f>Санкционирование!AV58</f>
        <v>213871.7200000002</v>
      </c>
      <c r="M107" s="117"/>
      <c r="N107" s="111">
        <f t="shared" si="85"/>
        <v>213871.7200000002</v>
      </c>
      <c r="O107" s="117"/>
      <c r="P107" s="117"/>
      <c r="Q107" s="880"/>
      <c r="R107" s="111"/>
      <c r="S107" s="117"/>
      <c r="T107" s="117"/>
      <c r="U107" s="117"/>
      <c r="V107" s="117">
        <v>212</v>
      </c>
      <c r="W107" s="117"/>
      <c r="X107" s="111">
        <f>L102</f>
        <v>79091.530000000028</v>
      </c>
      <c r="Y107" s="117"/>
      <c r="Z107" s="117"/>
      <c r="AA107" s="117"/>
      <c r="AB107" s="111">
        <f>L102</f>
        <v>79091.530000000028</v>
      </c>
      <c r="AC107" s="117"/>
      <c r="AD107" s="117"/>
      <c r="AE107" s="117"/>
      <c r="AF107" s="117"/>
      <c r="AG107" s="117"/>
      <c r="AH107" s="117"/>
      <c r="AI107" s="117"/>
    </row>
    <row r="108" spans="5:69" hidden="1" x14ac:dyDescent="0.3">
      <c r="G108" s="117"/>
      <c r="H108" s="117"/>
      <c r="I108" s="117"/>
      <c r="J108" s="117"/>
      <c r="K108" s="117">
        <v>290</v>
      </c>
      <c r="L108" s="111">
        <f>Санкционирование!AV60</f>
        <v>1034</v>
      </c>
      <c r="M108" s="117"/>
      <c r="N108" s="111">
        <f t="shared" si="85"/>
        <v>1034</v>
      </c>
      <c r="O108" s="117"/>
      <c r="P108" s="111">
        <v>3814919.6568</v>
      </c>
      <c r="Q108" s="880"/>
      <c r="R108" s="111"/>
      <c r="S108" s="117"/>
      <c r="T108" s="117"/>
      <c r="U108" s="117"/>
      <c r="V108" s="117"/>
      <c r="W108" s="117"/>
      <c r="X108" s="117"/>
      <c r="Y108" s="117"/>
      <c r="Z108" s="117"/>
      <c r="AA108" s="117"/>
      <c r="AB108" s="117"/>
      <c r="AC108" s="117"/>
      <c r="AD108" s="117"/>
      <c r="AE108" s="117"/>
      <c r="AF108" s="117"/>
      <c r="AG108" s="117"/>
      <c r="AH108" s="117"/>
      <c r="AI108" s="117"/>
    </row>
    <row r="109" spans="5:69" hidden="1" x14ac:dyDescent="0.3">
      <c r="G109" s="117"/>
      <c r="H109" s="117"/>
      <c r="I109" s="117"/>
      <c r="J109" s="117"/>
      <c r="K109" s="117">
        <v>310</v>
      </c>
      <c r="L109" s="111">
        <f>Санкционирование!AV62</f>
        <v>73247.479999999981</v>
      </c>
      <c r="M109" s="117"/>
      <c r="N109" s="111">
        <f t="shared" si="85"/>
        <v>73247.479999999981</v>
      </c>
      <c r="O109" s="117"/>
      <c r="P109" s="111">
        <f>P108+L111+L112+L113</f>
        <v>5201006.3068000004</v>
      </c>
      <c r="Q109" s="880"/>
      <c r="R109" s="111"/>
      <c r="S109" s="117"/>
      <c r="T109" s="117"/>
      <c r="U109" s="117"/>
      <c r="V109" s="117"/>
      <c r="W109" s="117"/>
      <c r="X109" s="111">
        <f>X100+X101+X102+X106+X105+X107</f>
        <v>187885462.61477378</v>
      </c>
      <c r="Y109" s="117"/>
      <c r="Z109" s="117"/>
      <c r="AA109" s="117"/>
      <c r="AB109" s="111">
        <f>AB100+AB101+AB105+AB106+AB107</f>
        <v>187885462.60999998</v>
      </c>
      <c r="AC109" s="117"/>
      <c r="AD109" s="117"/>
      <c r="AE109" s="137">
        <f>X109-AB109</f>
        <v>4.7737956047058105E-3</v>
      </c>
      <c r="AF109" s="117"/>
      <c r="AG109" s="117"/>
      <c r="AH109" s="117"/>
      <c r="AI109" s="117"/>
    </row>
    <row r="110" spans="5:69" hidden="1" x14ac:dyDescent="0.3">
      <c r="G110" s="117"/>
      <c r="H110" s="117"/>
      <c r="I110" s="117"/>
      <c r="J110" s="117"/>
      <c r="K110" s="117">
        <v>340</v>
      </c>
      <c r="L110" s="111">
        <f>Санкционирование!AV65</f>
        <v>1096574.299999997</v>
      </c>
      <c r="M110" s="117"/>
      <c r="N110" s="111">
        <f t="shared" si="85"/>
        <v>1096574.299999997</v>
      </c>
      <c r="O110" s="117"/>
      <c r="P110" s="117"/>
      <c r="Q110" s="880"/>
      <c r="R110" s="111"/>
      <c r="S110" s="117"/>
      <c r="T110" s="117"/>
      <c r="U110" s="117"/>
      <c r="V110" s="117"/>
      <c r="W110" s="117"/>
      <c r="X110" s="117"/>
      <c r="Y110" s="117"/>
      <c r="Z110" s="117"/>
      <c r="AA110" s="117"/>
      <c r="AB110" s="117"/>
      <c r="AC110" s="117"/>
      <c r="AD110" s="117"/>
      <c r="AE110" s="117"/>
      <c r="AF110" s="117"/>
      <c r="AG110" s="117"/>
      <c r="AH110" s="117"/>
      <c r="AI110" s="117"/>
    </row>
    <row r="111" spans="5:69" hidden="1" x14ac:dyDescent="0.3">
      <c r="G111" s="117"/>
      <c r="H111" s="117"/>
      <c r="I111" s="117"/>
      <c r="J111" s="117"/>
      <c r="K111" s="117">
        <v>851</v>
      </c>
      <c r="L111" s="111">
        <f>Санкционирование!AV37</f>
        <v>1075176.6200000001</v>
      </c>
      <c r="M111" s="117"/>
      <c r="N111" s="111">
        <f t="shared" si="85"/>
        <v>1075176.6200000001</v>
      </c>
      <c r="O111" s="117"/>
      <c r="P111" s="117"/>
      <c r="Q111" s="880"/>
      <c r="R111" s="111">
        <f>R75-S75</f>
        <v>593808468.51999998</v>
      </c>
      <c r="S111" s="117"/>
      <c r="T111" s="117"/>
      <c r="U111" s="117"/>
      <c r="V111" s="117"/>
      <c r="W111" s="117"/>
      <c r="X111" s="117"/>
      <c r="Y111" s="117"/>
      <c r="Z111" s="117"/>
      <c r="AA111" s="117"/>
      <c r="AB111" s="117"/>
      <c r="AC111" s="117"/>
      <c r="AD111" s="117"/>
      <c r="AE111" s="117"/>
      <c r="AF111" s="117"/>
      <c r="AG111" s="117"/>
      <c r="AH111" s="117"/>
      <c r="AI111" s="117"/>
    </row>
    <row r="112" spans="5:69" hidden="1" x14ac:dyDescent="0.3">
      <c r="G112" s="117"/>
      <c r="H112" s="117"/>
      <c r="I112" s="117"/>
      <c r="J112" s="117"/>
      <c r="K112" s="117">
        <v>852</v>
      </c>
      <c r="L112" s="111">
        <f>Санкционирование!AV38</f>
        <v>209267.46000000002</v>
      </c>
      <c r="M112" s="117"/>
      <c r="N112" s="111">
        <f t="shared" si="85"/>
        <v>209267.46000000002</v>
      </c>
      <c r="O112" s="117"/>
      <c r="P112" s="117"/>
      <c r="Q112" s="880"/>
      <c r="R112" s="111"/>
      <c r="S112" s="117"/>
      <c r="T112" s="117"/>
      <c r="U112" s="117"/>
      <c r="V112" s="117"/>
      <c r="W112" s="117"/>
      <c r="X112" s="117"/>
      <c r="Y112" s="117"/>
      <c r="Z112" s="117"/>
      <c r="AA112" s="117"/>
      <c r="AB112" s="117"/>
      <c r="AC112" s="117"/>
      <c r="AD112" s="117"/>
      <c r="AE112" s="117"/>
      <c r="AF112" s="117"/>
      <c r="AG112" s="117"/>
      <c r="AH112" s="117"/>
      <c r="AI112" s="117"/>
    </row>
    <row r="113" spans="1:72" hidden="1" x14ac:dyDescent="0.3">
      <c r="G113" s="117"/>
      <c r="H113" s="117"/>
      <c r="I113" s="117"/>
      <c r="J113" s="117"/>
      <c r="K113" s="117">
        <v>853</v>
      </c>
      <c r="L113" s="111">
        <f>Санкционирование!AV39</f>
        <v>101642.56999999999</v>
      </c>
      <c r="M113" s="117"/>
      <c r="N113" s="111">
        <f t="shared" si="85"/>
        <v>101642.56999999999</v>
      </c>
      <c r="O113" s="117"/>
      <c r="P113" s="117"/>
      <c r="Q113" s="880"/>
      <c r="R113" s="111"/>
      <c r="S113" s="117"/>
      <c r="T113" s="117"/>
      <c r="U113" s="111">
        <f>1216891000.01-V11</f>
        <v>-1005000000.0000002</v>
      </c>
      <c r="V113" s="117"/>
      <c r="W113" s="117"/>
      <c r="X113" s="117"/>
      <c r="Y113" s="117"/>
      <c r="Z113" s="117"/>
      <c r="AA113" s="117"/>
      <c r="AB113" s="117"/>
      <c r="AC113" s="117"/>
      <c r="AD113" s="117"/>
      <c r="AE113" s="117"/>
      <c r="AF113" s="117"/>
      <c r="AG113" s="117"/>
      <c r="AH113" s="117"/>
      <c r="AI113" s="117"/>
    </row>
    <row r="114" spans="1:72" hidden="1" x14ac:dyDescent="0.3">
      <c r="G114" s="117"/>
      <c r="H114" s="117"/>
      <c r="I114" s="117"/>
      <c r="J114" s="117"/>
      <c r="K114" s="880" t="s">
        <v>293</v>
      </c>
      <c r="L114" s="111">
        <f>SUM(L100:L113)</f>
        <v>21072590.98</v>
      </c>
      <c r="M114" s="117"/>
      <c r="N114" s="111">
        <f>SUM(N100:N113)</f>
        <v>4548450.4734254964</v>
      </c>
      <c r="O114" s="117"/>
      <c r="P114" s="117"/>
      <c r="Q114" s="880"/>
      <c r="R114" s="111"/>
      <c r="S114" s="117"/>
      <c r="T114" s="117"/>
      <c r="U114" s="117"/>
      <c r="V114" s="117"/>
      <c r="W114" s="117"/>
      <c r="X114" s="117"/>
      <c r="Y114" s="117"/>
      <c r="Z114" s="117"/>
      <c r="AA114" s="117"/>
      <c r="AB114" s="117"/>
      <c r="AC114" s="117"/>
      <c r="AD114" s="117"/>
      <c r="AE114" s="117"/>
      <c r="AF114" s="117"/>
      <c r="AG114" s="117"/>
      <c r="AH114" s="117"/>
      <c r="AI114" s="117"/>
    </row>
    <row r="115" spans="1:72" hidden="1" x14ac:dyDescent="0.3">
      <c r="G115" s="117"/>
      <c r="H115" s="117"/>
      <c r="I115" s="117"/>
      <c r="J115" s="117"/>
      <c r="K115" s="117"/>
      <c r="L115" s="111" t="b">
        <f>L114=Санкционирование!AV22</f>
        <v>1</v>
      </c>
      <c r="M115" s="117"/>
      <c r="N115" s="117"/>
      <c r="O115" s="117"/>
      <c r="P115" s="117"/>
      <c r="Q115" s="880"/>
      <c r="R115" s="117"/>
      <c r="S115" s="117"/>
      <c r="T115" s="117"/>
      <c r="U115" s="117"/>
      <c r="V115" s="117"/>
      <c r="W115" s="117"/>
      <c r="X115" s="117"/>
      <c r="Y115" s="117"/>
      <c r="Z115" s="117"/>
      <c r="AA115" s="117"/>
      <c r="AB115" s="117"/>
      <c r="AC115" s="117"/>
      <c r="AD115" s="117"/>
      <c r="AE115" s="117"/>
      <c r="AF115" s="117"/>
      <c r="AG115" s="117"/>
      <c r="AH115" s="117"/>
      <c r="AI115" s="117"/>
    </row>
    <row r="116" spans="1:72" hidden="1" x14ac:dyDescent="0.3">
      <c r="G116" s="117"/>
      <c r="H116" s="117"/>
      <c r="I116" s="117"/>
      <c r="J116" s="117"/>
      <c r="K116" s="117"/>
      <c r="L116" s="111">
        <f>'[2]декабрь 2018'!$M$39</f>
        <v>21072590.979999892</v>
      </c>
      <c r="M116" s="117"/>
      <c r="N116" s="117"/>
      <c r="O116" s="117"/>
      <c r="P116" s="117"/>
      <c r="Q116" s="880"/>
      <c r="R116" s="117"/>
      <c r="S116" s="117"/>
      <c r="T116" s="117"/>
      <c r="U116" s="117"/>
      <c r="V116" s="117"/>
      <c r="W116" s="117"/>
      <c r="X116" s="117"/>
      <c r="Y116" s="117"/>
      <c r="Z116" s="117"/>
      <c r="AA116" s="117"/>
      <c r="AB116" s="117"/>
      <c r="AC116" s="117"/>
      <c r="AD116" s="117"/>
      <c r="AE116" s="117"/>
      <c r="AF116" s="117"/>
      <c r="AG116" s="117"/>
      <c r="AH116" s="117"/>
      <c r="AI116" s="117"/>
    </row>
    <row r="117" spans="1:72" hidden="1" x14ac:dyDescent="0.3">
      <c r="G117" s="117"/>
      <c r="H117" s="117"/>
      <c r="I117" s="117"/>
      <c r="J117" s="117"/>
      <c r="K117" s="117"/>
      <c r="L117" s="111">
        <f>H75-L114</f>
        <v>0</v>
      </c>
      <c r="M117" s="117"/>
      <c r="N117" s="117"/>
      <c r="O117" s="117"/>
      <c r="P117" s="117"/>
      <c r="Q117" s="880"/>
      <c r="R117" s="117"/>
      <c r="S117" s="117"/>
      <c r="T117" s="117"/>
      <c r="U117" s="117"/>
      <c r="V117" s="117"/>
      <c r="W117" s="117"/>
      <c r="X117" s="117"/>
      <c r="Y117" s="117"/>
      <c r="Z117" s="117"/>
      <c r="AA117" s="117"/>
      <c r="AB117" s="117"/>
      <c r="AC117" s="117"/>
      <c r="AD117" s="117"/>
      <c r="AE117" s="117"/>
      <c r="AF117" s="117"/>
      <c r="AG117" s="117"/>
      <c r="AH117" s="117"/>
      <c r="AI117" s="117"/>
    </row>
    <row r="118" spans="1:72" hidden="1" x14ac:dyDescent="0.3">
      <c r="G118" s="117"/>
      <c r="H118" s="117"/>
      <c r="I118" s="117"/>
      <c r="J118" s="117"/>
      <c r="K118" s="117"/>
      <c r="L118" s="117"/>
      <c r="M118" s="117"/>
      <c r="N118" s="117"/>
      <c r="O118" s="117"/>
      <c r="P118" s="117"/>
      <c r="Q118" s="117"/>
      <c r="R118" s="117"/>
      <c r="S118" s="117"/>
      <c r="T118" s="117"/>
      <c r="U118" s="117"/>
      <c r="V118" s="117"/>
      <c r="W118" s="117"/>
      <c r="X118" s="117"/>
      <c r="Y118" s="117"/>
      <c r="Z118" s="117"/>
      <c r="AA118" s="117"/>
      <c r="AB118" s="117"/>
      <c r="AC118" s="117"/>
      <c r="AD118" s="117"/>
      <c r="AE118" s="117"/>
      <c r="AF118" s="117"/>
      <c r="AG118" s="117"/>
      <c r="AH118" s="117"/>
      <c r="AI118" s="117"/>
    </row>
    <row r="119" spans="1:72" hidden="1" x14ac:dyDescent="0.3">
      <c r="G119" s="117"/>
      <c r="H119" s="117"/>
      <c r="I119" s="117"/>
      <c r="J119" s="117"/>
      <c r="K119" s="117"/>
      <c r="L119" s="117"/>
      <c r="M119" s="117"/>
      <c r="N119" s="117"/>
      <c r="O119" s="117"/>
      <c r="P119" s="117"/>
      <c r="Q119" s="117"/>
      <c r="R119" s="117"/>
      <c r="S119" s="117"/>
      <c r="T119" s="117"/>
      <c r="U119" s="117"/>
      <c r="V119" s="117"/>
      <c r="W119" s="117"/>
      <c r="X119" s="117"/>
      <c r="Y119" s="117"/>
      <c r="Z119" s="117"/>
      <c r="AA119" s="117"/>
      <c r="AB119" s="117"/>
      <c r="AC119" s="117"/>
      <c r="AD119" s="117"/>
      <c r="AE119" s="117"/>
      <c r="AF119" s="117"/>
      <c r="AG119" s="117"/>
      <c r="AH119" s="117"/>
      <c r="AI119" s="117"/>
    </row>
    <row r="120" spans="1:72" hidden="1" x14ac:dyDescent="0.3">
      <c r="G120" s="117"/>
      <c r="H120" s="117"/>
      <c r="I120" s="117"/>
      <c r="J120" s="117"/>
      <c r="K120" s="117"/>
      <c r="L120" s="117"/>
      <c r="M120" s="117"/>
      <c r="N120" s="117"/>
      <c r="O120" s="117"/>
      <c r="P120" s="117"/>
      <c r="Q120" s="117"/>
      <c r="R120" s="117"/>
      <c r="S120" s="117"/>
      <c r="T120" s="117"/>
      <c r="U120" s="117"/>
      <c r="V120" s="117"/>
      <c r="W120" s="117"/>
      <c r="X120" s="117"/>
      <c r="Y120" s="117"/>
      <c r="Z120" s="117"/>
      <c r="AA120" s="117"/>
      <c r="AB120" s="117"/>
      <c r="AC120" s="117"/>
      <c r="AD120" s="117"/>
      <c r="AE120" s="117"/>
      <c r="AF120" s="117"/>
      <c r="AG120" s="117"/>
      <c r="AH120" s="117"/>
      <c r="AI120" s="117"/>
    </row>
    <row r="121" spans="1:72" hidden="1" x14ac:dyDescent="0.3">
      <c r="G121" s="117"/>
      <c r="H121" s="117"/>
      <c r="I121" s="117"/>
      <c r="J121" s="117"/>
      <c r="K121" s="117"/>
      <c r="L121" s="117"/>
      <c r="M121" s="117"/>
      <c r="N121" s="117"/>
      <c r="O121" s="117"/>
      <c r="P121" s="117"/>
      <c r="Q121" s="117"/>
      <c r="R121" s="117"/>
      <c r="S121" s="117"/>
      <c r="T121" s="117"/>
      <c r="U121" s="117"/>
      <c r="V121" s="117"/>
      <c r="W121" s="117"/>
      <c r="X121" s="117"/>
      <c r="Y121" s="117"/>
      <c r="Z121" s="117"/>
      <c r="AA121" s="117"/>
      <c r="AB121" s="117"/>
      <c r="AC121" s="117"/>
      <c r="AD121" s="117"/>
      <c r="AE121" s="117"/>
      <c r="AF121" s="117"/>
      <c r="AG121" s="117"/>
      <c r="AH121" s="117"/>
      <c r="AI121" s="117"/>
    </row>
    <row r="122" spans="1:72" hidden="1" x14ac:dyDescent="0.3">
      <c r="G122" s="117"/>
      <c r="H122" s="117"/>
      <c r="I122" s="117"/>
      <c r="J122" s="117"/>
      <c r="K122" s="117"/>
      <c r="L122" s="117"/>
      <c r="M122" s="117"/>
      <c r="N122" s="117"/>
      <c r="O122" s="117"/>
      <c r="P122" s="117"/>
      <c r="Q122" s="117"/>
      <c r="R122" s="117"/>
      <c r="S122" s="117"/>
      <c r="T122" s="117"/>
      <c r="U122" s="117"/>
      <c r="V122" s="117"/>
      <c r="W122" s="117"/>
      <c r="X122" s="117"/>
      <c r="Y122" s="117"/>
      <c r="Z122" s="117"/>
      <c r="AA122" s="117"/>
      <c r="AB122" s="117"/>
      <c r="AC122" s="117"/>
      <c r="AD122" s="117"/>
      <c r="AE122" s="117"/>
      <c r="AF122" s="117"/>
      <c r="AG122" s="117"/>
      <c r="AH122" s="117"/>
      <c r="AI122" s="117"/>
    </row>
    <row r="124" spans="1:72" s="115" customFormat="1" ht="17.25" customHeight="1" x14ac:dyDescent="0.3">
      <c r="A124" s="435" t="s">
        <v>194</v>
      </c>
      <c r="B124" s="1215">
        <v>500</v>
      </c>
      <c r="C124" s="436" t="s">
        <v>149</v>
      </c>
      <c r="D124" s="430">
        <v>31252430.415000021</v>
      </c>
      <c r="E124" s="59">
        <v>625060898.93500006</v>
      </c>
      <c r="F124" s="410">
        <v>593808468.51999998</v>
      </c>
      <c r="G124" s="157">
        <v>21072590.980000019</v>
      </c>
      <c r="H124" s="157">
        <v>21072590.980000019</v>
      </c>
      <c r="I124" s="669">
        <v>0</v>
      </c>
      <c r="J124" s="882">
        <v>16524140.506574497</v>
      </c>
      <c r="K124" s="157">
        <v>4548450.4600000083</v>
      </c>
      <c r="L124" s="157">
        <v>4548450.4734255075</v>
      </c>
      <c r="M124" s="298">
        <v>1.3425499200820923E-2</v>
      </c>
      <c r="N124" s="157">
        <v>9.9999979138374329E-3</v>
      </c>
      <c r="O124" s="157">
        <v>0</v>
      </c>
      <c r="P124" s="157">
        <v>-9.9999979138374329E-3</v>
      </c>
      <c r="Q124" s="1025">
        <v>593808468.51999998</v>
      </c>
      <c r="R124" s="307">
        <v>593808468.51999998</v>
      </c>
      <c r="S124" s="372">
        <v>0</v>
      </c>
      <c r="T124" s="525">
        <v>593808468.51999998</v>
      </c>
      <c r="U124" s="307">
        <v>0</v>
      </c>
      <c r="V124" s="63">
        <v>1.0000228881835938E-2</v>
      </c>
      <c r="W124" s="357">
        <v>1.0000228881835938E-2</v>
      </c>
      <c r="X124" s="307"/>
      <c r="Y124" s="63"/>
      <c r="Z124" s="357"/>
      <c r="AA124" s="63">
        <v>0</v>
      </c>
      <c r="AB124" s="63">
        <v>0</v>
      </c>
      <c r="AC124" s="63">
        <v>0</v>
      </c>
      <c r="AD124" s="276">
        <v>0</v>
      </c>
      <c r="AE124" s="63">
        <v>0</v>
      </c>
      <c r="AF124" s="357"/>
      <c r="AG124" s="307">
        <v>0</v>
      </c>
      <c r="AH124" s="63">
        <v>0</v>
      </c>
      <c r="AI124" s="357">
        <v>0</v>
      </c>
      <c r="AJ124" s="422">
        <v>0</v>
      </c>
      <c r="AK124" s="395"/>
      <c r="AL124" s="334">
        <v>10179839.442763567</v>
      </c>
      <c r="AM124" s="161">
        <v>10179839.435000062</v>
      </c>
      <c r="AN124" s="1013">
        <v>1.1700034141540527E-2</v>
      </c>
      <c r="AO124" s="334">
        <v>9808185.4527635574</v>
      </c>
      <c r="AP124" s="323">
        <v>9808185.4449999928</v>
      </c>
      <c r="AQ124" s="406">
        <v>-7.7635645866394043E-3</v>
      </c>
      <c r="AR124" s="323">
        <v>371653.99000000209</v>
      </c>
      <c r="AS124" s="323">
        <v>371653.99000000954</v>
      </c>
      <c r="AT124" s="406">
        <v>0</v>
      </c>
      <c r="AU124" s="539">
        <v>0</v>
      </c>
      <c r="AV124" s="323"/>
      <c r="AW124" s="323">
        <v>0</v>
      </c>
      <c r="AX124" s="406">
        <v>0</v>
      </c>
      <c r="BG124" s="619"/>
      <c r="BH124" s="620"/>
      <c r="BI124" s="617">
        <v>1222485.57</v>
      </c>
      <c r="BJ124" s="621">
        <v>-1222485.57</v>
      </c>
      <c r="BM124" s="632">
        <v>10179839.423299968</v>
      </c>
      <c r="BN124" s="632">
        <v>-12791385.120000064</v>
      </c>
      <c r="BO124" s="632"/>
      <c r="BP124" s="632">
        <v>-4989655.8849999905</v>
      </c>
      <c r="BQ124" s="619"/>
      <c r="BR124" s="620"/>
      <c r="BS124" s="617">
        <v>1222485.57</v>
      </c>
      <c r="BT124" s="621">
        <v>-850831.57999999798</v>
      </c>
    </row>
  </sheetData>
  <mergeCells count="53">
    <mergeCell ref="C56:C58"/>
    <mergeCell ref="A60:A61"/>
    <mergeCell ref="A62:A63"/>
    <mergeCell ref="B62:B63"/>
    <mergeCell ref="A65:A66"/>
    <mergeCell ref="B65:B66"/>
    <mergeCell ref="A56:A59"/>
    <mergeCell ref="A31:A32"/>
    <mergeCell ref="B36:B40"/>
    <mergeCell ref="B42:B44"/>
    <mergeCell ref="B45:B46"/>
    <mergeCell ref="A52:A55"/>
    <mergeCell ref="C52:C54"/>
    <mergeCell ref="BG8:BH8"/>
    <mergeCell ref="BI8:BJ8"/>
    <mergeCell ref="BQ8:BR8"/>
    <mergeCell ref="BS8:BT8"/>
    <mergeCell ref="AJ8:AJ9"/>
    <mergeCell ref="AK8:AK9"/>
    <mergeCell ref="AL8:AX8"/>
    <mergeCell ref="Z8:Z9"/>
    <mergeCell ref="I8:I9"/>
    <mergeCell ref="J8:P8"/>
    <mergeCell ref="Q8:Q9"/>
    <mergeCell ref="R8:R9"/>
    <mergeCell ref="S8:S9"/>
    <mergeCell ref="T8:T9"/>
    <mergeCell ref="B26:B28"/>
    <mergeCell ref="B29:B32"/>
    <mergeCell ref="AG8:AG9"/>
    <mergeCell ref="AH8:AH9"/>
    <mergeCell ref="AI8:AI9"/>
    <mergeCell ref="AA8:AA9"/>
    <mergeCell ref="AB8:AB9"/>
    <mergeCell ref="AC8:AC9"/>
    <mergeCell ref="AD8:AD9"/>
    <mergeCell ref="AE8:AE9"/>
    <mergeCell ref="AF8:AF9"/>
    <mergeCell ref="U8:U9"/>
    <mergeCell ref="V8:V9"/>
    <mergeCell ref="W8:W9"/>
    <mergeCell ref="X8:X9"/>
    <mergeCell ref="Y8:Y9"/>
    <mergeCell ref="A6:A9"/>
    <mergeCell ref="B6:B9"/>
    <mergeCell ref="C6:C9"/>
    <mergeCell ref="D6:AX6"/>
    <mergeCell ref="D7:D9"/>
    <mergeCell ref="E7:E9"/>
    <mergeCell ref="F7:F9"/>
    <mergeCell ref="G7:AX7"/>
    <mergeCell ref="G8:G9"/>
    <mergeCell ref="H8:H9"/>
  </mergeCells>
  <pageMargins left="0" right="0" top="0.31496062992125984" bottom="0.15748031496062992" header="0.19685039370078741" footer="0.15748031496062992"/>
  <pageSetup paperSize="8" scale="49" fitToWidth="0" orientation="landscape" r:id="rId1"/>
  <rowBreaks count="1" manualBreakCount="1">
    <brk id="35" max="38" man="1"/>
  </rowBreaks>
  <legacy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0000"/>
    <pageSetUpPr fitToPage="1"/>
  </sheetPr>
  <dimension ref="A1:BY124"/>
  <sheetViews>
    <sheetView showZeros="0" zoomScale="70" zoomScaleNormal="70" zoomScaleSheetLayoutView="100" workbookViewId="0">
      <pane xSplit="3" ySplit="10" topLeftCell="D11" activePane="bottomRight" state="frozen"/>
      <selection pane="topRight" activeCell="D1" sqref="D1"/>
      <selection pane="bottomLeft" activeCell="A10" sqref="A10"/>
      <selection pane="bottomRight" activeCell="K11" sqref="K11"/>
    </sheetView>
  </sheetViews>
  <sheetFormatPr defaultColWidth="9.140625" defaultRowHeight="18.75" x14ac:dyDescent="0.3"/>
  <cols>
    <col min="1" max="1" width="45" style="117" customWidth="1"/>
    <col min="2" max="2" width="9" style="117" customWidth="1"/>
    <col min="3" max="3" width="17.85546875" style="124" customWidth="1"/>
    <col min="4" max="5" width="18.42578125" style="117" customWidth="1"/>
    <col min="6" max="6" width="24.28515625" style="117" customWidth="1"/>
    <col min="7" max="10" width="18.85546875" style="155" customWidth="1"/>
    <col min="11" max="16" width="18.28515625" style="155" customWidth="1"/>
    <col min="17" max="17" width="20.28515625" style="152" customWidth="1"/>
    <col min="18" max="19" width="24.140625" style="152" customWidth="1"/>
    <col min="20" max="35" width="20.28515625" style="152" customWidth="1"/>
    <col min="36" max="36" width="16.7109375" style="117" customWidth="1"/>
    <col min="37" max="37" width="16.7109375" style="125" customWidth="1"/>
    <col min="38" max="38" width="18.7109375" style="125" customWidth="1"/>
    <col min="39" max="39" width="23.5703125" style="125" customWidth="1"/>
    <col min="40" max="40" width="17.42578125" style="125" customWidth="1"/>
    <col min="41" max="46" width="17.5703125" style="117" customWidth="1"/>
    <col min="47" max="50" width="18" style="117" customWidth="1"/>
    <col min="51" max="51" width="9.5703125" style="117" hidden="1" customWidth="1"/>
    <col min="52" max="52" width="22.42578125" style="117" hidden="1" customWidth="1"/>
    <col min="53" max="53" width="17.140625" style="117" hidden="1" customWidth="1"/>
    <col min="54" max="54" width="15.140625" style="117" hidden="1" customWidth="1"/>
    <col min="55" max="55" width="18.140625" style="117" hidden="1" customWidth="1"/>
    <col min="56" max="56" width="18.85546875" style="117" hidden="1" customWidth="1"/>
    <col min="57" max="57" width="19.85546875" style="117" hidden="1" customWidth="1"/>
    <col min="58" max="58" width="15.140625" style="117" hidden="1" customWidth="1"/>
    <col min="59" max="59" width="22.85546875" style="117" hidden="1" customWidth="1"/>
    <col min="60" max="60" width="20.28515625" style="117" hidden="1" customWidth="1"/>
    <col min="61" max="62" width="21" style="117" hidden="1" customWidth="1"/>
    <col min="63" max="64" width="15.140625" style="117" hidden="1" customWidth="1"/>
    <col min="65" max="67" width="22" style="531" hidden="1" customWidth="1"/>
    <col min="68" max="68" width="21.140625" style="531" hidden="1" customWidth="1"/>
    <col min="69" max="69" width="21.140625" style="602" hidden="1" customWidth="1"/>
    <col min="70" max="70" width="20" style="117" hidden="1" customWidth="1"/>
    <col min="71" max="71" width="18" style="117" hidden="1" customWidth="1"/>
    <col min="72" max="72" width="21.7109375" style="117" hidden="1" customWidth="1"/>
    <col min="73" max="73" width="14.42578125" style="117" hidden="1" customWidth="1"/>
    <col min="74" max="74" width="13.5703125" style="117" hidden="1" customWidth="1"/>
    <col min="75" max="75" width="15" style="117" hidden="1" customWidth="1"/>
    <col min="76" max="77" width="9.140625" style="117" hidden="1" customWidth="1"/>
    <col min="78" max="16384" width="9.140625" style="117"/>
  </cols>
  <sheetData>
    <row r="1" spans="1:75" x14ac:dyDescent="0.3">
      <c r="A1" s="123" t="s">
        <v>131</v>
      </c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1"/>
      <c r="R1" s="111"/>
      <c r="S1" s="111"/>
      <c r="T1" s="111"/>
      <c r="U1" s="111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</row>
    <row r="2" spans="1:75" x14ac:dyDescent="0.3">
      <c r="A2" s="126" t="s">
        <v>132</v>
      </c>
      <c r="G2" s="117"/>
      <c r="H2" s="117"/>
      <c r="I2" s="117"/>
      <c r="J2" s="117"/>
      <c r="K2" s="117"/>
      <c r="L2" s="117">
        <f>L15/(39074-12000)</f>
        <v>2908.4173454236538</v>
      </c>
      <c r="M2" s="117"/>
      <c r="N2" s="117">
        <f>O15/12000</f>
        <v>2908.4173991666667</v>
      </c>
      <c r="O2" s="117">
        <f>39074-12000</f>
        <v>27074</v>
      </c>
      <c r="P2" s="117">
        <f>O2*410</f>
        <v>11100340</v>
      </c>
      <c r="Q2" s="111">
        <f>O2*L2</f>
        <v>78742491.210000008</v>
      </c>
      <c r="R2" s="111"/>
      <c r="S2" s="111"/>
      <c r="T2" s="111"/>
      <c r="U2" s="111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Z2" s="127" t="s">
        <v>240</v>
      </c>
      <c r="BA2" s="127" t="s">
        <v>241</v>
      </c>
    </row>
    <row r="3" spans="1:75" ht="19.5" thickBot="1" x14ac:dyDescent="0.35">
      <c r="A3" s="126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1"/>
      <c r="R3" s="111"/>
      <c r="S3" s="111"/>
      <c r="T3" s="111"/>
      <c r="U3" s="111"/>
      <c r="V3" s="117"/>
      <c r="W3" s="117"/>
      <c r="X3" s="117"/>
      <c r="Y3" s="117"/>
      <c r="Z3" s="117"/>
      <c r="AA3" s="117"/>
      <c r="AB3" s="117"/>
      <c r="AC3" s="117"/>
      <c r="AD3" s="117"/>
      <c r="AE3" s="117"/>
      <c r="AF3" s="117"/>
      <c r="AG3" s="117"/>
      <c r="AH3" s="117"/>
      <c r="AI3" s="117"/>
      <c r="AZ3" s="1055"/>
      <c r="BA3" s="1055"/>
    </row>
    <row r="4" spans="1:75" ht="19.5" hidden="1" thickBot="1" x14ac:dyDescent="0.35">
      <c r="A4" s="126"/>
      <c r="E4" s="111">
        <f>E23-E11+E76</f>
        <v>423972438.04499996</v>
      </c>
      <c r="F4" s="111"/>
      <c r="G4" s="117"/>
      <c r="H4" s="111">
        <f>'расчет норматив'!J32</f>
        <v>218669599.31117821</v>
      </c>
      <c r="I4" s="111">
        <f>H11-H23</f>
        <v>-25598922.460000008</v>
      </c>
      <c r="J4" s="117"/>
      <c r="K4" s="117"/>
      <c r="L4" s="111">
        <f>'расчет норматив'!Z6+'ПФХД 2019 с разб 9 мес (2)'!L75</f>
        <v>77637812.846411586</v>
      </c>
      <c r="M4" s="117"/>
      <c r="N4" s="117"/>
      <c r="O4" s="117" t="b">
        <f>O11='расчет норматив'!AA6</f>
        <v>0</v>
      </c>
      <c r="P4" s="117"/>
      <c r="Q4" s="111">
        <f>Q11-Q23</f>
        <v>-388193676.15000033</v>
      </c>
      <c r="R4" s="111">
        <f>Q4+Q75</f>
        <v>205614792.36999965</v>
      </c>
      <c r="S4" s="111"/>
      <c r="T4" s="111"/>
      <c r="U4" s="111"/>
      <c r="V4" s="128"/>
      <c r="W4" s="128"/>
      <c r="X4" s="117"/>
      <c r="Y4" s="128"/>
      <c r="Z4" s="128"/>
      <c r="AA4" s="117"/>
      <c r="AB4" s="117"/>
      <c r="AC4" s="117"/>
      <c r="AD4" s="117"/>
      <c r="AE4" s="117"/>
      <c r="AF4" s="117"/>
      <c r="AG4" s="117"/>
      <c r="AH4" s="117"/>
      <c r="AI4" s="117"/>
      <c r="AO4" s="111"/>
      <c r="AP4" s="111"/>
      <c r="AQ4" s="111"/>
    </row>
    <row r="5" spans="1:75" ht="19.5" hidden="1" thickBot="1" x14ac:dyDescent="0.35">
      <c r="A5" s="129"/>
      <c r="G5" s="117"/>
      <c r="H5" s="117"/>
      <c r="I5" s="117"/>
      <c r="J5" s="117"/>
      <c r="K5" s="117"/>
      <c r="L5" s="117"/>
      <c r="M5" s="111">
        <f>K11+N11</f>
        <v>113643500</v>
      </c>
      <c r="N5" s="117">
        <f>M5/2906.41</f>
        <v>39100.987128450564</v>
      </c>
      <c r="O5" s="111">
        <f>L11+O11</f>
        <v>113643500</v>
      </c>
      <c r="P5" s="117"/>
      <c r="Q5" s="117"/>
      <c r="R5" s="117"/>
      <c r="S5" s="117"/>
      <c r="T5" s="117"/>
      <c r="U5" s="117"/>
      <c r="V5" s="117"/>
      <c r="W5" s="117"/>
      <c r="X5" s="117"/>
      <c r="Y5" s="117"/>
      <c r="Z5" s="117"/>
      <c r="AA5" s="117"/>
      <c r="AB5" s="117"/>
      <c r="AC5" s="117"/>
      <c r="AD5" s="117"/>
      <c r="AE5" s="117"/>
      <c r="AF5" s="117"/>
      <c r="AG5" s="117"/>
      <c r="AH5" s="117"/>
      <c r="AI5" s="117"/>
      <c r="AO5" s="111"/>
      <c r="AP5" s="111"/>
      <c r="AQ5" s="111"/>
    </row>
    <row r="6" spans="1:75" ht="19.5" customHeight="1" thickBot="1" x14ac:dyDescent="0.35">
      <c r="A6" s="1453" t="s">
        <v>88</v>
      </c>
      <c r="B6" s="1439" t="s">
        <v>133</v>
      </c>
      <c r="C6" s="1440" t="s">
        <v>134</v>
      </c>
      <c r="D6" s="1460" t="s">
        <v>135</v>
      </c>
      <c r="E6" s="1461"/>
      <c r="F6" s="1461"/>
      <c r="G6" s="1461"/>
      <c r="H6" s="1461"/>
      <c r="I6" s="1461"/>
      <c r="J6" s="1461"/>
      <c r="K6" s="1461"/>
      <c r="L6" s="1461"/>
      <c r="M6" s="1461"/>
      <c r="N6" s="1461"/>
      <c r="O6" s="1461"/>
      <c r="P6" s="1461"/>
      <c r="Q6" s="1461"/>
      <c r="R6" s="1461"/>
      <c r="S6" s="1461"/>
      <c r="T6" s="1461"/>
      <c r="U6" s="1461"/>
      <c r="V6" s="1461"/>
      <c r="W6" s="1461"/>
      <c r="X6" s="1461"/>
      <c r="Y6" s="1461"/>
      <c r="Z6" s="1461"/>
      <c r="AA6" s="1461"/>
      <c r="AB6" s="1461"/>
      <c r="AC6" s="1461"/>
      <c r="AD6" s="1461"/>
      <c r="AE6" s="1461"/>
      <c r="AF6" s="1461"/>
      <c r="AG6" s="1461"/>
      <c r="AH6" s="1461"/>
      <c r="AI6" s="1461"/>
      <c r="AJ6" s="1461"/>
      <c r="AK6" s="1461"/>
      <c r="AL6" s="1461"/>
      <c r="AM6" s="1461"/>
      <c r="AN6" s="1461"/>
      <c r="AO6" s="1461"/>
      <c r="AP6" s="1461"/>
      <c r="AQ6" s="1461"/>
      <c r="AR6" s="1461"/>
      <c r="AS6" s="1461"/>
      <c r="AT6" s="1461"/>
      <c r="AU6" s="1461"/>
      <c r="AV6" s="1461"/>
      <c r="AW6" s="1461"/>
      <c r="AX6" s="1462"/>
    </row>
    <row r="7" spans="1:75" ht="15.75" customHeight="1" thickBot="1" x14ac:dyDescent="0.35">
      <c r="A7" s="1454"/>
      <c r="B7" s="1383"/>
      <c r="C7" s="1441"/>
      <c r="D7" s="1442" t="s">
        <v>136</v>
      </c>
      <c r="E7" s="1439" t="s">
        <v>402</v>
      </c>
      <c r="F7" s="1440" t="s">
        <v>395</v>
      </c>
      <c r="G7" s="1460" t="s">
        <v>137</v>
      </c>
      <c r="H7" s="1461"/>
      <c r="I7" s="1461"/>
      <c r="J7" s="1461"/>
      <c r="K7" s="1461"/>
      <c r="L7" s="1461"/>
      <c r="M7" s="1461"/>
      <c r="N7" s="1461"/>
      <c r="O7" s="1461"/>
      <c r="P7" s="1461"/>
      <c r="Q7" s="1461"/>
      <c r="R7" s="1461"/>
      <c r="S7" s="1461"/>
      <c r="T7" s="1461"/>
      <c r="U7" s="1461"/>
      <c r="V7" s="1461"/>
      <c r="W7" s="1461"/>
      <c r="X7" s="1461"/>
      <c r="Y7" s="1461"/>
      <c r="Z7" s="1461"/>
      <c r="AA7" s="1461"/>
      <c r="AB7" s="1461"/>
      <c r="AC7" s="1461"/>
      <c r="AD7" s="1461"/>
      <c r="AE7" s="1461"/>
      <c r="AF7" s="1461"/>
      <c r="AG7" s="1461"/>
      <c r="AH7" s="1461"/>
      <c r="AI7" s="1461"/>
      <c r="AJ7" s="1461"/>
      <c r="AK7" s="1461"/>
      <c r="AL7" s="1461"/>
      <c r="AM7" s="1461"/>
      <c r="AN7" s="1461"/>
      <c r="AO7" s="1461"/>
      <c r="AP7" s="1461"/>
      <c r="AQ7" s="1461"/>
      <c r="AR7" s="1461"/>
      <c r="AS7" s="1461"/>
      <c r="AT7" s="1461"/>
      <c r="AU7" s="1461"/>
      <c r="AV7" s="1461"/>
      <c r="AW7" s="1461"/>
      <c r="AX7" s="1462"/>
    </row>
    <row r="8" spans="1:75" ht="96" customHeight="1" thickBot="1" x14ac:dyDescent="0.35">
      <c r="A8" s="1454"/>
      <c r="B8" s="1383"/>
      <c r="C8" s="1441"/>
      <c r="D8" s="1443"/>
      <c r="E8" s="1383"/>
      <c r="F8" s="1441"/>
      <c r="G8" s="1427" t="s">
        <v>138</v>
      </c>
      <c r="H8" s="1434" t="s">
        <v>397</v>
      </c>
      <c r="I8" s="1437" t="s">
        <v>395</v>
      </c>
      <c r="J8" s="1433" t="s">
        <v>363</v>
      </c>
      <c r="K8" s="1433"/>
      <c r="L8" s="1433"/>
      <c r="M8" s="1433"/>
      <c r="N8" s="1433"/>
      <c r="O8" s="1433"/>
      <c r="P8" s="1433"/>
      <c r="Q8" s="1429" t="s">
        <v>140</v>
      </c>
      <c r="R8" s="1436" t="s">
        <v>403</v>
      </c>
      <c r="S8" s="1444" t="s">
        <v>395</v>
      </c>
      <c r="T8" s="1431" t="s">
        <v>360</v>
      </c>
      <c r="U8" s="1425" t="s">
        <v>359</v>
      </c>
      <c r="V8" s="1449" t="s">
        <v>405</v>
      </c>
      <c r="W8" s="1451" t="s">
        <v>395</v>
      </c>
      <c r="X8" s="1455" t="s">
        <v>253</v>
      </c>
      <c r="Y8" s="1449" t="s">
        <v>965</v>
      </c>
      <c r="Z8" s="1451" t="s">
        <v>966</v>
      </c>
      <c r="AA8" s="1425" t="s">
        <v>142</v>
      </c>
      <c r="AB8" s="1449" t="s">
        <v>404</v>
      </c>
      <c r="AC8" s="1451" t="s">
        <v>395</v>
      </c>
      <c r="AD8" s="1448" t="s">
        <v>488</v>
      </c>
      <c r="AE8" s="1449" t="s">
        <v>489</v>
      </c>
      <c r="AF8" s="1451" t="s">
        <v>395</v>
      </c>
      <c r="AG8" s="1448" t="s">
        <v>490</v>
      </c>
      <c r="AH8" s="1449" t="s">
        <v>645</v>
      </c>
      <c r="AI8" s="1451" t="s">
        <v>395</v>
      </c>
      <c r="AJ8" s="1465" t="s">
        <v>143</v>
      </c>
      <c r="AK8" s="1467" t="s">
        <v>144</v>
      </c>
      <c r="AL8" s="1457" t="s">
        <v>145</v>
      </c>
      <c r="AM8" s="1458"/>
      <c r="AN8" s="1458"/>
      <c r="AO8" s="1458"/>
      <c r="AP8" s="1458"/>
      <c r="AQ8" s="1458"/>
      <c r="AR8" s="1458"/>
      <c r="AS8" s="1458"/>
      <c r="AT8" s="1458"/>
      <c r="AU8" s="1458"/>
      <c r="AV8" s="1458"/>
      <c r="AW8" s="1458"/>
      <c r="AX8" s="1459"/>
      <c r="BG8" s="1463" t="s">
        <v>506</v>
      </c>
      <c r="BH8" s="1464"/>
      <c r="BI8" s="1463" t="s">
        <v>197</v>
      </c>
      <c r="BJ8" s="1464"/>
      <c r="BQ8" s="1463" t="s">
        <v>506</v>
      </c>
      <c r="BR8" s="1464"/>
      <c r="BS8" s="1463" t="s">
        <v>197</v>
      </c>
      <c r="BT8" s="1464"/>
    </row>
    <row r="9" spans="1:75" ht="114.75" customHeight="1" x14ac:dyDescent="0.3">
      <c r="A9" s="1454"/>
      <c r="B9" s="1383"/>
      <c r="C9" s="1441"/>
      <c r="D9" s="1443"/>
      <c r="E9" s="1383"/>
      <c r="F9" s="1441"/>
      <c r="G9" s="1428"/>
      <c r="H9" s="1435"/>
      <c r="I9" s="1438"/>
      <c r="J9" s="885" t="s">
        <v>235</v>
      </c>
      <c r="K9" s="311" t="s">
        <v>365</v>
      </c>
      <c r="L9" s="289" t="s">
        <v>398</v>
      </c>
      <c r="M9" s="290" t="s">
        <v>395</v>
      </c>
      <c r="N9" s="288" t="s">
        <v>366</v>
      </c>
      <c r="O9" s="311" t="s">
        <v>399</v>
      </c>
      <c r="P9" s="363" t="s">
        <v>396</v>
      </c>
      <c r="Q9" s="1430"/>
      <c r="R9" s="1426"/>
      <c r="S9" s="1445"/>
      <c r="T9" s="1432"/>
      <c r="U9" s="1426"/>
      <c r="V9" s="1450"/>
      <c r="W9" s="1452"/>
      <c r="X9" s="1456"/>
      <c r="Y9" s="1450"/>
      <c r="Z9" s="1452"/>
      <c r="AA9" s="1426"/>
      <c r="AB9" s="1450"/>
      <c r="AC9" s="1452"/>
      <c r="AD9" s="1430"/>
      <c r="AE9" s="1450"/>
      <c r="AF9" s="1452"/>
      <c r="AG9" s="1430"/>
      <c r="AH9" s="1450"/>
      <c r="AI9" s="1452"/>
      <c r="AJ9" s="1466"/>
      <c r="AK9" s="1468"/>
      <c r="AL9" s="329" t="s">
        <v>364</v>
      </c>
      <c r="AM9" s="330" t="s">
        <v>406</v>
      </c>
      <c r="AN9" s="1011" t="s">
        <v>395</v>
      </c>
      <c r="AO9" s="329" t="s">
        <v>139</v>
      </c>
      <c r="AP9" s="330" t="s">
        <v>401</v>
      </c>
      <c r="AQ9" s="1015" t="s">
        <v>395</v>
      </c>
      <c r="AR9" s="389" t="s">
        <v>146</v>
      </c>
      <c r="AS9" s="330" t="s">
        <v>400</v>
      </c>
      <c r="AT9" s="331" t="s">
        <v>395</v>
      </c>
      <c r="AU9" s="537" t="s">
        <v>147</v>
      </c>
      <c r="AV9" s="389" t="s">
        <v>915</v>
      </c>
      <c r="AW9" s="330" t="s">
        <v>916</v>
      </c>
      <c r="AX9" s="331" t="s">
        <v>395</v>
      </c>
      <c r="BC9" s="608" t="s">
        <v>507</v>
      </c>
      <c r="BD9" s="627" t="s">
        <v>508</v>
      </c>
      <c r="BE9" s="627" t="s">
        <v>395</v>
      </c>
      <c r="BF9" s="627" t="s">
        <v>509</v>
      </c>
      <c r="BG9" s="612" t="s">
        <v>505</v>
      </c>
      <c r="BH9" s="613" t="s">
        <v>395</v>
      </c>
      <c r="BI9" s="612" t="s">
        <v>505</v>
      </c>
      <c r="BJ9" s="613" t="s">
        <v>395</v>
      </c>
      <c r="BM9" s="608" t="s">
        <v>507</v>
      </c>
      <c r="BN9" s="627" t="s">
        <v>508</v>
      </c>
      <c r="BO9" s="627" t="s">
        <v>395</v>
      </c>
      <c r="BP9" s="627" t="s">
        <v>509</v>
      </c>
      <c r="BQ9" s="612" t="s">
        <v>505</v>
      </c>
      <c r="BR9" s="613" t="s">
        <v>395</v>
      </c>
      <c r="BS9" s="612" t="s">
        <v>505</v>
      </c>
      <c r="BT9" s="613" t="s">
        <v>395</v>
      </c>
    </row>
    <row r="10" spans="1:75" x14ac:dyDescent="0.3">
      <c r="A10" s="408">
        <v>1</v>
      </c>
      <c r="B10" s="1214">
        <v>2</v>
      </c>
      <c r="C10" s="1217">
        <v>3</v>
      </c>
      <c r="D10" s="429">
        <v>4</v>
      </c>
      <c r="E10" s="1214"/>
      <c r="F10" s="409"/>
      <c r="G10" s="282">
        <v>5</v>
      </c>
      <c r="H10" s="156"/>
      <c r="I10" s="666"/>
      <c r="J10" s="886"/>
      <c r="K10" s="282"/>
      <c r="L10" s="156"/>
      <c r="M10" s="292"/>
      <c r="N10" s="291"/>
      <c r="O10" s="282"/>
      <c r="P10" s="364"/>
      <c r="Q10" s="275">
        <v>6</v>
      </c>
      <c r="R10" s="306"/>
      <c r="S10" s="371"/>
      <c r="T10" s="524"/>
      <c r="U10" s="522"/>
      <c r="V10" s="385"/>
      <c r="W10" s="387"/>
      <c r="X10" s="378"/>
      <c r="Y10" s="385"/>
      <c r="Z10" s="387"/>
      <c r="AA10" s="522"/>
      <c r="AB10" s="385"/>
      <c r="AC10" s="387"/>
      <c r="AD10" s="386"/>
      <c r="AE10" s="385"/>
      <c r="AF10" s="387"/>
      <c r="AG10" s="386"/>
      <c r="AH10" s="385"/>
      <c r="AI10" s="387"/>
      <c r="AJ10" s="421">
        <v>7</v>
      </c>
      <c r="AK10" s="391">
        <v>8</v>
      </c>
      <c r="AL10" s="403">
        <v>9</v>
      </c>
      <c r="AM10" s="1058"/>
      <c r="AN10" s="1012"/>
      <c r="AO10" s="1016"/>
      <c r="AP10" s="350"/>
      <c r="AQ10" s="1017"/>
      <c r="AR10" s="322"/>
      <c r="AS10" s="160"/>
      <c r="AT10" s="333"/>
      <c r="AU10" s="538">
        <v>10</v>
      </c>
      <c r="AV10" s="322"/>
      <c r="AW10" s="160"/>
      <c r="AX10" s="333"/>
      <c r="BG10" s="612"/>
      <c r="BH10" s="614"/>
      <c r="BI10" s="625"/>
      <c r="BJ10" s="614"/>
      <c r="BQ10" s="612"/>
      <c r="BR10" s="614"/>
      <c r="BS10" s="625"/>
      <c r="BT10" s="614"/>
    </row>
    <row r="11" spans="1:75" s="115" customFormat="1" x14ac:dyDescent="0.3">
      <c r="A11" s="435" t="s">
        <v>148</v>
      </c>
      <c r="B11" s="1215">
        <v>100</v>
      </c>
      <c r="C11" s="436" t="s">
        <v>149</v>
      </c>
      <c r="D11" s="430">
        <f>D14+D20+D21</f>
        <v>1878263304.5799999</v>
      </c>
      <c r="E11" s="59">
        <f>H11+R11+AM11+AK11</f>
        <v>2885172104.5799999</v>
      </c>
      <c r="F11" s="410">
        <f>E11-D11</f>
        <v>1006908800</v>
      </c>
      <c r="G11" s="293">
        <f>SUM(G14)</f>
        <v>218669600</v>
      </c>
      <c r="H11" s="157">
        <f>H14</f>
        <v>218669600</v>
      </c>
      <c r="I11" s="667">
        <f>H11-G11</f>
        <v>0</v>
      </c>
      <c r="J11" s="882">
        <f>SUM(J14)</f>
        <v>105026100</v>
      </c>
      <c r="K11" s="283">
        <f>K14</f>
        <v>68563030.900000006</v>
      </c>
      <c r="L11" s="157">
        <f>H11-J11-O11</f>
        <v>78742491.210000008</v>
      </c>
      <c r="M11" s="294">
        <f>L11-K11</f>
        <v>10179460.310000002</v>
      </c>
      <c r="N11" s="283">
        <f>SUM(N14)</f>
        <v>45080469.100000001</v>
      </c>
      <c r="O11" s="283">
        <f>SUM(O14)</f>
        <v>34901008.789999999</v>
      </c>
      <c r="P11" s="365">
        <f>O11-N11</f>
        <v>-10179460.310000002</v>
      </c>
      <c r="Q11" s="276">
        <v>1270135000</v>
      </c>
      <c r="R11" s="307">
        <f>R20</f>
        <v>2275135000</v>
      </c>
      <c r="S11" s="372">
        <f>R11-Q11</f>
        <v>1005000000</v>
      </c>
      <c r="T11" s="525">
        <f t="shared" ref="T11:AH11" si="0">T20</f>
        <v>0</v>
      </c>
      <c r="U11" s="307">
        <v>1216891000</v>
      </c>
      <c r="V11" s="153">
        <f>V20</f>
        <v>2221891000.0100002</v>
      </c>
      <c r="W11" s="357">
        <f>V11-U11</f>
        <v>1005000000.0100002</v>
      </c>
      <c r="X11" s="379">
        <f>X20</f>
        <v>22131000</v>
      </c>
      <c r="Y11" s="153">
        <f>Y20</f>
        <v>22131000</v>
      </c>
      <c r="Z11" s="357">
        <f>Z20</f>
        <v>0</v>
      </c>
      <c r="AA11" s="307">
        <v>6878578.4699999997</v>
      </c>
      <c r="AB11" s="153">
        <f t="shared" si="0"/>
        <v>6878578.4699999997</v>
      </c>
      <c r="AC11" s="357">
        <f>AB11-AA11</f>
        <v>0</v>
      </c>
      <c r="AD11" s="153">
        <v>15071900</v>
      </c>
      <c r="AE11" s="153">
        <f>AE20</f>
        <v>15071900</v>
      </c>
      <c r="AF11" s="357">
        <f>AE11-AD11</f>
        <v>0</v>
      </c>
      <c r="AG11" s="153">
        <v>9162521.5199999996</v>
      </c>
      <c r="AH11" s="153">
        <f t="shared" si="0"/>
        <v>9162521.5199999996</v>
      </c>
      <c r="AI11" s="357">
        <f>AH11-AG11</f>
        <v>0</v>
      </c>
      <c r="AJ11" s="422">
        <v>0</v>
      </c>
      <c r="AK11" s="392">
        <f>AK13+AK14</f>
        <v>1908800</v>
      </c>
      <c r="AL11" s="334">
        <v>389458704.59170002</v>
      </c>
      <c r="AM11" s="161">
        <f>AP11+AS11+AW11</f>
        <v>389458704.57999998</v>
      </c>
      <c r="AN11" s="1013">
        <f>AM11-AL11</f>
        <v>-1.1700034141540527E-2</v>
      </c>
      <c r="AO11" s="334">
        <v>305985633.47170001</v>
      </c>
      <c r="AP11" s="161">
        <f>AP14+AP21</f>
        <v>306452080.55000001</v>
      </c>
      <c r="AQ11" s="406">
        <f>AP11-AO11</f>
        <v>466447.07829999924</v>
      </c>
      <c r="AR11" s="161">
        <f>AR14+AR21+AR22</f>
        <v>55582036.509999998</v>
      </c>
      <c r="AS11" s="161">
        <f>AS14+AS21+AS22</f>
        <v>70734826.599999994</v>
      </c>
      <c r="AT11" s="335">
        <f>AS11-AR11</f>
        <v>15152790.089999996</v>
      </c>
      <c r="AU11" s="539">
        <v>0</v>
      </c>
      <c r="AV11" s="161">
        <f>AV14+AV21+AV22</f>
        <v>12271797.43</v>
      </c>
      <c r="AW11" s="161">
        <f>AW14+AW21+AW22</f>
        <v>12271797.43</v>
      </c>
      <c r="AX11" s="335">
        <f>AW11-AV11</f>
        <v>0</v>
      </c>
      <c r="AZ11" s="131">
        <v>343352551.449</v>
      </c>
      <c r="BA11" s="131">
        <v>275145687.99900001</v>
      </c>
      <c r="BB11" s="609">
        <v>68206863.450000003</v>
      </c>
      <c r="BC11" s="634"/>
      <c r="BD11" s="634"/>
      <c r="BE11" s="634"/>
      <c r="BF11" s="634"/>
      <c r="BG11" s="615"/>
      <c r="BH11" s="616">
        <f>AF11-BG11</f>
        <v>0</v>
      </c>
      <c r="BI11" s="615">
        <f>BI15+BI21+BI22</f>
        <v>68215561.770000011</v>
      </c>
      <c r="BJ11" s="626">
        <f>AI11-BI11</f>
        <v>-68215561.770000011</v>
      </c>
      <c r="BK11" s="634"/>
      <c r="BL11" s="634"/>
      <c r="BM11" s="628">
        <f>AL11</f>
        <v>389458704.59170002</v>
      </c>
      <c r="BN11" s="628">
        <v>344453050.41000003</v>
      </c>
      <c r="BO11" s="628">
        <f>BM11-BN11</f>
        <v>45005654.181699991</v>
      </c>
      <c r="BP11" s="629">
        <f>BN11</f>
        <v>344453050.41000003</v>
      </c>
      <c r="BQ11" s="615">
        <v>251139175</v>
      </c>
      <c r="BR11" s="616">
        <f>AP11-BQ11</f>
        <v>55312905.550000012</v>
      </c>
      <c r="BS11" s="615">
        <f>BS15+BS21+BS22</f>
        <v>68215561.770000011</v>
      </c>
      <c r="BT11" s="626">
        <f>AS11-BS11</f>
        <v>2519264.8299999833</v>
      </c>
      <c r="BU11" s="135">
        <v>1076466.1000000001</v>
      </c>
      <c r="BV11" s="135">
        <v>146019.47000000626</v>
      </c>
      <c r="BW11" s="135">
        <f>BU11+BV11</f>
        <v>1222485.5700000064</v>
      </c>
    </row>
    <row r="12" spans="1:75" x14ac:dyDescent="0.3">
      <c r="A12" s="437" t="s">
        <v>137</v>
      </c>
      <c r="B12" s="133"/>
      <c r="C12" s="438"/>
      <c r="D12" s="431"/>
      <c r="E12" s="59">
        <f>H12+R12+AL12+AK12</f>
        <v>0</v>
      </c>
      <c r="F12" s="410">
        <f t="shared" ref="F12:F75" si="1">E12-D12</f>
        <v>0</v>
      </c>
      <c r="G12" s="284"/>
      <c r="H12" s="159"/>
      <c r="I12" s="668"/>
      <c r="J12" s="979"/>
      <c r="K12" s="284"/>
      <c r="L12" s="159"/>
      <c r="M12" s="296"/>
      <c r="N12" s="295"/>
      <c r="O12" s="284"/>
      <c r="P12" s="366"/>
      <c r="Q12" s="277"/>
      <c r="R12" s="308"/>
      <c r="S12" s="373"/>
      <c r="T12" s="526"/>
      <c r="U12" s="308"/>
      <c r="V12" s="154"/>
      <c r="W12" s="357">
        <f t="shared" ref="W12:W74" si="2">V12-U12</f>
        <v>0</v>
      </c>
      <c r="X12" s="380"/>
      <c r="Y12" s="153">
        <f t="shared" ref="Y12:Y19" si="3">X12-W12</f>
        <v>0</v>
      </c>
      <c r="Z12" s="357">
        <f t="shared" ref="Z12:Z19" si="4">X12-W12</f>
        <v>0</v>
      </c>
      <c r="AA12" s="308"/>
      <c r="AB12" s="154"/>
      <c r="AC12" s="358"/>
      <c r="AD12" s="277"/>
      <c r="AE12" s="154"/>
      <c r="AF12" s="358"/>
      <c r="AG12" s="277"/>
      <c r="AH12" s="154"/>
      <c r="AI12" s="358"/>
      <c r="AJ12" s="423"/>
      <c r="AK12" s="393"/>
      <c r="AL12" s="334"/>
      <c r="AM12" s="161"/>
      <c r="AN12" s="1013">
        <f t="shared" ref="AN12:AN74" si="5">AM12-AL12</f>
        <v>0</v>
      </c>
      <c r="AO12" s="336"/>
      <c r="AP12" s="260"/>
      <c r="AQ12" s="1018"/>
      <c r="AR12" s="325"/>
      <c r="AS12" s="260"/>
      <c r="AT12" s="337"/>
      <c r="AU12" s="540"/>
      <c r="AV12" s="325"/>
      <c r="AW12" s="260"/>
      <c r="AX12" s="337"/>
      <c r="BG12" s="617"/>
      <c r="BH12" s="614"/>
      <c r="BI12" s="625"/>
      <c r="BJ12" s="614"/>
      <c r="BM12" s="628"/>
      <c r="BN12" s="628"/>
      <c r="BQ12" s="617">
        <f>AP11-BQ11</f>
        <v>55312905.550000012</v>
      </c>
      <c r="BR12" s="614"/>
      <c r="BS12" s="625"/>
      <c r="BT12" s="614"/>
      <c r="BU12" s="111">
        <f>BS11+BW11</f>
        <v>69438047.340000018</v>
      </c>
    </row>
    <row r="13" spans="1:75" x14ac:dyDescent="0.3">
      <c r="A13" s="437" t="s">
        <v>150</v>
      </c>
      <c r="B13" s="1214">
        <v>110</v>
      </c>
      <c r="C13" s="438"/>
      <c r="D13" s="431"/>
      <c r="E13" s="59">
        <f>H13+R13+AL13+AK13</f>
        <v>0</v>
      </c>
      <c r="F13" s="410">
        <f t="shared" si="1"/>
        <v>0</v>
      </c>
      <c r="G13" s="285"/>
      <c r="H13" s="158"/>
      <c r="I13" s="669"/>
      <c r="J13" s="881"/>
      <c r="K13" s="285"/>
      <c r="L13" s="158"/>
      <c r="M13" s="298"/>
      <c r="N13" s="297"/>
      <c r="O13" s="285"/>
      <c r="P13" s="367"/>
      <c r="Q13" s="278"/>
      <c r="R13" s="309"/>
      <c r="S13" s="374"/>
      <c r="T13" s="527"/>
      <c r="U13" s="309"/>
      <c r="V13" s="261"/>
      <c r="W13" s="357">
        <f t="shared" si="2"/>
        <v>0</v>
      </c>
      <c r="X13" s="381"/>
      <c r="Y13" s="153">
        <f t="shared" si="3"/>
        <v>0</v>
      </c>
      <c r="Z13" s="357">
        <f t="shared" si="4"/>
        <v>0</v>
      </c>
      <c r="AA13" s="309"/>
      <c r="AB13" s="261"/>
      <c r="AC13" s="359"/>
      <c r="AD13" s="278"/>
      <c r="AE13" s="261"/>
      <c r="AF13" s="359"/>
      <c r="AG13" s="278"/>
      <c r="AH13" s="261"/>
      <c r="AI13" s="359"/>
      <c r="AJ13" s="424"/>
      <c r="AK13" s="393"/>
      <c r="AL13" s="334"/>
      <c r="AM13" s="161"/>
      <c r="AN13" s="1013">
        <f t="shared" si="5"/>
        <v>0</v>
      </c>
      <c r="AO13" s="336"/>
      <c r="AP13" s="260"/>
      <c r="AQ13" s="1018"/>
      <c r="AR13" s="325"/>
      <c r="AS13" s="260"/>
      <c r="AT13" s="337"/>
      <c r="AU13" s="541"/>
      <c r="AV13" s="325"/>
      <c r="AW13" s="260"/>
      <c r="AX13" s="337"/>
      <c r="AZ13" s="111"/>
      <c r="BA13" s="111">
        <f>BA11-AO11</f>
        <v>-30839945.4727</v>
      </c>
      <c r="BB13" s="111">
        <f>BB11-AR11</f>
        <v>12624826.940000005</v>
      </c>
      <c r="BC13" s="111"/>
      <c r="BD13" s="111"/>
      <c r="BE13" s="111"/>
      <c r="BF13" s="111"/>
      <c r="BG13" s="615"/>
      <c r="BH13" s="614"/>
      <c r="BI13" s="625"/>
      <c r="BJ13" s="614"/>
      <c r="BK13" s="111"/>
      <c r="BL13" s="111"/>
      <c r="BM13" s="628"/>
      <c r="BN13" s="628"/>
      <c r="BO13" s="533"/>
      <c r="BP13" s="533"/>
      <c r="BQ13" s="615"/>
      <c r="BR13" s="614"/>
      <c r="BS13" s="625"/>
      <c r="BT13" s="614"/>
    </row>
    <row r="14" spans="1:75" x14ac:dyDescent="0.3">
      <c r="A14" s="437" t="s">
        <v>151</v>
      </c>
      <c r="B14" s="1214">
        <v>120</v>
      </c>
      <c r="C14" s="438"/>
      <c r="D14" s="64">
        <f>G14+Q14+AL14+AJ14</f>
        <v>573229079.06999993</v>
      </c>
      <c r="E14" s="64">
        <f>H14+R14+AM14+AK14</f>
        <v>575137879.06999993</v>
      </c>
      <c r="F14" s="411">
        <f t="shared" si="1"/>
        <v>1908800</v>
      </c>
      <c r="G14" s="159">
        <v>218669600</v>
      </c>
      <c r="H14" s="159">
        <f>J14+L14+O14</f>
        <v>218669600</v>
      </c>
      <c r="I14" s="668">
        <f>H14-G14</f>
        <v>0</v>
      </c>
      <c r="J14" s="881">
        <f>J15</f>
        <v>105026100</v>
      </c>
      <c r="K14" s="284">
        <v>68563030.900000006</v>
      </c>
      <c r="L14" s="159">
        <f>G14-J14-O14</f>
        <v>78742491.210000008</v>
      </c>
      <c r="M14" s="298">
        <f>L14-K14</f>
        <v>10179460.310000002</v>
      </c>
      <c r="N14" s="285">
        <v>45080469.100000001</v>
      </c>
      <c r="O14" s="285">
        <f>O15</f>
        <v>34901008.789999999</v>
      </c>
      <c r="P14" s="367">
        <f>O14-N14</f>
        <v>-10179460.310000002</v>
      </c>
      <c r="Q14" s="277"/>
      <c r="R14" s="308"/>
      <c r="S14" s="373"/>
      <c r="T14" s="526"/>
      <c r="U14" s="308"/>
      <c r="V14" s="154"/>
      <c r="W14" s="357">
        <f t="shared" si="2"/>
        <v>0</v>
      </c>
      <c r="X14" s="380"/>
      <c r="Y14" s="153">
        <f t="shared" si="3"/>
        <v>0</v>
      </c>
      <c r="Z14" s="357">
        <f t="shared" si="4"/>
        <v>0</v>
      </c>
      <c r="AA14" s="308"/>
      <c r="AB14" s="154"/>
      <c r="AC14" s="358"/>
      <c r="AD14" s="277"/>
      <c r="AE14" s="154"/>
      <c r="AF14" s="358"/>
      <c r="AG14" s="277"/>
      <c r="AH14" s="154"/>
      <c r="AI14" s="358"/>
      <c r="AJ14" s="423"/>
      <c r="AK14" s="393">
        <f>SUM(AK15:AK17)</f>
        <v>1908800</v>
      </c>
      <c r="AL14" s="334">
        <v>354559479.06999999</v>
      </c>
      <c r="AM14" s="161">
        <f>AP14+AS14+AW14</f>
        <v>354559479.06999999</v>
      </c>
      <c r="AN14" s="1013">
        <f t="shared" si="5"/>
        <v>0</v>
      </c>
      <c r="AO14" s="338">
        <v>306981817.18000001</v>
      </c>
      <c r="AP14" s="162">
        <f>AL14-AS14-AW14</f>
        <v>319167024.94999999</v>
      </c>
      <c r="AQ14" s="1019">
        <f>AP14-AO14</f>
        <v>12185207.769999981</v>
      </c>
      <c r="AR14" s="324">
        <v>44423842.689999998</v>
      </c>
      <c r="AS14" s="162">
        <f>AS15+AS17</f>
        <v>32238634.920000002</v>
      </c>
      <c r="AT14" s="339">
        <f>AS14-AR14</f>
        <v>-12185207.769999996</v>
      </c>
      <c r="AU14" s="541"/>
      <c r="AV14" s="324">
        <v>3153819.2</v>
      </c>
      <c r="AW14" s="162">
        <f>AW15</f>
        <v>3153819.2</v>
      </c>
      <c r="AX14" s="339">
        <f>AW14-AV14</f>
        <v>0</v>
      </c>
      <c r="BG14" s="618"/>
      <c r="BH14" s="614"/>
      <c r="BI14" s="625"/>
      <c r="BJ14" s="614"/>
      <c r="BM14" s="628"/>
      <c r="BN14" s="628"/>
      <c r="BQ14" s="618">
        <f>13676010.29-8000000</f>
        <v>5676010.2899999991</v>
      </c>
      <c r="BR14" s="614"/>
      <c r="BS14" s="625"/>
      <c r="BT14" s="614"/>
    </row>
    <row r="15" spans="1:75" x14ac:dyDescent="0.3">
      <c r="A15" s="437" t="s">
        <v>152</v>
      </c>
      <c r="B15" s="133"/>
      <c r="C15" s="438"/>
      <c r="D15" s="64">
        <f>G15+Q15+AL15+AJ15</f>
        <v>557025508.76999998</v>
      </c>
      <c r="E15" s="64">
        <f>H15+R15+AM15+AK15</f>
        <v>558934308.76999998</v>
      </c>
      <c r="F15" s="411">
        <f t="shared" si="1"/>
        <v>1908800</v>
      </c>
      <c r="G15" s="159">
        <v>218669600</v>
      </c>
      <c r="H15" s="159">
        <f>J15+L15+O15</f>
        <v>218669600</v>
      </c>
      <c r="I15" s="668">
        <f>H15-G15</f>
        <v>0</v>
      </c>
      <c r="J15" s="979">
        <f>42610100+6071200+19709100+1786600+10488200+12868200+1833500+5952100+539600+3167500</f>
        <v>105026100</v>
      </c>
      <c r="K15" s="284">
        <v>68563030.900000006</v>
      </c>
      <c r="L15" s="159">
        <f>G15-J15-O15</f>
        <v>78742491.210000008</v>
      </c>
      <c r="M15" s="296">
        <f>L15-K15</f>
        <v>10179460.310000002</v>
      </c>
      <c r="N15" s="284">
        <v>45080469.100000001</v>
      </c>
      <c r="O15" s="284">
        <f>O23</f>
        <v>34901008.789999999</v>
      </c>
      <c r="P15" s="366">
        <f>O15-N15</f>
        <v>-10179460.310000002</v>
      </c>
      <c r="Q15" s="277"/>
      <c r="R15" s="308"/>
      <c r="S15" s="373"/>
      <c r="T15" s="526"/>
      <c r="U15" s="308"/>
      <c r="V15" s="154"/>
      <c r="W15" s="357">
        <f t="shared" si="2"/>
        <v>0</v>
      </c>
      <c r="X15" s="380"/>
      <c r="Y15" s="153">
        <f t="shared" si="3"/>
        <v>0</v>
      </c>
      <c r="Z15" s="357">
        <f t="shared" si="4"/>
        <v>0</v>
      </c>
      <c r="AA15" s="308"/>
      <c r="AB15" s="154"/>
      <c r="AC15" s="358"/>
      <c r="AD15" s="277"/>
      <c r="AE15" s="154"/>
      <c r="AF15" s="358"/>
      <c r="AG15" s="277"/>
      <c r="AH15" s="154"/>
      <c r="AI15" s="358"/>
      <c r="AJ15" s="423"/>
      <c r="AK15" s="394">
        <v>1908800</v>
      </c>
      <c r="AL15" s="334">
        <v>338355908.76999998</v>
      </c>
      <c r="AM15" s="161">
        <f>AP15+AS15+AW15</f>
        <v>338355908.76999998</v>
      </c>
      <c r="AN15" s="1013">
        <f t="shared" si="5"/>
        <v>0</v>
      </c>
      <c r="AO15" s="338">
        <v>290778246.88</v>
      </c>
      <c r="AP15" s="162">
        <f t="shared" ref="AP15:AP17" si="6">AL15-AS15-AW15</f>
        <v>302963454.64999998</v>
      </c>
      <c r="AQ15" s="1019">
        <f>AP15-AO15</f>
        <v>12185207.769999981</v>
      </c>
      <c r="AR15" s="324">
        <v>44423842.689999998</v>
      </c>
      <c r="AS15" s="162">
        <v>32238634.920000002</v>
      </c>
      <c r="AT15" s="339">
        <f>AS15-AR15</f>
        <v>-12185207.769999996</v>
      </c>
      <c r="AU15" s="541"/>
      <c r="AV15" s="324">
        <v>3153819.2</v>
      </c>
      <c r="AW15" s="162">
        <v>3153819.2</v>
      </c>
      <c r="AX15" s="339">
        <f>AW15-AV15</f>
        <v>0</v>
      </c>
      <c r="BG15" s="618"/>
      <c r="BH15" s="614"/>
      <c r="BI15" s="618">
        <v>67613872.370000005</v>
      </c>
      <c r="BJ15" s="614"/>
      <c r="BM15" s="628"/>
      <c r="BN15" s="628"/>
      <c r="BQ15" s="618">
        <f>5100000</f>
        <v>5100000</v>
      </c>
      <c r="BR15" s="614"/>
      <c r="BS15" s="618">
        <v>67613872.370000005</v>
      </c>
      <c r="BT15" s="614"/>
    </row>
    <row r="16" spans="1:75" x14ac:dyDescent="0.3">
      <c r="A16" s="437" t="s">
        <v>153</v>
      </c>
      <c r="B16" s="133"/>
      <c r="C16" s="438"/>
      <c r="D16" s="64">
        <f>G16+Q16+AK16+AJ16</f>
        <v>0</v>
      </c>
      <c r="E16" s="64">
        <f>H16+R16+AL16+AK16</f>
        <v>0</v>
      </c>
      <c r="F16" s="410">
        <f t="shared" si="1"/>
        <v>0</v>
      </c>
      <c r="G16" s="284"/>
      <c r="H16" s="159"/>
      <c r="I16" s="668">
        <f t="shared" ref="I16:I22" si="7">H16-G16</f>
        <v>0</v>
      </c>
      <c r="J16" s="979"/>
      <c r="K16" s="284"/>
      <c r="L16" s="159"/>
      <c r="M16" s="296"/>
      <c r="N16" s="295"/>
      <c r="O16" s="284"/>
      <c r="P16" s="366"/>
      <c r="Q16" s="277"/>
      <c r="R16" s="308"/>
      <c r="S16" s="373"/>
      <c r="T16" s="526"/>
      <c r="U16" s="308"/>
      <c r="V16" s="154"/>
      <c r="W16" s="357">
        <f t="shared" si="2"/>
        <v>0</v>
      </c>
      <c r="X16" s="380"/>
      <c r="Y16" s="153">
        <f t="shared" si="3"/>
        <v>0</v>
      </c>
      <c r="Z16" s="357">
        <f t="shared" si="4"/>
        <v>0</v>
      </c>
      <c r="AA16" s="308"/>
      <c r="AB16" s="154"/>
      <c r="AC16" s="358"/>
      <c r="AD16" s="277"/>
      <c r="AE16" s="154"/>
      <c r="AF16" s="358"/>
      <c r="AG16" s="277"/>
      <c r="AH16" s="154"/>
      <c r="AI16" s="358"/>
      <c r="AJ16" s="423"/>
      <c r="AK16" s="394"/>
      <c r="AL16" s="334">
        <v>0</v>
      </c>
      <c r="AM16" s="161">
        <f t="shared" ref="AM16:AM74" si="8">AP16+AS16</f>
        <v>0</v>
      </c>
      <c r="AN16" s="1013">
        <f t="shared" si="5"/>
        <v>0</v>
      </c>
      <c r="AO16" s="336"/>
      <c r="AP16" s="162">
        <f t="shared" si="6"/>
        <v>0</v>
      </c>
      <c r="AQ16" s="1018"/>
      <c r="AR16" s="325"/>
      <c r="AS16" s="260"/>
      <c r="AT16" s="337"/>
      <c r="AU16" s="541"/>
      <c r="AV16" s="325"/>
      <c r="AW16" s="260"/>
      <c r="AX16" s="337"/>
      <c r="BG16" s="619"/>
      <c r="BH16" s="614"/>
      <c r="BI16" s="625"/>
      <c r="BJ16" s="614"/>
      <c r="BM16" s="628"/>
      <c r="BN16" s="628"/>
      <c r="BQ16" s="619">
        <f>SUM(BQ14:BQ15)</f>
        <v>10776010.289999999</v>
      </c>
      <c r="BR16" s="614"/>
      <c r="BS16" s="625"/>
      <c r="BT16" s="614"/>
    </row>
    <row r="17" spans="1:72" x14ac:dyDescent="0.3">
      <c r="A17" s="437" t="s">
        <v>154</v>
      </c>
      <c r="B17" s="133"/>
      <c r="C17" s="438"/>
      <c r="D17" s="64">
        <f>G17+Q17+AL17+AJ17</f>
        <v>16203570.300000001</v>
      </c>
      <c r="E17" s="64">
        <f>H17+R17+AM17+AK17</f>
        <v>16203570.300000001</v>
      </c>
      <c r="F17" s="410">
        <f t="shared" si="1"/>
        <v>0</v>
      </c>
      <c r="G17" s="284"/>
      <c r="H17" s="159"/>
      <c r="I17" s="668">
        <f t="shared" si="7"/>
        <v>0</v>
      </c>
      <c r="J17" s="979"/>
      <c r="K17" s="284"/>
      <c r="L17" s="159"/>
      <c r="M17" s="296"/>
      <c r="N17" s="295"/>
      <c r="O17" s="284"/>
      <c r="P17" s="366"/>
      <c r="Q17" s="277"/>
      <c r="R17" s="308"/>
      <c r="S17" s="373"/>
      <c r="T17" s="526"/>
      <c r="U17" s="308"/>
      <c r="V17" s="154"/>
      <c r="W17" s="357">
        <f t="shared" si="2"/>
        <v>0</v>
      </c>
      <c r="X17" s="380"/>
      <c r="Y17" s="153">
        <f t="shared" si="3"/>
        <v>0</v>
      </c>
      <c r="Z17" s="357">
        <f t="shared" si="4"/>
        <v>0</v>
      </c>
      <c r="AA17" s="308"/>
      <c r="AB17" s="154"/>
      <c r="AC17" s="358"/>
      <c r="AD17" s="277"/>
      <c r="AE17" s="154"/>
      <c r="AF17" s="358"/>
      <c r="AG17" s="277"/>
      <c r="AH17" s="154"/>
      <c r="AI17" s="358"/>
      <c r="AJ17" s="423"/>
      <c r="AK17" s="393"/>
      <c r="AL17" s="334">
        <v>16203570.300000001</v>
      </c>
      <c r="AM17" s="161">
        <f>AP17+AS17+AW17</f>
        <v>16203570.300000001</v>
      </c>
      <c r="AN17" s="1013">
        <f t="shared" si="5"/>
        <v>0</v>
      </c>
      <c r="AO17" s="338">
        <v>16203570.300000001</v>
      </c>
      <c r="AP17" s="162">
        <f t="shared" si="6"/>
        <v>16203570.300000001</v>
      </c>
      <c r="AQ17" s="1019">
        <f>AP17-AO17</f>
        <v>0</v>
      </c>
      <c r="AR17" s="324"/>
      <c r="AS17" s="162"/>
      <c r="AT17" s="339"/>
      <c r="AU17" s="541"/>
      <c r="AV17" s="324"/>
      <c r="AW17" s="162"/>
      <c r="AX17" s="339"/>
      <c r="BG17" s="618"/>
      <c r="BH17" s="614"/>
      <c r="BI17" s="625"/>
      <c r="BJ17" s="614"/>
      <c r="BM17" s="628"/>
      <c r="BN17" s="628"/>
      <c r="BQ17" s="618">
        <f>BQ12-BQ16</f>
        <v>44536895.260000013</v>
      </c>
      <c r="BR17" s="614"/>
      <c r="BS17" s="625"/>
      <c r="BT17" s="614"/>
    </row>
    <row r="18" spans="1:72" ht="31.5" x14ac:dyDescent="0.3">
      <c r="A18" s="437" t="s">
        <v>155</v>
      </c>
      <c r="B18" s="1214">
        <v>130</v>
      </c>
      <c r="C18" s="438"/>
      <c r="D18" s="431">
        <v>0</v>
      </c>
      <c r="E18" s="59">
        <f>H18+R18+AL18+AK18</f>
        <v>0</v>
      </c>
      <c r="F18" s="410">
        <f t="shared" si="1"/>
        <v>0</v>
      </c>
      <c r="G18" s="285"/>
      <c r="H18" s="158"/>
      <c r="I18" s="668">
        <f t="shared" si="7"/>
        <v>0</v>
      </c>
      <c r="J18" s="881"/>
      <c r="K18" s="285"/>
      <c r="L18" s="158"/>
      <c r="M18" s="298"/>
      <c r="N18" s="297"/>
      <c r="O18" s="285"/>
      <c r="P18" s="367"/>
      <c r="Q18" s="279"/>
      <c r="R18" s="310"/>
      <c r="S18" s="375"/>
      <c r="T18" s="528"/>
      <c r="U18" s="310"/>
      <c r="V18" s="63"/>
      <c r="W18" s="357">
        <f t="shared" si="2"/>
        <v>0</v>
      </c>
      <c r="X18" s="382"/>
      <c r="Y18" s="153">
        <f t="shared" si="3"/>
        <v>0</v>
      </c>
      <c r="Z18" s="357">
        <f t="shared" si="4"/>
        <v>0</v>
      </c>
      <c r="AA18" s="310"/>
      <c r="AB18" s="63"/>
      <c r="AC18" s="360"/>
      <c r="AD18" s="279"/>
      <c r="AE18" s="63"/>
      <c r="AF18" s="360"/>
      <c r="AG18" s="279"/>
      <c r="AH18" s="63"/>
      <c r="AI18" s="360"/>
      <c r="AJ18" s="425"/>
      <c r="AK18" s="395"/>
      <c r="AL18" s="334">
        <v>0</v>
      </c>
      <c r="AM18" s="161">
        <f t="shared" si="8"/>
        <v>0</v>
      </c>
      <c r="AN18" s="1013">
        <f t="shared" si="5"/>
        <v>0</v>
      </c>
      <c r="AO18" s="336"/>
      <c r="AP18" s="260"/>
      <c r="AQ18" s="1018"/>
      <c r="AR18" s="325"/>
      <c r="AS18" s="260"/>
      <c r="AT18" s="337"/>
      <c r="AU18" s="540" t="s">
        <v>149</v>
      </c>
      <c r="AV18" s="325"/>
      <c r="AW18" s="260"/>
      <c r="AX18" s="337"/>
      <c r="BG18" s="617"/>
      <c r="BH18" s="614"/>
      <c r="BI18" s="625"/>
      <c r="BJ18" s="614"/>
      <c r="BM18" s="628"/>
      <c r="BN18" s="628"/>
      <c r="BQ18" s="617"/>
      <c r="BR18" s="614"/>
      <c r="BS18" s="625"/>
      <c r="BT18" s="614"/>
    </row>
    <row r="19" spans="1:72" ht="63.75" customHeight="1" x14ac:dyDescent="0.3">
      <c r="A19" s="437" t="s">
        <v>156</v>
      </c>
      <c r="B19" s="1214">
        <v>140</v>
      </c>
      <c r="C19" s="438"/>
      <c r="D19" s="431">
        <v>0</v>
      </c>
      <c r="E19" s="59">
        <f>H19+R19+AL19+AK19</f>
        <v>0</v>
      </c>
      <c r="F19" s="410">
        <f t="shared" si="1"/>
        <v>0</v>
      </c>
      <c r="G19" s="285"/>
      <c r="H19" s="158"/>
      <c r="I19" s="668">
        <f t="shared" si="7"/>
        <v>0</v>
      </c>
      <c r="J19" s="881"/>
      <c r="K19" s="285"/>
      <c r="L19" s="158"/>
      <c r="M19" s="298"/>
      <c r="N19" s="297"/>
      <c r="O19" s="285"/>
      <c r="P19" s="367"/>
      <c r="Q19" s="279"/>
      <c r="R19" s="310"/>
      <c r="S19" s="375"/>
      <c r="T19" s="528"/>
      <c r="U19" s="310"/>
      <c r="V19" s="63"/>
      <c r="W19" s="357">
        <f t="shared" si="2"/>
        <v>0</v>
      </c>
      <c r="X19" s="382"/>
      <c r="Y19" s="153">
        <f t="shared" si="3"/>
        <v>0</v>
      </c>
      <c r="Z19" s="357">
        <f t="shared" si="4"/>
        <v>0</v>
      </c>
      <c r="AA19" s="310"/>
      <c r="AB19" s="63"/>
      <c r="AC19" s="360"/>
      <c r="AD19" s="279"/>
      <c r="AE19" s="63"/>
      <c r="AF19" s="360"/>
      <c r="AG19" s="279"/>
      <c r="AH19" s="63"/>
      <c r="AI19" s="360"/>
      <c r="AJ19" s="425"/>
      <c r="AK19" s="395"/>
      <c r="AL19" s="334">
        <v>0</v>
      </c>
      <c r="AM19" s="161">
        <f t="shared" si="8"/>
        <v>0</v>
      </c>
      <c r="AN19" s="1013">
        <f t="shared" si="5"/>
        <v>0</v>
      </c>
      <c r="AO19" s="336"/>
      <c r="AP19" s="260"/>
      <c r="AQ19" s="1018"/>
      <c r="AR19" s="325"/>
      <c r="AS19" s="260"/>
      <c r="AT19" s="337"/>
      <c r="AU19" s="540" t="s">
        <v>149</v>
      </c>
      <c r="AV19" s="325"/>
      <c r="AW19" s="260"/>
      <c r="AX19" s="337"/>
      <c r="BG19" s="617"/>
      <c r="BH19" s="614"/>
      <c r="BI19" s="625"/>
      <c r="BJ19" s="614"/>
      <c r="BM19" s="628"/>
      <c r="BN19" s="628"/>
      <c r="BQ19" s="617"/>
      <c r="BR19" s="614"/>
      <c r="BS19" s="625"/>
      <c r="BT19" s="614"/>
    </row>
    <row r="20" spans="1:72" ht="38.25" customHeight="1" x14ac:dyDescent="0.3">
      <c r="A20" s="437" t="s">
        <v>157</v>
      </c>
      <c r="B20" s="1214">
        <v>150</v>
      </c>
      <c r="C20" s="438"/>
      <c r="D20" s="64">
        <f t="shared" ref="D20:E22" si="9">G20+Q20+AL20+AJ20</f>
        <v>1270135000</v>
      </c>
      <c r="E20" s="64">
        <f t="shared" si="9"/>
        <v>2275135000</v>
      </c>
      <c r="F20" s="411">
        <f t="shared" si="1"/>
        <v>1005000000</v>
      </c>
      <c r="G20" s="285"/>
      <c r="H20" s="158"/>
      <c r="I20" s="668">
        <f t="shared" si="7"/>
        <v>0</v>
      </c>
      <c r="J20" s="881"/>
      <c r="K20" s="285"/>
      <c r="L20" s="158"/>
      <c r="M20" s="298"/>
      <c r="N20" s="297"/>
      <c r="O20" s="285"/>
      <c r="P20" s="367"/>
      <c r="Q20" s="279">
        <v>1270135000</v>
      </c>
      <c r="R20" s="310">
        <f>T20+V20+X20+AB20+AE20+AH20</f>
        <v>2275135000</v>
      </c>
      <c r="S20" s="375">
        <f>R20-Q20</f>
        <v>1005000000</v>
      </c>
      <c r="T20" s="528"/>
      <c r="U20" s="310">
        <v>1216891000</v>
      </c>
      <c r="V20" s="63">
        <f>2275135000-Y20-AB20-AE20-AH20</f>
        <v>2221891000.0100002</v>
      </c>
      <c r="W20" s="360">
        <f t="shared" si="2"/>
        <v>1005000000.0100002</v>
      </c>
      <c r="X20" s="382">
        <v>22131000</v>
      </c>
      <c r="Y20" s="63">
        <f>X20-Z20</f>
        <v>22131000</v>
      </c>
      <c r="Z20" s="360"/>
      <c r="AA20" s="310">
        <v>6878578.4699999997</v>
      </c>
      <c r="AB20" s="63">
        <v>6878578.4699999997</v>
      </c>
      <c r="AC20" s="360">
        <f>AB20-AA20</f>
        <v>0</v>
      </c>
      <c r="AD20" s="63">
        <v>15071900</v>
      </c>
      <c r="AE20" s="63">
        <v>15071900</v>
      </c>
      <c r="AF20" s="360">
        <f>AE20-AD20</f>
        <v>0</v>
      </c>
      <c r="AG20" s="63">
        <v>9162521.5199999996</v>
      </c>
      <c r="AH20" s="63">
        <v>9162521.5199999996</v>
      </c>
      <c r="AI20" s="360">
        <f>AH20-AG20</f>
        <v>0</v>
      </c>
      <c r="AJ20" s="426"/>
      <c r="AK20" s="395"/>
      <c r="AL20" s="334">
        <v>0</v>
      </c>
      <c r="AM20" s="161">
        <f t="shared" si="8"/>
        <v>0</v>
      </c>
      <c r="AN20" s="1013">
        <f t="shared" si="5"/>
        <v>0</v>
      </c>
      <c r="AO20" s="338"/>
      <c r="AP20" s="162"/>
      <c r="AQ20" s="1019"/>
      <c r="AR20" s="324"/>
      <c r="AS20" s="162"/>
      <c r="AT20" s="339"/>
      <c r="AU20" s="540" t="s">
        <v>149</v>
      </c>
      <c r="AV20" s="324"/>
      <c r="AW20" s="162"/>
      <c r="AX20" s="339"/>
      <c r="BG20" s="617"/>
      <c r="BH20" s="614"/>
      <c r="BI20" s="625"/>
      <c r="BJ20" s="614"/>
      <c r="BM20" s="628"/>
      <c r="BN20" s="628"/>
      <c r="BQ20" s="617"/>
      <c r="BR20" s="614"/>
      <c r="BS20" s="625"/>
      <c r="BT20" s="614"/>
    </row>
    <row r="21" spans="1:72" ht="19.5" customHeight="1" x14ac:dyDescent="0.3">
      <c r="A21" s="437" t="s">
        <v>158</v>
      </c>
      <c r="B21" s="1214">
        <v>160</v>
      </c>
      <c r="C21" s="438"/>
      <c r="D21" s="64">
        <f t="shared" si="9"/>
        <v>34899225.510000005</v>
      </c>
      <c r="E21" s="64">
        <f t="shared" si="9"/>
        <v>34899225.510000005</v>
      </c>
      <c r="F21" s="411">
        <f t="shared" si="1"/>
        <v>0</v>
      </c>
      <c r="G21" s="285"/>
      <c r="H21" s="158"/>
      <c r="I21" s="668">
        <f t="shared" si="7"/>
        <v>0</v>
      </c>
      <c r="J21" s="881"/>
      <c r="K21" s="285"/>
      <c r="L21" s="158"/>
      <c r="M21" s="298"/>
      <c r="N21" s="297"/>
      <c r="O21" s="285"/>
      <c r="P21" s="367"/>
      <c r="Q21" s="279"/>
      <c r="R21" s="310"/>
      <c r="S21" s="375"/>
      <c r="T21" s="528"/>
      <c r="U21" s="310"/>
      <c r="V21" s="63"/>
      <c r="W21" s="357"/>
      <c r="X21" s="382"/>
      <c r="Y21" s="153">
        <f>X21-W21</f>
        <v>0</v>
      </c>
      <c r="Z21" s="357">
        <f>X21-W21</f>
        <v>0</v>
      </c>
      <c r="AA21" s="310"/>
      <c r="AB21" s="63"/>
      <c r="AC21" s="360"/>
      <c r="AD21" s="279"/>
      <c r="AE21" s="63"/>
      <c r="AF21" s="360"/>
      <c r="AG21" s="279"/>
      <c r="AH21" s="63"/>
      <c r="AI21" s="360"/>
      <c r="AJ21" s="425"/>
      <c r="AK21" s="395"/>
      <c r="AL21" s="334">
        <v>34899225.510000005</v>
      </c>
      <c r="AM21" s="161">
        <f>AP21+AS21+AW21</f>
        <v>34899225.510000005</v>
      </c>
      <c r="AN21" s="1013">
        <f t="shared" si="5"/>
        <v>0</v>
      </c>
      <c r="AO21" s="338">
        <v>14623053.460000001</v>
      </c>
      <c r="AP21" s="1235">
        <f t="shared" ref="AP21" si="10">AL21-AS21-AW21</f>
        <v>-12714944.399999995</v>
      </c>
      <c r="AQ21" s="1019">
        <f>AP21-AO21</f>
        <v>-27337997.859999996</v>
      </c>
      <c r="AR21" s="324">
        <v>11158193.82</v>
      </c>
      <c r="AS21" s="162">
        <v>38496191.68</v>
      </c>
      <c r="AT21" s="339">
        <f>AS21-AR21</f>
        <v>27337997.859999999</v>
      </c>
      <c r="AU21" s="542"/>
      <c r="AV21" s="324">
        <v>9117978.2300000004</v>
      </c>
      <c r="AW21" s="162">
        <v>9117978.2300000004</v>
      </c>
      <c r="AX21" s="339">
        <f>AW21-AV21</f>
        <v>0</v>
      </c>
      <c r="BG21" s="617"/>
      <c r="BH21" s="614"/>
      <c r="BI21" s="618">
        <v>106376.9</v>
      </c>
      <c r="BJ21" s="614"/>
      <c r="BM21" s="628"/>
      <c r="BN21" s="628"/>
      <c r="BQ21" s="617"/>
      <c r="BR21" s="614"/>
      <c r="BS21" s="618">
        <v>106376.9</v>
      </c>
      <c r="BT21" s="614"/>
    </row>
    <row r="22" spans="1:72" ht="22.5" customHeight="1" x14ac:dyDescent="0.3">
      <c r="A22" s="437" t="s">
        <v>159</v>
      </c>
      <c r="B22" s="1214">
        <v>180</v>
      </c>
      <c r="C22" s="1217" t="s">
        <v>149</v>
      </c>
      <c r="D22" s="64">
        <f t="shared" si="9"/>
        <v>0</v>
      </c>
      <c r="E22" s="64">
        <f t="shared" si="9"/>
        <v>0</v>
      </c>
      <c r="F22" s="411">
        <f t="shared" si="1"/>
        <v>0</v>
      </c>
      <c r="G22" s="284"/>
      <c r="H22" s="159"/>
      <c r="I22" s="668">
        <f t="shared" si="7"/>
        <v>0</v>
      </c>
      <c r="J22" s="979"/>
      <c r="K22" s="284"/>
      <c r="L22" s="159"/>
      <c r="M22" s="296"/>
      <c r="N22" s="295"/>
      <c r="O22" s="284"/>
      <c r="P22" s="366"/>
      <c r="Q22" s="277"/>
      <c r="R22" s="308"/>
      <c r="S22" s="373"/>
      <c r="T22" s="526"/>
      <c r="U22" s="308"/>
      <c r="V22" s="154"/>
      <c r="W22" s="357">
        <f t="shared" si="2"/>
        <v>0</v>
      </c>
      <c r="X22" s="380"/>
      <c r="Y22" s="153">
        <f>X22-W22</f>
        <v>0</v>
      </c>
      <c r="Z22" s="357">
        <f>X22-W22</f>
        <v>0</v>
      </c>
      <c r="AA22" s="308"/>
      <c r="AB22" s="154"/>
      <c r="AC22" s="358"/>
      <c r="AD22" s="277"/>
      <c r="AE22" s="154"/>
      <c r="AF22" s="358"/>
      <c r="AG22" s="277"/>
      <c r="AH22" s="154"/>
      <c r="AI22" s="358"/>
      <c r="AJ22" s="423"/>
      <c r="AK22" s="393"/>
      <c r="AL22" s="334">
        <v>0</v>
      </c>
      <c r="AM22" s="161">
        <f t="shared" si="8"/>
        <v>0</v>
      </c>
      <c r="AN22" s="1013">
        <f t="shared" si="5"/>
        <v>0</v>
      </c>
      <c r="AO22" s="336"/>
      <c r="AP22" s="260"/>
      <c r="AQ22" s="1018"/>
      <c r="AR22" s="324"/>
      <c r="AS22" s="162"/>
      <c r="AT22" s="339">
        <f>AS22-AR22</f>
        <v>0</v>
      </c>
      <c r="AU22" s="543" t="s">
        <v>149</v>
      </c>
      <c r="AV22" s="324"/>
      <c r="AW22" s="162"/>
      <c r="AX22" s="339">
        <f>AW22-AV22</f>
        <v>0</v>
      </c>
      <c r="BG22" s="617"/>
      <c r="BH22" s="614"/>
      <c r="BI22" s="618">
        <v>495312.5</v>
      </c>
      <c r="BJ22" s="614"/>
      <c r="BM22" s="628"/>
      <c r="BN22" s="628"/>
      <c r="BP22" s="533">
        <f>BM23-BP23</f>
        <v>60175149.48999995</v>
      </c>
      <c r="BQ22" s="617"/>
      <c r="BR22" s="614"/>
      <c r="BS22" s="618">
        <v>495312.5</v>
      </c>
      <c r="BT22" s="614"/>
    </row>
    <row r="23" spans="1:72" s="115" customFormat="1" x14ac:dyDescent="0.3">
      <c r="A23" s="435" t="s">
        <v>160</v>
      </c>
      <c r="B23" s="1215">
        <v>200</v>
      </c>
      <c r="C23" s="436" t="s">
        <v>149</v>
      </c>
      <c r="D23" s="1010">
        <f>D24+D45+D33</f>
        <v>639380734.995</v>
      </c>
      <c r="E23" s="59">
        <f>H23+R23+AM23+AK23</f>
        <v>3309144542.6149993</v>
      </c>
      <c r="F23" s="410">
        <f t="shared" si="1"/>
        <v>2669763807.6199994</v>
      </c>
      <c r="G23" s="293">
        <f>G24+G29+G33+G42+G45+G67+G71</f>
        <v>239742190.98000002</v>
      </c>
      <c r="H23" s="157">
        <f>H24+H36+H45</f>
        <v>244268522.46000001</v>
      </c>
      <c r="I23" s="667">
        <f>H23-G23</f>
        <v>4526331.4799999893</v>
      </c>
      <c r="J23" s="882">
        <f>J24+J33+J45</f>
        <v>121550240.5065745</v>
      </c>
      <c r="K23" s="157">
        <f>K24+K29+K33+K42+K45+K67+K71</f>
        <v>73111481.360000014</v>
      </c>
      <c r="L23" s="157">
        <f>L24+L29+L33+L42+L45+L67+L71</f>
        <v>87817273.16342552</v>
      </c>
      <c r="M23" s="294">
        <f>L23-K23</f>
        <v>14705791.803425506</v>
      </c>
      <c r="N23" s="283">
        <f>N24+N29+N33+N42+N45+N67+N71</f>
        <v>45080469.109999999</v>
      </c>
      <c r="O23" s="283">
        <f>O24+O29+O33+O42+O45+O67+O71</f>
        <v>34901008.789999999</v>
      </c>
      <c r="P23" s="365">
        <f>O23-N23</f>
        <v>-10179460.32</v>
      </c>
      <c r="Q23" s="276">
        <f>Q24+Q29+Q41+Q42+Q67+Q45+Q33</f>
        <v>1658328676.1500003</v>
      </c>
      <c r="R23" s="307">
        <f>R24+R29+R41+R42+R67+R45+R33</f>
        <v>2663328676.1399994</v>
      </c>
      <c r="S23" s="372">
        <f>R23-Q23</f>
        <v>1004999999.9899991</v>
      </c>
      <c r="T23" s="525">
        <f>T24+T33+T45</f>
        <v>388193676.14999998</v>
      </c>
      <c r="U23" s="307">
        <f>U24+U33+U45</f>
        <v>1216891000</v>
      </c>
      <c r="V23" s="153">
        <f>V24+V33+V45</f>
        <v>2221891000</v>
      </c>
      <c r="W23" s="357">
        <f t="shared" si="2"/>
        <v>1005000000</v>
      </c>
      <c r="X23" s="379">
        <f>X24+X29+X41+X42+X67+X45+X33</f>
        <v>22131000</v>
      </c>
      <c r="Y23" s="153">
        <f>Y24+Y29+Y41+Y42+Y67+Y45+Y33</f>
        <v>22131000</v>
      </c>
      <c r="Z23" s="357">
        <f>Z24+Z29+Z41+Z42+Z67+Z45+Z33</f>
        <v>0</v>
      </c>
      <c r="AA23" s="307">
        <v>6878578.4699999997</v>
      </c>
      <c r="AB23" s="153">
        <f t="shared" ref="AB23:AE23" si="11">AB24+AB29+AB41+AB42+AB67+AB45+AB33</f>
        <v>6878578.4699999997</v>
      </c>
      <c r="AC23" s="357">
        <f>AB23-AA23</f>
        <v>0</v>
      </c>
      <c r="AD23" s="153">
        <v>15071900</v>
      </c>
      <c r="AE23" s="153">
        <f t="shared" si="11"/>
        <v>15071900</v>
      </c>
      <c r="AF23" s="357">
        <f>AE23-AD23</f>
        <v>0</v>
      </c>
      <c r="AG23" s="153">
        <v>9162521.5199999996</v>
      </c>
      <c r="AH23" s="153">
        <f t="shared" ref="AH23" si="12">AH24+AH29+AH41+AH42+AH67+AH45+AH33</f>
        <v>9162521.5199999996</v>
      </c>
      <c r="AI23" s="357">
        <f>AH23-AG23</f>
        <v>0</v>
      </c>
      <c r="AJ23" s="422">
        <f>AJ24+AJ29+AJ36+AJ41+AJ42+AJ67+AJ45</f>
        <v>0</v>
      </c>
      <c r="AK23" s="396">
        <f>AK24+AK29+AK41+AK42+AK45+AK67+AK33</f>
        <v>1908800</v>
      </c>
      <c r="AL23" s="334">
        <v>399638544.01499999</v>
      </c>
      <c r="AM23" s="161">
        <f>AP23+AS23+AW23</f>
        <v>399638544.01500005</v>
      </c>
      <c r="AN23" s="1013">
        <f t="shared" si="5"/>
        <v>0</v>
      </c>
      <c r="AO23" s="334">
        <v>315793818.92446357</v>
      </c>
      <c r="AP23" s="161">
        <f>AP24+AP29+AP41+AP42+AP67+AP45+AP33</f>
        <v>316260265.995</v>
      </c>
      <c r="AQ23" s="406">
        <f>AP23-AO23</f>
        <v>466447.07053643465</v>
      </c>
      <c r="AR23" s="161">
        <f>AR24+AR29+AR41+AR42+AR45+AR67+AR33</f>
        <v>55953690.5</v>
      </c>
      <c r="AS23" s="161">
        <f>AS24+AS29+AS41+AS42+AS45+AS67+AS33</f>
        <v>71106480.590000004</v>
      </c>
      <c r="AT23" s="335">
        <f>AS23-AR23</f>
        <v>15152790.090000004</v>
      </c>
      <c r="AU23" s="539">
        <f>AU24+AU29+AU36+AU41+AU42+AU67+AU45</f>
        <v>0</v>
      </c>
      <c r="AV23" s="161">
        <f>AV24+AV29+AV41+AV42+AV45+AV67+AV33</f>
        <v>12271797.430000002</v>
      </c>
      <c r="AW23" s="161">
        <f>AW24+AW29+AW41+AW42+AW45+AW67+AW33</f>
        <v>12271797.430000002</v>
      </c>
      <c r="AX23" s="335">
        <f>AW23-AV23</f>
        <v>0</v>
      </c>
      <c r="AZ23" s="969">
        <v>315793818.93169999</v>
      </c>
      <c r="BA23" s="135">
        <f>AZ23-AP23</f>
        <v>-466447.06330001354</v>
      </c>
      <c r="BG23" s="334">
        <f>BG24+BG29+BG41+BG42+BG45+BG67+BG33</f>
        <v>0</v>
      </c>
      <c r="BH23" s="539">
        <f>BH24+BH29+BH41+BH42+BH45+BH67+BH33</f>
        <v>15071900</v>
      </c>
      <c r="BI23" s="334">
        <f t="shared" ref="BI23:BJ23" si="13">BI24+BI29+BI41+BI42+BI45+BI67+BI33</f>
        <v>69438047.340000004</v>
      </c>
      <c r="BJ23" s="539">
        <f t="shared" si="13"/>
        <v>-60275525.819999993</v>
      </c>
      <c r="BM23" s="628">
        <f>AL23</f>
        <v>399638544.01499999</v>
      </c>
      <c r="BN23" s="628">
        <f t="shared" ref="BN23:BN74" si="14">BQ23+BS23</f>
        <v>331661665.28999996</v>
      </c>
      <c r="BO23" s="535">
        <f>BM23-BN23</f>
        <v>67976878.725000024</v>
      </c>
      <c r="BP23" s="334">
        <f>BP24+BP29+BP41+BP42+BP45+BP67+BP33</f>
        <v>339463394.52500004</v>
      </c>
      <c r="BQ23" s="334">
        <f>BQ24+BQ29+BQ41+BQ42+BQ45+BQ67+BQ33</f>
        <v>262223617.94999999</v>
      </c>
      <c r="BR23" s="539">
        <f>BR24+BR29+BR41+BR42+BR45+BR67+BR33</f>
        <v>69189438.135000005</v>
      </c>
      <c r="BS23" s="334">
        <f t="shared" ref="BS23:BT23" si="15">BS24+BS29+BS41+BS42+BS45+BS67+BS33</f>
        <v>69438047.340000004</v>
      </c>
      <c r="BT23" s="539">
        <f t="shared" si="15"/>
        <v>-13484356.840000002</v>
      </c>
    </row>
    <row r="24" spans="1:72" s="115" customFormat="1" ht="18.75" customHeight="1" x14ac:dyDescent="0.3">
      <c r="A24" s="435" t="s">
        <v>161</v>
      </c>
      <c r="B24" s="1215">
        <v>210</v>
      </c>
      <c r="C24" s="436">
        <v>110</v>
      </c>
      <c r="D24" s="430">
        <f>D26+D27+D28</f>
        <v>397349570.79999995</v>
      </c>
      <c r="E24" s="59">
        <f>H24+R24+AM24+AK24</f>
        <v>424149150.21000004</v>
      </c>
      <c r="F24" s="410">
        <f t="shared" si="1"/>
        <v>26799579.410000086</v>
      </c>
      <c r="G24" s="293">
        <f>G26+G27+G28</f>
        <v>187885462.61000001</v>
      </c>
      <c r="H24" s="157">
        <f>H26+H27+H28</f>
        <v>187885462.61000001</v>
      </c>
      <c r="I24" s="667">
        <f>H24-G24</f>
        <v>0</v>
      </c>
      <c r="J24" s="882">
        <f>J26+J27+J28</f>
        <v>121550240.5065745</v>
      </c>
      <c r="K24" s="157">
        <f>K26+K27+K28</f>
        <v>40250801.520000003</v>
      </c>
      <c r="L24" s="157">
        <f>L26+L27+L28</f>
        <v>48365622.103425518</v>
      </c>
      <c r="M24" s="294">
        <f>L24-K24</f>
        <v>8114820.5834255144</v>
      </c>
      <c r="N24" s="283">
        <f>N26+N27+N28</f>
        <v>26084420.580000002</v>
      </c>
      <c r="O24" s="283">
        <f>O26+O27+O28</f>
        <v>17969600</v>
      </c>
      <c r="P24" s="365">
        <f>O24-N24</f>
        <v>-8114820.5800000019</v>
      </c>
      <c r="Q24" s="276">
        <f>Q26+Q27+Q28</f>
        <v>24940779.410000004</v>
      </c>
      <c r="R24" s="307">
        <f>R26+R27+R28</f>
        <v>24940779.41</v>
      </c>
      <c r="S24" s="372">
        <f>R24-Q24</f>
        <v>0</v>
      </c>
      <c r="T24" s="525">
        <f>T26+T27</f>
        <v>0</v>
      </c>
      <c r="U24" s="307">
        <v>0</v>
      </c>
      <c r="V24" s="153">
        <f>V26+V27+V28</f>
        <v>0</v>
      </c>
      <c r="W24" s="357">
        <f t="shared" si="2"/>
        <v>0</v>
      </c>
      <c r="X24" s="379">
        <f>X26+X27+X28</f>
        <v>9868879.4100000001</v>
      </c>
      <c r="Y24" s="153">
        <f>Y26+Y27+Y28</f>
        <v>9868879.4100000001</v>
      </c>
      <c r="Z24" s="357">
        <f>Z26+Z27+Z28</f>
        <v>0</v>
      </c>
      <c r="AA24" s="307">
        <v>0</v>
      </c>
      <c r="AB24" s="153">
        <f>AB26+AB27</f>
        <v>0</v>
      </c>
      <c r="AC24" s="357">
        <f>AB24-AA24</f>
        <v>0</v>
      </c>
      <c r="AD24" s="153">
        <v>15071900</v>
      </c>
      <c r="AE24" s="153">
        <f>AE26+AE27</f>
        <v>15071900</v>
      </c>
      <c r="AF24" s="357">
        <f>AE24-AD24</f>
        <v>0</v>
      </c>
      <c r="AG24" s="153">
        <v>0</v>
      </c>
      <c r="AH24" s="153">
        <f>AH26+AH27</f>
        <v>0</v>
      </c>
      <c r="AI24" s="357">
        <f>AH24-AG24</f>
        <v>0</v>
      </c>
      <c r="AJ24" s="422">
        <f>AJ26+AJ27+AJ28</f>
        <v>0</v>
      </c>
      <c r="AK24" s="396">
        <f>AK26+AK27+AK28</f>
        <v>1858800</v>
      </c>
      <c r="AL24" s="334">
        <v>209464108.19</v>
      </c>
      <c r="AM24" s="161">
        <f>AP24+AS24+AW24</f>
        <v>209464108.19000003</v>
      </c>
      <c r="AN24" s="1013">
        <f t="shared" si="5"/>
        <v>0</v>
      </c>
      <c r="AO24" s="334">
        <f>AO26+AO27+AO28</f>
        <v>170310396.47</v>
      </c>
      <c r="AP24" s="161">
        <f>AP26+AP27+AP28</f>
        <v>161117518.49000001</v>
      </c>
      <c r="AQ24" s="406">
        <f>AP24-AO24</f>
        <v>-9192877.9799999893</v>
      </c>
      <c r="AR24" s="161">
        <f>AR26+AR27+AR28</f>
        <v>32053015.510000002</v>
      </c>
      <c r="AS24" s="161">
        <f>AS26+AS27+AS28</f>
        <v>41245893.489999995</v>
      </c>
      <c r="AT24" s="335">
        <f>AS24-AR24</f>
        <v>9192877.979999993</v>
      </c>
      <c r="AU24" s="539">
        <f>AU26+AU27+AU28</f>
        <v>0</v>
      </c>
      <c r="AV24" s="161">
        <f>AV26+AV27+AV28</f>
        <v>7100696.21</v>
      </c>
      <c r="AW24" s="161">
        <f>AW26+AW27+AW28</f>
        <v>7100696.21</v>
      </c>
      <c r="AX24" s="335">
        <f>AW24-AV24</f>
        <v>0</v>
      </c>
      <c r="BG24" s="334">
        <f>BG26+BG27+BG28</f>
        <v>0</v>
      </c>
      <c r="BH24" s="539">
        <f>BH26+BH27+BH28</f>
        <v>15071900</v>
      </c>
      <c r="BI24" s="334">
        <f t="shared" ref="BI24:BJ24" si="16">BI26+BI27+BI28</f>
        <v>43280242.210000001</v>
      </c>
      <c r="BJ24" s="539">
        <f t="shared" si="16"/>
        <v>-43280242.210000001</v>
      </c>
      <c r="BM24" s="628">
        <f>AL24</f>
        <v>209464108.19</v>
      </c>
      <c r="BN24" s="628">
        <f t="shared" si="14"/>
        <v>198794090.73000002</v>
      </c>
      <c r="BO24" s="535">
        <f t="shared" ref="BO24:BO74" si="17">BM24-BN24</f>
        <v>10670017.459999979</v>
      </c>
      <c r="BP24" s="334">
        <f>BP26+BP27+BP28</f>
        <v>207156438.47000003</v>
      </c>
      <c r="BQ24" s="334">
        <f>BQ26+BQ27+BQ28</f>
        <v>155513848.52000001</v>
      </c>
      <c r="BR24" s="539">
        <f>BR26+BR27+BR28</f>
        <v>14796547.949999996</v>
      </c>
      <c r="BS24" s="334">
        <f t="shared" ref="BS24:BT24" si="18">BS26+BS27+BS28</f>
        <v>43280242.210000001</v>
      </c>
      <c r="BT24" s="539">
        <f t="shared" si="18"/>
        <v>-11227226.700000003</v>
      </c>
    </row>
    <row r="25" spans="1:72" x14ac:dyDescent="0.3">
      <c r="A25" s="437" t="s">
        <v>92</v>
      </c>
      <c r="B25" s="133"/>
      <c r="C25" s="438"/>
      <c r="D25" s="431"/>
      <c r="E25" s="59">
        <f>H25+R25+AL25+AK25</f>
        <v>0</v>
      </c>
      <c r="F25" s="410">
        <f t="shared" si="1"/>
        <v>0</v>
      </c>
      <c r="G25" s="285"/>
      <c r="H25" s="158"/>
      <c r="I25" s="667">
        <f t="shared" ref="I25:I75" si="19">H25-G25</f>
        <v>0</v>
      </c>
      <c r="J25" s="881"/>
      <c r="K25" s="285"/>
      <c r="L25" s="158"/>
      <c r="M25" s="298"/>
      <c r="N25" s="297"/>
      <c r="O25" s="285"/>
      <c r="P25" s="367"/>
      <c r="Q25" s="279"/>
      <c r="R25" s="310"/>
      <c r="S25" s="375"/>
      <c r="T25" s="528"/>
      <c r="U25" s="310"/>
      <c r="V25" s="63"/>
      <c r="W25" s="357">
        <f t="shared" si="2"/>
        <v>0</v>
      </c>
      <c r="X25" s="382"/>
      <c r="Y25" s="153">
        <f>X25-W25</f>
        <v>0</v>
      </c>
      <c r="Z25" s="357">
        <f>X25-W25</f>
        <v>0</v>
      </c>
      <c r="AA25" s="310"/>
      <c r="AB25" s="63"/>
      <c r="AC25" s="360"/>
      <c r="AD25" s="279"/>
      <c r="AE25" s="63"/>
      <c r="AF25" s="360"/>
      <c r="AG25" s="279"/>
      <c r="AH25" s="63"/>
      <c r="AI25" s="360"/>
      <c r="AJ25" s="425"/>
      <c r="AK25" s="395"/>
      <c r="AL25" s="334">
        <v>0</v>
      </c>
      <c r="AM25" s="161">
        <f t="shared" ref="AM25:AM73" si="20">AP25+AS25+AW25</f>
        <v>0</v>
      </c>
      <c r="AN25" s="1013">
        <f t="shared" si="5"/>
        <v>0</v>
      </c>
      <c r="AO25" s="338"/>
      <c r="AP25" s="162"/>
      <c r="AQ25" s="1019"/>
      <c r="AR25" s="324"/>
      <c r="AS25" s="162"/>
      <c r="AT25" s="339"/>
      <c r="AU25" s="540"/>
      <c r="AV25" s="324"/>
      <c r="AW25" s="162"/>
      <c r="AX25" s="339"/>
      <c r="BG25" s="617"/>
      <c r="BH25" s="614"/>
      <c r="BI25" s="625"/>
      <c r="BJ25" s="614"/>
      <c r="BM25" s="628">
        <f t="shared" ref="BM25:BM76" si="21">AL25</f>
        <v>0</v>
      </c>
      <c r="BN25" s="628">
        <f t="shared" si="14"/>
        <v>0</v>
      </c>
      <c r="BO25" s="535">
        <f t="shared" si="17"/>
        <v>0</v>
      </c>
      <c r="BP25" s="533"/>
      <c r="BQ25" s="617"/>
      <c r="BR25" s="614"/>
      <c r="BS25" s="625"/>
      <c r="BT25" s="614"/>
    </row>
    <row r="26" spans="1:72" ht="18.75" customHeight="1" x14ac:dyDescent="0.3">
      <c r="A26" s="437" t="s">
        <v>162</v>
      </c>
      <c r="B26" s="1385">
        <v>211</v>
      </c>
      <c r="C26" s="1217">
        <v>111</v>
      </c>
      <c r="D26" s="431">
        <v>303725698.51999998</v>
      </c>
      <c r="E26" s="64">
        <f>H26+R26+AM26+AK26</f>
        <v>324309100.47144389</v>
      </c>
      <c r="F26" s="1072">
        <f t="shared" si="1"/>
        <v>20583401.951443911</v>
      </c>
      <c r="G26" s="285">
        <v>143436558.53</v>
      </c>
      <c r="H26" s="158">
        <v>143436558.53</v>
      </c>
      <c r="I26" s="1071">
        <f t="shared" si="19"/>
        <v>0</v>
      </c>
      <c r="J26" s="881">
        <f>'расчет норматив'!AB10+'ПФХД 2019 с разб 9 мес (2)'!L100</f>
        <v>93378135.336574495</v>
      </c>
      <c r="K26" s="285">
        <v>30201086.870000001</v>
      </c>
      <c r="L26" s="158">
        <f>G26-J26-O26</f>
        <v>36258423.193425506</v>
      </c>
      <c r="M26" s="298">
        <f>L26-K26</f>
        <v>6057336.3234255053</v>
      </c>
      <c r="N26" s="285">
        <v>19857336.32</v>
      </c>
      <c r="O26" s="285">
        <v>13800000</v>
      </c>
      <c r="P26" s="367">
        <f>O26-N26</f>
        <v>-6057336.3200000003</v>
      </c>
      <c r="Q26" s="279">
        <f>19155752.18+0.0014439+0.00000003353</f>
        <v>19155752.181443933</v>
      </c>
      <c r="R26" s="310">
        <f>T26+V26+Y26+AB26+AE26+AH26</f>
        <v>19155752.181443933</v>
      </c>
      <c r="S26" s="1075">
        <f>R26-Q26</f>
        <v>0</v>
      </c>
      <c r="T26" s="528"/>
      <c r="U26" s="310"/>
      <c r="V26" s="63"/>
      <c r="W26" s="357">
        <f t="shared" si="2"/>
        <v>0</v>
      </c>
      <c r="X26" s="382">
        <v>7579792.1200000001</v>
      </c>
      <c r="Y26" s="63">
        <v>7579792.1200000001</v>
      </c>
      <c r="Z26" s="360"/>
      <c r="AA26" s="310"/>
      <c r="AB26" s="63"/>
      <c r="AC26" s="360">
        <f>AB26-AA26</f>
        <v>0</v>
      </c>
      <c r="AD26" s="63">
        <v>11575960.061443932</v>
      </c>
      <c r="AE26" s="63">
        <f>15071900/1.302</f>
        <v>11575960.061443932</v>
      </c>
      <c r="AF26" s="360">
        <f>AE26-AD26</f>
        <v>0</v>
      </c>
      <c r="AG26" s="279"/>
      <c r="AH26" s="63"/>
      <c r="AI26" s="360">
        <f>AH26-AG26</f>
        <v>0</v>
      </c>
      <c r="AJ26" s="425"/>
      <c r="AK26" s="395">
        <v>1427649.77</v>
      </c>
      <c r="AL26" s="334">
        <v>160289139.99000001</v>
      </c>
      <c r="AM26" s="161">
        <f t="shared" si="20"/>
        <v>160289139.99000001</v>
      </c>
      <c r="AN26" s="1013">
        <f t="shared" si="5"/>
        <v>0</v>
      </c>
      <c r="AO26" s="338">
        <v>130433900.66</v>
      </c>
      <c r="AP26" s="162">
        <f t="shared" ref="AP26:AP29" si="22">AL26-AS26-AW26</f>
        <v>123511925.69000001</v>
      </c>
      <c r="AQ26" s="1019">
        <f>AP26-AO26</f>
        <v>-6921974.9699999839</v>
      </c>
      <c r="AR26" s="324">
        <v>24449679.02</v>
      </c>
      <c r="AS26" s="162">
        <v>31371653.989999998</v>
      </c>
      <c r="AT26" s="339">
        <f>AS26-AR26</f>
        <v>6921974.9699999988</v>
      </c>
      <c r="AU26" s="540"/>
      <c r="AV26" s="324">
        <v>5405560.3099999996</v>
      </c>
      <c r="AW26" s="162">
        <v>5405560.3099999996</v>
      </c>
      <c r="AX26" s="339">
        <f>AW26-AV26</f>
        <v>0</v>
      </c>
      <c r="BG26" s="617"/>
      <c r="BH26" s="621">
        <f>AE26-BG26</f>
        <v>11575960.061443932</v>
      </c>
      <c r="BI26" s="617">
        <v>33573582.210000001</v>
      </c>
      <c r="BJ26" s="621">
        <f>AH26-BI26</f>
        <v>-33573582.210000001</v>
      </c>
      <c r="BM26" s="629">
        <f t="shared" si="21"/>
        <v>160289139.99000001</v>
      </c>
      <c r="BN26" s="629">
        <f t="shared" si="14"/>
        <v>151333957.74000001</v>
      </c>
      <c r="BO26" s="533">
        <f t="shared" si="17"/>
        <v>8955182.25</v>
      </c>
      <c r="BP26" s="533">
        <f>BM26</f>
        <v>160289139.99000001</v>
      </c>
      <c r="BQ26" s="617">
        <v>117760375.53</v>
      </c>
      <c r="BR26" s="621">
        <f>AO26-BQ26</f>
        <v>12673525.129999995</v>
      </c>
      <c r="BS26" s="617">
        <v>33573582.210000001</v>
      </c>
      <c r="BT26" s="621">
        <f>AR26-BS26</f>
        <v>-9123903.1900000013</v>
      </c>
    </row>
    <row r="27" spans="1:72" ht="18.75" customHeight="1" x14ac:dyDescent="0.3">
      <c r="A27" s="437" t="s">
        <v>163</v>
      </c>
      <c r="B27" s="1385"/>
      <c r="C27" s="1217">
        <v>119</v>
      </c>
      <c r="D27" s="431">
        <v>92331556.010000005</v>
      </c>
      <c r="E27" s="64">
        <f>H27+R27+AM27+AK27</f>
        <v>98547733.468556076</v>
      </c>
      <c r="F27" s="1073">
        <f t="shared" si="1"/>
        <v>6216177.4585560709</v>
      </c>
      <c r="G27" s="285">
        <v>43924235.740000002</v>
      </c>
      <c r="H27" s="158">
        <v>43924235.740000002</v>
      </c>
      <c r="I27" s="669">
        <f t="shared" si="19"/>
        <v>0</v>
      </c>
      <c r="J27" s="881">
        <f>'расчет норматив'!AB11+'ПФХД 2019 с разб 9 мес (2)'!M101</f>
        <v>28172105.169999998</v>
      </c>
      <c r="K27" s="285">
        <v>9701799.1500000004</v>
      </c>
      <c r="L27" s="158">
        <f t="shared" ref="L27:L28" si="23">G27-J27-O27</f>
        <v>11584530.570000004</v>
      </c>
      <c r="M27" s="298">
        <f>L27-K27</f>
        <v>1882731.4200000037</v>
      </c>
      <c r="N27" s="285">
        <v>6050331.4199999999</v>
      </c>
      <c r="O27" s="285">
        <v>4167600</v>
      </c>
      <c r="P27" s="367">
        <f>O27-N27</f>
        <v>-1882731.42</v>
      </c>
      <c r="Q27" s="279">
        <f>5785027.23-0.00144393</f>
        <v>5785027.2285560705</v>
      </c>
      <c r="R27" s="310">
        <f>T27+V27+Y27+AB27+AE27+AH27</f>
        <v>5785027.2285560677</v>
      </c>
      <c r="S27" s="1074">
        <f>R27-Q27</f>
        <v>0</v>
      </c>
      <c r="T27" s="528"/>
      <c r="U27" s="310"/>
      <c r="V27" s="63"/>
      <c r="W27" s="357">
        <f t="shared" si="2"/>
        <v>0</v>
      </c>
      <c r="X27" s="382">
        <v>2289087.29</v>
      </c>
      <c r="Y27" s="63">
        <v>2289087.29</v>
      </c>
      <c r="Z27" s="360"/>
      <c r="AA27" s="310"/>
      <c r="AB27" s="63"/>
      <c r="AC27" s="360">
        <f>AB27-AA27</f>
        <v>0</v>
      </c>
      <c r="AD27" s="63">
        <v>3495939.9385560676</v>
      </c>
      <c r="AE27" s="63">
        <f>15071900-AE26</f>
        <v>3495939.9385560676</v>
      </c>
      <c r="AF27" s="360">
        <f>AE27-AD27</f>
        <v>0</v>
      </c>
      <c r="AG27" s="279"/>
      <c r="AH27" s="63"/>
      <c r="AI27" s="360">
        <f>AH27-AG27</f>
        <v>0</v>
      </c>
      <c r="AJ27" s="425"/>
      <c r="AK27" s="395">
        <v>431150.23</v>
      </c>
      <c r="AL27" s="334">
        <v>48407320.270000003</v>
      </c>
      <c r="AM27" s="161">
        <f t="shared" si="20"/>
        <v>48407320.270000003</v>
      </c>
      <c r="AN27" s="1013">
        <f t="shared" si="5"/>
        <v>0</v>
      </c>
      <c r="AO27" s="338">
        <v>39376495.810000002</v>
      </c>
      <c r="AP27" s="162">
        <f t="shared" si="22"/>
        <v>37286060.5</v>
      </c>
      <c r="AQ27" s="1019">
        <f>AP27-AO27</f>
        <v>-2090435.3100000024</v>
      </c>
      <c r="AR27" s="324">
        <v>7383804.1900000004</v>
      </c>
      <c r="AS27" s="162">
        <v>9474239.5</v>
      </c>
      <c r="AT27" s="339">
        <f>AS27-AR27</f>
        <v>2090435.3099999996</v>
      </c>
      <c r="AU27" s="540"/>
      <c r="AV27" s="324">
        <v>1647020.27</v>
      </c>
      <c r="AW27" s="162">
        <v>1647020.27</v>
      </c>
      <c r="AX27" s="339">
        <f>AW27-AV27</f>
        <v>0</v>
      </c>
      <c r="BG27" s="617"/>
      <c r="BH27" s="621">
        <f>AE27-BG27</f>
        <v>3495939.9385560676</v>
      </c>
      <c r="BI27" s="617">
        <v>9464700.4900000002</v>
      </c>
      <c r="BJ27" s="621">
        <f t="shared" ref="BJ27:BJ28" si="24">AH27-BI27</f>
        <v>-9464700.4900000002</v>
      </c>
      <c r="BM27" s="629">
        <f t="shared" si="21"/>
        <v>48407320.270000003</v>
      </c>
      <c r="BN27" s="629">
        <f t="shared" si="14"/>
        <v>46099650.550000004</v>
      </c>
      <c r="BO27" s="533">
        <f t="shared" si="17"/>
        <v>2307669.7199999988</v>
      </c>
      <c r="BP27" s="533">
        <f>BN27</f>
        <v>46099650.550000004</v>
      </c>
      <c r="BQ27" s="617">
        <f>36338408.06+96542+200000</f>
        <v>36634950.060000002</v>
      </c>
      <c r="BR27" s="621">
        <f>AO27-BQ27</f>
        <v>2741545.75</v>
      </c>
      <c r="BS27" s="617">
        <v>9464700.4900000002</v>
      </c>
      <c r="BT27" s="621">
        <f t="shared" ref="BT27:BT28" si="25">AR27-BS27</f>
        <v>-2080896.2999999998</v>
      </c>
    </row>
    <row r="28" spans="1:72" ht="39.75" customHeight="1" x14ac:dyDescent="0.3">
      <c r="A28" s="437" t="s">
        <v>164</v>
      </c>
      <c r="B28" s="1385"/>
      <c r="C28" s="1217">
        <v>112</v>
      </c>
      <c r="D28" s="431">
        <v>1292316.27</v>
      </c>
      <c r="E28" s="64">
        <f>H28+R28+AM28+AK28</f>
        <v>1292316.27</v>
      </c>
      <c r="F28" s="410">
        <f t="shared" si="1"/>
        <v>0</v>
      </c>
      <c r="G28" s="285">
        <v>524668.34</v>
      </c>
      <c r="H28" s="158">
        <f>J28+L28+O28</f>
        <v>524668.34</v>
      </c>
      <c r="I28" s="669">
        <f t="shared" si="19"/>
        <v>0</v>
      </c>
      <c r="J28" s="881"/>
      <c r="K28" s="285">
        <v>347915.5</v>
      </c>
      <c r="L28" s="158">
        <f t="shared" si="23"/>
        <v>522668.33999999997</v>
      </c>
      <c r="M28" s="298">
        <f>L28-K28</f>
        <v>174752.83999999997</v>
      </c>
      <c r="N28" s="285">
        <v>176752.84</v>
      </c>
      <c r="O28" s="285">
        <v>2000</v>
      </c>
      <c r="P28" s="367">
        <f>O28-N28</f>
        <v>-174752.84</v>
      </c>
      <c r="Q28" s="279"/>
      <c r="R28" s="310"/>
      <c r="S28" s="375"/>
      <c r="T28" s="528"/>
      <c r="U28" s="310"/>
      <c r="V28" s="63"/>
      <c r="W28" s="357"/>
      <c r="X28" s="382"/>
      <c r="Y28" s="153"/>
      <c r="Z28" s="357"/>
      <c r="AA28" s="310"/>
      <c r="AB28" s="63"/>
      <c r="AC28" s="360"/>
      <c r="AD28" s="279"/>
      <c r="AE28" s="63"/>
      <c r="AF28" s="360"/>
      <c r="AG28" s="279"/>
      <c r="AH28" s="63"/>
      <c r="AI28" s="360"/>
      <c r="AJ28" s="425"/>
      <c r="AK28" s="395"/>
      <c r="AL28" s="334">
        <v>767647.93</v>
      </c>
      <c r="AM28" s="161">
        <f t="shared" si="20"/>
        <v>767647.93</v>
      </c>
      <c r="AN28" s="1013">
        <f t="shared" si="5"/>
        <v>0</v>
      </c>
      <c r="AO28" s="338">
        <v>500000</v>
      </c>
      <c r="AP28" s="162">
        <f t="shared" si="22"/>
        <v>319532.30000000005</v>
      </c>
      <c r="AQ28" s="1019">
        <f>AP28-AO28</f>
        <v>-180467.69999999995</v>
      </c>
      <c r="AR28" s="324">
        <v>219532.3</v>
      </c>
      <c r="AS28" s="162">
        <v>400000</v>
      </c>
      <c r="AT28" s="339">
        <f>AS28-AR28</f>
        <v>180467.7</v>
      </c>
      <c r="AU28" s="540"/>
      <c r="AV28" s="324">
        <v>48115.63</v>
      </c>
      <c r="AW28" s="162">
        <v>48115.63</v>
      </c>
      <c r="AX28" s="339">
        <f>AW28-AV28</f>
        <v>0</v>
      </c>
      <c r="BG28" s="617"/>
      <c r="BH28" s="621">
        <f>AE28-BG28</f>
        <v>0</v>
      </c>
      <c r="BI28" s="617">
        <v>241959.51</v>
      </c>
      <c r="BJ28" s="621">
        <f t="shared" si="24"/>
        <v>-241959.51</v>
      </c>
      <c r="BM28" s="629">
        <f t="shared" si="21"/>
        <v>767647.93</v>
      </c>
      <c r="BN28" s="629">
        <f t="shared" si="14"/>
        <v>1360482.44</v>
      </c>
      <c r="BO28" s="533">
        <f t="shared" si="17"/>
        <v>-592834.50999999989</v>
      </c>
      <c r="BP28" s="533">
        <f>BM28</f>
        <v>767647.93</v>
      </c>
      <c r="BQ28" s="617">
        <v>1118522.93</v>
      </c>
      <c r="BR28" s="621">
        <f>AO28-BQ28</f>
        <v>-618522.92999999993</v>
      </c>
      <c r="BS28" s="617">
        <v>241959.51</v>
      </c>
      <c r="BT28" s="621">
        <f t="shared" si="25"/>
        <v>-22427.210000000021</v>
      </c>
    </row>
    <row r="29" spans="1:72" s="115" customFormat="1" ht="31.5" x14ac:dyDescent="0.3">
      <c r="A29" s="435" t="s">
        <v>165</v>
      </c>
      <c r="B29" s="1385">
        <v>220</v>
      </c>
      <c r="C29" s="436">
        <v>300</v>
      </c>
      <c r="D29" s="430">
        <v>0</v>
      </c>
      <c r="E29" s="59">
        <f>H29+R29+AL29+AK29</f>
        <v>0</v>
      </c>
      <c r="F29" s="410">
        <f t="shared" si="1"/>
        <v>0</v>
      </c>
      <c r="G29" s="283">
        <f>G31+G32</f>
        <v>0</v>
      </c>
      <c r="H29" s="157"/>
      <c r="I29" s="669">
        <f t="shared" si="19"/>
        <v>0</v>
      </c>
      <c r="J29" s="882"/>
      <c r="K29" s="283"/>
      <c r="L29" s="157"/>
      <c r="M29" s="294"/>
      <c r="N29" s="293"/>
      <c r="O29" s="283"/>
      <c r="P29" s="365"/>
      <c r="Q29" s="276"/>
      <c r="R29" s="307"/>
      <c r="S29" s="372"/>
      <c r="T29" s="525"/>
      <c r="U29" s="307">
        <v>0</v>
      </c>
      <c r="V29" s="153">
        <v>0</v>
      </c>
      <c r="W29" s="357">
        <f t="shared" si="2"/>
        <v>0</v>
      </c>
      <c r="X29" s="379">
        <v>0</v>
      </c>
      <c r="Y29" s="153">
        <f>X29-W29</f>
        <v>0</v>
      </c>
      <c r="Z29" s="357">
        <f>X29-W29</f>
        <v>0</v>
      </c>
      <c r="AA29" s="307"/>
      <c r="AB29" s="153"/>
      <c r="AC29" s="357"/>
      <c r="AD29" s="276"/>
      <c r="AE29" s="153"/>
      <c r="AF29" s="357"/>
      <c r="AG29" s="276"/>
      <c r="AH29" s="153"/>
      <c r="AI29" s="357"/>
      <c r="AJ29" s="422">
        <f>AJ31+AJ32</f>
        <v>0</v>
      </c>
      <c r="AK29" s="396">
        <v>0</v>
      </c>
      <c r="AL29" s="334">
        <v>0</v>
      </c>
      <c r="AM29" s="161">
        <f t="shared" si="20"/>
        <v>0</v>
      </c>
      <c r="AN29" s="1013">
        <f t="shared" si="5"/>
        <v>0</v>
      </c>
      <c r="AO29" s="334"/>
      <c r="AP29" s="162">
        <f t="shared" si="22"/>
        <v>0</v>
      </c>
      <c r="AQ29" s="406"/>
      <c r="AR29" s="323"/>
      <c r="AS29" s="161"/>
      <c r="AT29" s="335"/>
      <c r="AU29" s="539">
        <f>AU31+AU32</f>
        <v>0</v>
      </c>
      <c r="AV29" s="323"/>
      <c r="AW29" s="161"/>
      <c r="AX29" s="335"/>
      <c r="BG29" s="617"/>
      <c r="BH29" s="621">
        <f>AF29-BG29</f>
        <v>0</v>
      </c>
      <c r="BI29" s="617"/>
      <c r="BJ29" s="621"/>
      <c r="BM29" s="628">
        <f t="shared" si="21"/>
        <v>0</v>
      </c>
      <c r="BN29" s="628">
        <f t="shared" si="14"/>
        <v>0</v>
      </c>
      <c r="BO29" s="535">
        <f t="shared" si="17"/>
        <v>0</v>
      </c>
      <c r="BP29" s="533"/>
      <c r="BQ29" s="617"/>
      <c r="BR29" s="621">
        <f>AP29-BQ29</f>
        <v>0</v>
      </c>
      <c r="BS29" s="617"/>
      <c r="BT29" s="621"/>
    </row>
    <row r="30" spans="1:72" x14ac:dyDescent="0.3">
      <c r="A30" s="437" t="s">
        <v>92</v>
      </c>
      <c r="B30" s="1385"/>
      <c r="C30" s="438"/>
      <c r="D30" s="431"/>
      <c r="E30" s="59">
        <f>H30+R30+AL30+AK30</f>
        <v>0</v>
      </c>
      <c r="F30" s="410">
        <f t="shared" si="1"/>
        <v>0</v>
      </c>
      <c r="G30" s="285"/>
      <c r="H30" s="158"/>
      <c r="I30" s="669">
        <f t="shared" si="19"/>
        <v>0</v>
      </c>
      <c r="J30" s="881"/>
      <c r="K30" s="285"/>
      <c r="L30" s="158"/>
      <c r="M30" s="298"/>
      <c r="N30" s="297"/>
      <c r="O30" s="285"/>
      <c r="P30" s="367"/>
      <c r="Q30" s="279"/>
      <c r="R30" s="310"/>
      <c r="S30" s="375"/>
      <c r="T30" s="528"/>
      <c r="U30" s="310"/>
      <c r="V30" s="63"/>
      <c r="W30" s="357">
        <f t="shared" si="2"/>
        <v>0</v>
      </c>
      <c r="X30" s="382"/>
      <c r="Y30" s="153">
        <f>X30-W30</f>
        <v>0</v>
      </c>
      <c r="Z30" s="357">
        <f>X30-W30</f>
        <v>0</v>
      </c>
      <c r="AA30" s="310"/>
      <c r="AB30" s="63"/>
      <c r="AC30" s="360"/>
      <c r="AD30" s="279"/>
      <c r="AE30" s="63"/>
      <c r="AF30" s="360"/>
      <c r="AG30" s="279"/>
      <c r="AH30" s="63"/>
      <c r="AI30" s="360"/>
      <c r="AJ30" s="425"/>
      <c r="AK30" s="395"/>
      <c r="AL30" s="334">
        <v>0</v>
      </c>
      <c r="AM30" s="161">
        <f t="shared" si="20"/>
        <v>0</v>
      </c>
      <c r="AN30" s="1013">
        <f t="shared" si="5"/>
        <v>0</v>
      </c>
      <c r="AO30" s="338"/>
      <c r="AP30" s="162"/>
      <c r="AQ30" s="1019"/>
      <c r="AR30" s="324"/>
      <c r="AS30" s="162"/>
      <c r="AT30" s="339"/>
      <c r="AU30" s="540"/>
      <c r="AV30" s="324"/>
      <c r="AW30" s="162"/>
      <c r="AX30" s="339"/>
      <c r="BG30" s="617"/>
      <c r="BH30" s="621">
        <f>AF30-BG30</f>
        <v>0</v>
      </c>
      <c r="BI30" s="617"/>
      <c r="BJ30" s="621"/>
      <c r="BM30" s="628">
        <f t="shared" si="21"/>
        <v>0</v>
      </c>
      <c r="BN30" s="628">
        <f t="shared" si="14"/>
        <v>0</v>
      </c>
      <c r="BO30" s="535">
        <f t="shared" si="17"/>
        <v>0</v>
      </c>
      <c r="BP30" s="533"/>
      <c r="BQ30" s="617"/>
      <c r="BR30" s="621">
        <f>AP30-BQ30</f>
        <v>0</v>
      </c>
      <c r="BS30" s="617"/>
      <c r="BT30" s="621"/>
    </row>
    <row r="31" spans="1:72" x14ac:dyDescent="0.3">
      <c r="A31" s="1446" t="s">
        <v>166</v>
      </c>
      <c r="B31" s="1385"/>
      <c r="C31" s="1217">
        <v>321</v>
      </c>
      <c r="D31" s="431"/>
      <c r="E31" s="59">
        <f>H31+R31+AL31+AK31</f>
        <v>0</v>
      </c>
      <c r="F31" s="410">
        <f t="shared" si="1"/>
        <v>0</v>
      </c>
      <c r="G31" s="285"/>
      <c r="H31" s="158"/>
      <c r="I31" s="669">
        <f t="shared" si="19"/>
        <v>0</v>
      </c>
      <c r="J31" s="881"/>
      <c r="K31" s="285"/>
      <c r="L31" s="158"/>
      <c r="M31" s="298"/>
      <c r="N31" s="297"/>
      <c r="O31" s="285"/>
      <c r="P31" s="367"/>
      <c r="Q31" s="279"/>
      <c r="R31" s="310"/>
      <c r="S31" s="375"/>
      <c r="T31" s="528"/>
      <c r="U31" s="310"/>
      <c r="V31" s="63"/>
      <c r="W31" s="357">
        <f t="shared" si="2"/>
        <v>0</v>
      </c>
      <c r="X31" s="382"/>
      <c r="Y31" s="153">
        <f>X31-W31</f>
        <v>0</v>
      </c>
      <c r="Z31" s="357">
        <f>X31-W31</f>
        <v>0</v>
      </c>
      <c r="AA31" s="310"/>
      <c r="AB31" s="63"/>
      <c r="AC31" s="360"/>
      <c r="AD31" s="279"/>
      <c r="AE31" s="63"/>
      <c r="AF31" s="360"/>
      <c r="AG31" s="279"/>
      <c r="AH31" s="63"/>
      <c r="AI31" s="360"/>
      <c r="AJ31" s="425"/>
      <c r="AK31" s="395"/>
      <c r="AL31" s="334">
        <v>0</v>
      </c>
      <c r="AM31" s="161">
        <f t="shared" si="20"/>
        <v>0</v>
      </c>
      <c r="AN31" s="1013">
        <f t="shared" si="5"/>
        <v>0</v>
      </c>
      <c r="AO31" s="338"/>
      <c r="AP31" s="162"/>
      <c r="AQ31" s="1019"/>
      <c r="AR31" s="324"/>
      <c r="AS31" s="162"/>
      <c r="AT31" s="339"/>
      <c r="AU31" s="540"/>
      <c r="AV31" s="324"/>
      <c r="AW31" s="162"/>
      <c r="AX31" s="339"/>
      <c r="BG31" s="617"/>
      <c r="BH31" s="621">
        <f>AF31-BG31</f>
        <v>0</v>
      </c>
      <c r="BI31" s="617"/>
      <c r="BJ31" s="621"/>
      <c r="BM31" s="628">
        <f t="shared" si="21"/>
        <v>0</v>
      </c>
      <c r="BN31" s="628">
        <f t="shared" si="14"/>
        <v>0</v>
      </c>
      <c r="BO31" s="535">
        <f t="shared" si="17"/>
        <v>0</v>
      </c>
      <c r="BP31" s="533"/>
      <c r="BQ31" s="617"/>
      <c r="BR31" s="621">
        <f>AP31-BQ31</f>
        <v>0</v>
      </c>
      <c r="BS31" s="617"/>
      <c r="BT31" s="621"/>
    </row>
    <row r="32" spans="1:72" x14ac:dyDescent="0.3">
      <c r="A32" s="1447"/>
      <c r="B32" s="1385"/>
      <c r="C32" s="1217">
        <v>360</v>
      </c>
      <c r="D32" s="431"/>
      <c r="E32" s="59">
        <f>H32+R32+AL32+AK32</f>
        <v>0</v>
      </c>
      <c r="F32" s="410">
        <f t="shared" si="1"/>
        <v>0</v>
      </c>
      <c r="G32" s="285"/>
      <c r="H32" s="158"/>
      <c r="I32" s="669">
        <f t="shared" si="19"/>
        <v>0</v>
      </c>
      <c r="J32" s="881"/>
      <c r="K32" s="285"/>
      <c r="L32" s="158"/>
      <c r="M32" s="298"/>
      <c r="N32" s="297"/>
      <c r="O32" s="285"/>
      <c r="P32" s="367"/>
      <c r="Q32" s="279"/>
      <c r="R32" s="310"/>
      <c r="S32" s="375"/>
      <c r="T32" s="528"/>
      <c r="U32" s="310"/>
      <c r="V32" s="63"/>
      <c r="W32" s="357">
        <f t="shared" si="2"/>
        <v>0</v>
      </c>
      <c r="X32" s="382"/>
      <c r="Y32" s="153">
        <f>X32-W32</f>
        <v>0</v>
      </c>
      <c r="Z32" s="357">
        <f>X32-W32</f>
        <v>0</v>
      </c>
      <c r="AA32" s="310"/>
      <c r="AB32" s="63"/>
      <c r="AC32" s="360"/>
      <c r="AD32" s="279"/>
      <c r="AE32" s="63"/>
      <c r="AF32" s="360"/>
      <c r="AG32" s="279"/>
      <c r="AH32" s="63"/>
      <c r="AI32" s="360"/>
      <c r="AJ32" s="425"/>
      <c r="AK32" s="395"/>
      <c r="AL32" s="334">
        <v>0</v>
      </c>
      <c r="AM32" s="161">
        <f t="shared" si="20"/>
        <v>0</v>
      </c>
      <c r="AN32" s="1013">
        <f t="shared" si="5"/>
        <v>0</v>
      </c>
      <c r="AO32" s="338"/>
      <c r="AP32" s="162"/>
      <c r="AQ32" s="1019"/>
      <c r="AR32" s="324"/>
      <c r="AS32" s="162"/>
      <c r="AT32" s="339"/>
      <c r="AU32" s="540"/>
      <c r="AV32" s="324"/>
      <c r="AW32" s="162"/>
      <c r="AX32" s="339"/>
      <c r="BG32" s="617"/>
      <c r="BH32" s="621">
        <f>AF32-BG32</f>
        <v>0</v>
      </c>
      <c r="BI32" s="617"/>
      <c r="BJ32" s="621"/>
      <c r="BM32" s="628">
        <f t="shared" si="21"/>
        <v>0</v>
      </c>
      <c r="BN32" s="628">
        <f t="shared" si="14"/>
        <v>0</v>
      </c>
      <c r="BO32" s="535">
        <f t="shared" si="17"/>
        <v>0</v>
      </c>
      <c r="BP32" s="533"/>
      <c r="BQ32" s="617"/>
      <c r="BR32" s="621">
        <f>AP32-BQ32</f>
        <v>0</v>
      </c>
      <c r="BS32" s="617"/>
      <c r="BT32" s="621"/>
    </row>
    <row r="33" spans="1:72" s="115" customFormat="1" x14ac:dyDescent="0.3">
      <c r="A33" s="439" t="s">
        <v>167</v>
      </c>
      <c r="B33" s="113"/>
      <c r="C33" s="436">
        <v>800</v>
      </c>
      <c r="D33" s="430">
        <f>D34+D36</f>
        <v>12505888.920000002</v>
      </c>
      <c r="E33" s="59">
        <f>H33+R33+AM33+AK33</f>
        <v>14420120.899999999</v>
      </c>
      <c r="F33" s="410">
        <f t="shared" si="1"/>
        <v>1914231.9799999967</v>
      </c>
      <c r="G33" s="157">
        <v>5201007.6000000006</v>
      </c>
      <c r="H33" s="157">
        <f>H34+H36</f>
        <v>5201007.6000000006</v>
      </c>
      <c r="I33" s="669">
        <f t="shared" si="19"/>
        <v>0</v>
      </c>
      <c r="J33" s="882">
        <f>J34+J36</f>
        <v>0</v>
      </c>
      <c r="K33" s="157">
        <f>K34+K36</f>
        <v>3687692.4899999998</v>
      </c>
      <c r="L33" s="157">
        <f>L34+L36</f>
        <v>4651007.6000000006</v>
      </c>
      <c r="M33" s="294">
        <f>L33-K33</f>
        <v>963315.1100000008</v>
      </c>
      <c r="N33" s="283">
        <f>N34+N36</f>
        <v>1513315.11</v>
      </c>
      <c r="O33" s="283">
        <f>O34+O36</f>
        <v>550000</v>
      </c>
      <c r="P33" s="365">
        <f>O33-N33</f>
        <v>-963315.1100000001</v>
      </c>
      <c r="Q33" s="276">
        <f>Q35+Q36+Q37</f>
        <v>1914231.98</v>
      </c>
      <c r="R33" s="307">
        <f>R35+R36+R37</f>
        <v>1914231.98</v>
      </c>
      <c r="S33" s="372">
        <f>R33-Q33</f>
        <v>0</v>
      </c>
      <c r="T33" s="525">
        <f>T34+T36</f>
        <v>0</v>
      </c>
      <c r="U33" s="307">
        <v>0</v>
      </c>
      <c r="V33" s="153">
        <f t="shared" ref="V33:AK33" si="26">V34+V36</f>
        <v>0</v>
      </c>
      <c r="W33" s="357">
        <f t="shared" si="2"/>
        <v>0</v>
      </c>
      <c r="X33" s="379">
        <f>X34+X36</f>
        <v>1258487.81</v>
      </c>
      <c r="Y33" s="153">
        <f>Y34+Y36</f>
        <v>1258487.81</v>
      </c>
      <c r="Z33" s="357">
        <f>Z34+Z36</f>
        <v>0</v>
      </c>
      <c r="AA33" s="307">
        <v>655744.17000000004</v>
      </c>
      <c r="AB33" s="153">
        <f t="shared" si="26"/>
        <v>655744.17000000004</v>
      </c>
      <c r="AC33" s="357">
        <f>AB33-AA33</f>
        <v>0</v>
      </c>
      <c r="AD33" s="276"/>
      <c r="AE33" s="153"/>
      <c r="AF33" s="357"/>
      <c r="AG33" s="276"/>
      <c r="AH33" s="153"/>
      <c r="AI33" s="357"/>
      <c r="AJ33" s="422">
        <f t="shared" si="26"/>
        <v>0</v>
      </c>
      <c r="AK33" s="396">
        <f t="shared" si="26"/>
        <v>0</v>
      </c>
      <c r="AL33" s="334">
        <v>7304881.3199999994</v>
      </c>
      <c r="AM33" s="161">
        <f t="shared" si="20"/>
        <v>7304881.3199999994</v>
      </c>
      <c r="AN33" s="1013">
        <f t="shared" si="5"/>
        <v>0</v>
      </c>
      <c r="AO33" s="334">
        <f>AO34+AO36</f>
        <v>5729310.8399999999</v>
      </c>
      <c r="AP33" s="161">
        <f>AP34+AP36</f>
        <v>6243055.0099999998</v>
      </c>
      <c r="AQ33" s="406">
        <f>AP33-AO33</f>
        <v>513744.16999999993</v>
      </c>
      <c r="AR33" s="161">
        <f t="shared" ref="AR33:AW33" si="27">AR34+AR36</f>
        <v>1163616.26</v>
      </c>
      <c r="AS33" s="161">
        <f t="shared" si="27"/>
        <v>649872.09000000008</v>
      </c>
      <c r="AT33" s="335">
        <f>AS33-AR33</f>
        <v>-513744.16999999993</v>
      </c>
      <c r="AU33" s="539">
        <f t="shared" si="27"/>
        <v>0</v>
      </c>
      <c r="AV33" s="161">
        <f t="shared" si="27"/>
        <v>411954.22</v>
      </c>
      <c r="AW33" s="161">
        <f t="shared" si="27"/>
        <v>411954.22</v>
      </c>
      <c r="AX33" s="335">
        <f>AW33-AV33</f>
        <v>0</v>
      </c>
      <c r="BG33" s="334">
        <f>BG34+BG36</f>
        <v>0</v>
      </c>
      <c r="BH33" s="539">
        <f t="shared" ref="BH33:BJ33" si="28">BH34+BH36</f>
        <v>0</v>
      </c>
      <c r="BI33" s="334">
        <f t="shared" si="28"/>
        <v>508251.94</v>
      </c>
      <c r="BJ33" s="539">
        <f t="shared" si="28"/>
        <v>-508251.94</v>
      </c>
      <c r="BM33" s="628">
        <f t="shared" si="21"/>
        <v>7304881.3199999994</v>
      </c>
      <c r="BN33" s="628">
        <f t="shared" si="14"/>
        <v>5603626.8600000003</v>
      </c>
      <c r="BO33" s="535">
        <f t="shared" si="17"/>
        <v>1701254.459999999</v>
      </c>
      <c r="BP33" s="334">
        <f>BP34+BP36</f>
        <v>6011062.4199999999</v>
      </c>
      <c r="BQ33" s="334">
        <f>BQ34+BQ36</f>
        <v>5095374.92</v>
      </c>
      <c r="BR33" s="539">
        <f t="shared" ref="BR33:BT33" si="29">BR34+BR36</f>
        <v>633935.91999999981</v>
      </c>
      <c r="BS33" s="334">
        <f t="shared" si="29"/>
        <v>508251.94</v>
      </c>
      <c r="BT33" s="539">
        <f t="shared" si="29"/>
        <v>655364.32000000007</v>
      </c>
    </row>
    <row r="34" spans="1:72" s="115" customFormat="1" x14ac:dyDescent="0.3">
      <c r="A34" s="439" t="s">
        <v>168</v>
      </c>
      <c r="B34" s="113"/>
      <c r="C34" s="436">
        <v>830</v>
      </c>
      <c r="D34" s="59">
        <v>500000</v>
      </c>
      <c r="E34" s="59">
        <f>H34+R34+AM34+AK34</f>
        <v>500000</v>
      </c>
      <c r="F34" s="410">
        <f t="shared" si="1"/>
        <v>0</v>
      </c>
      <c r="G34" s="283">
        <f>SUM(G35)</f>
        <v>0</v>
      </c>
      <c r="H34" s="157"/>
      <c r="I34" s="669">
        <f t="shared" si="19"/>
        <v>0</v>
      </c>
      <c r="J34" s="882"/>
      <c r="K34" s="283"/>
      <c r="L34" s="157"/>
      <c r="M34" s="294"/>
      <c r="N34" s="293"/>
      <c r="O34" s="283"/>
      <c r="P34" s="365"/>
      <c r="Q34" s="276"/>
      <c r="R34" s="307"/>
      <c r="S34" s="372"/>
      <c r="T34" s="525"/>
      <c r="U34" s="307">
        <v>0</v>
      </c>
      <c r="V34" s="153">
        <f t="shared" ref="V34:AK34" si="30">SUM(V35)</f>
        <v>0</v>
      </c>
      <c r="W34" s="357">
        <f t="shared" si="2"/>
        <v>0</v>
      </c>
      <c r="X34" s="379">
        <f t="shared" si="30"/>
        <v>0</v>
      </c>
      <c r="Y34" s="153">
        <f>X34-W34</f>
        <v>0</v>
      </c>
      <c r="Z34" s="357">
        <f>X34-W34</f>
        <v>0</v>
      </c>
      <c r="AA34" s="307"/>
      <c r="AB34" s="153"/>
      <c r="AC34" s="357"/>
      <c r="AD34" s="276"/>
      <c r="AE34" s="153"/>
      <c r="AF34" s="357"/>
      <c r="AG34" s="276"/>
      <c r="AH34" s="153"/>
      <c r="AI34" s="357"/>
      <c r="AJ34" s="422">
        <f t="shared" si="30"/>
        <v>0</v>
      </c>
      <c r="AK34" s="396">
        <f t="shared" si="30"/>
        <v>0</v>
      </c>
      <c r="AL34" s="334">
        <v>500000</v>
      </c>
      <c r="AM34" s="161">
        <f t="shared" si="20"/>
        <v>500000</v>
      </c>
      <c r="AN34" s="1013">
        <f t="shared" si="5"/>
        <v>0</v>
      </c>
      <c r="AO34" s="334">
        <v>500000</v>
      </c>
      <c r="AP34" s="161">
        <f>AP35</f>
        <v>500000</v>
      </c>
      <c r="AQ34" s="406"/>
      <c r="AR34" s="323"/>
      <c r="AS34" s="161"/>
      <c r="AT34" s="335"/>
      <c r="AU34" s="539">
        <f t="shared" ref="AU34" si="31">SUM(AU35)</f>
        <v>0</v>
      </c>
      <c r="AV34" s="323"/>
      <c r="AW34" s="161"/>
      <c r="AX34" s="335"/>
      <c r="AZ34" s="1218" t="s">
        <v>237</v>
      </c>
      <c r="BG34" s="617"/>
      <c r="BH34" s="621">
        <f>BH35</f>
        <v>0</v>
      </c>
      <c r="BI34" s="617"/>
      <c r="BJ34" s="621"/>
      <c r="BM34" s="629">
        <f t="shared" si="21"/>
        <v>500000</v>
      </c>
      <c r="BN34" s="629">
        <f t="shared" si="14"/>
        <v>207144.42</v>
      </c>
      <c r="BO34" s="533">
        <f t="shared" si="17"/>
        <v>292855.57999999996</v>
      </c>
      <c r="BP34" s="533">
        <f>BP35</f>
        <v>207144.42</v>
      </c>
      <c r="BQ34" s="617">
        <f>BQ35</f>
        <v>207144.42</v>
      </c>
      <c r="BR34" s="621">
        <f>BR35</f>
        <v>292855.57999999996</v>
      </c>
      <c r="BS34" s="617"/>
      <c r="BT34" s="621"/>
    </row>
    <row r="35" spans="1:72" ht="63" x14ac:dyDescent="0.3">
      <c r="A35" s="440" t="s">
        <v>169</v>
      </c>
      <c r="B35" s="1216"/>
      <c r="C35" s="1217">
        <v>831</v>
      </c>
      <c r="D35" s="64">
        <v>500000</v>
      </c>
      <c r="E35" s="64">
        <f>H35+R35+AM35+AK35</f>
        <v>500000</v>
      </c>
      <c r="F35" s="411">
        <f t="shared" si="1"/>
        <v>0</v>
      </c>
      <c r="G35" s="285"/>
      <c r="H35" s="158"/>
      <c r="I35" s="669">
        <f t="shared" si="19"/>
        <v>0</v>
      </c>
      <c r="J35" s="881"/>
      <c r="K35" s="285"/>
      <c r="L35" s="158"/>
      <c r="M35" s="298"/>
      <c r="N35" s="297"/>
      <c r="O35" s="285"/>
      <c r="P35" s="367"/>
      <c r="Q35" s="279"/>
      <c r="R35" s="310"/>
      <c r="S35" s="375"/>
      <c r="T35" s="528"/>
      <c r="U35" s="310"/>
      <c r="V35" s="63"/>
      <c r="W35" s="357">
        <f t="shared" si="2"/>
        <v>0</v>
      </c>
      <c r="X35" s="382"/>
      <c r="Y35" s="153">
        <f>X35-W35</f>
        <v>0</v>
      </c>
      <c r="Z35" s="357">
        <f>X35-W35</f>
        <v>0</v>
      </c>
      <c r="AA35" s="310"/>
      <c r="AB35" s="63"/>
      <c r="AC35" s="360"/>
      <c r="AD35" s="279"/>
      <c r="AE35" s="63"/>
      <c r="AF35" s="360"/>
      <c r="AG35" s="279"/>
      <c r="AH35" s="63"/>
      <c r="AI35" s="360"/>
      <c r="AJ35" s="425"/>
      <c r="AK35" s="395"/>
      <c r="AL35" s="334">
        <v>500000</v>
      </c>
      <c r="AM35" s="161">
        <f t="shared" si="20"/>
        <v>500000</v>
      </c>
      <c r="AN35" s="1013">
        <f t="shared" si="5"/>
        <v>0</v>
      </c>
      <c r="AO35" s="338">
        <v>500000</v>
      </c>
      <c r="AP35" s="162">
        <f t="shared" ref="AP35" si="32">AL35-AS35-AW35</f>
        <v>500000</v>
      </c>
      <c r="AQ35" s="1019"/>
      <c r="AR35" s="324"/>
      <c r="AS35" s="162"/>
      <c r="AT35" s="339"/>
      <c r="AU35" s="540"/>
      <c r="AV35" s="324"/>
      <c r="AW35" s="162"/>
      <c r="AX35" s="339"/>
      <c r="AZ35" s="122">
        <v>15000</v>
      </c>
      <c r="BA35" s="1218">
        <v>831</v>
      </c>
      <c r="BG35" s="617"/>
      <c r="BH35" s="621">
        <f>AE35-BG35</f>
        <v>0</v>
      </c>
      <c r="BI35" s="617"/>
      <c r="BJ35" s="621"/>
      <c r="BM35" s="629">
        <f t="shared" si="21"/>
        <v>500000</v>
      </c>
      <c r="BN35" s="629">
        <f t="shared" si="14"/>
        <v>207144.42</v>
      </c>
      <c r="BO35" s="533">
        <f t="shared" si="17"/>
        <v>292855.57999999996</v>
      </c>
      <c r="BP35" s="533">
        <f>BN35</f>
        <v>207144.42</v>
      </c>
      <c r="BQ35" s="617">
        <v>207144.42</v>
      </c>
      <c r="BR35" s="621">
        <f>AO35-BQ35</f>
        <v>292855.57999999996</v>
      </c>
      <c r="BS35" s="617"/>
      <c r="BT35" s="621"/>
    </row>
    <row r="36" spans="1:72" s="115" customFormat="1" ht="33" customHeight="1" x14ac:dyDescent="0.3">
      <c r="A36" s="441" t="s">
        <v>170</v>
      </c>
      <c r="B36" s="1424">
        <v>230</v>
      </c>
      <c r="C36" s="436">
        <v>850</v>
      </c>
      <c r="D36" s="430">
        <f>D38+D39+D40</f>
        <v>12005888.920000002</v>
      </c>
      <c r="E36" s="59">
        <f>H36+R36+AM36+AK36</f>
        <v>13920120.899999999</v>
      </c>
      <c r="F36" s="410">
        <f t="shared" si="1"/>
        <v>1914231.9799999967</v>
      </c>
      <c r="G36" s="157">
        <v>5201007.6000000006</v>
      </c>
      <c r="H36" s="157">
        <f>SUM(H38:H40)</f>
        <v>5201007.6000000006</v>
      </c>
      <c r="I36" s="669">
        <f t="shared" si="19"/>
        <v>0</v>
      </c>
      <c r="J36" s="882">
        <f>SUM(J38:J40)</f>
        <v>0</v>
      </c>
      <c r="K36" s="283">
        <f>K38+K39+K40</f>
        <v>3687692.4899999998</v>
      </c>
      <c r="L36" s="157">
        <f>L38+L39+L40</f>
        <v>4651007.6000000006</v>
      </c>
      <c r="M36" s="294">
        <f>L36-K36</f>
        <v>963315.1100000008</v>
      </c>
      <c r="N36" s="283">
        <f>SUM(N38:N40)</f>
        <v>1513315.11</v>
      </c>
      <c r="O36" s="283">
        <f>SUM(O38:O40)</f>
        <v>550000</v>
      </c>
      <c r="P36" s="365">
        <f>O36-N36</f>
        <v>-963315.1100000001</v>
      </c>
      <c r="Q36" s="276">
        <f t="shared" ref="Q36:AB36" si="33">Q38+Q39+Q40</f>
        <v>1914231.98</v>
      </c>
      <c r="R36" s="307">
        <f t="shared" si="33"/>
        <v>1914231.98</v>
      </c>
      <c r="S36" s="372">
        <f>R36-Q36</f>
        <v>0</v>
      </c>
      <c r="T36" s="525">
        <f t="shared" si="33"/>
        <v>0</v>
      </c>
      <c r="U36" s="307">
        <v>0</v>
      </c>
      <c r="V36" s="153">
        <f t="shared" si="33"/>
        <v>0</v>
      </c>
      <c r="W36" s="357">
        <f t="shared" si="2"/>
        <v>0</v>
      </c>
      <c r="X36" s="379">
        <f>X38+X39+X40</f>
        <v>1258487.81</v>
      </c>
      <c r="Y36" s="153">
        <f>Y38+Y39+Y40</f>
        <v>1258487.81</v>
      </c>
      <c r="Z36" s="357">
        <f>Z38+Z39+Z40</f>
        <v>0</v>
      </c>
      <c r="AA36" s="307">
        <v>655744.17000000004</v>
      </c>
      <c r="AB36" s="153">
        <f t="shared" si="33"/>
        <v>655744.17000000004</v>
      </c>
      <c r="AC36" s="357">
        <f>AB36-AA36</f>
        <v>0</v>
      </c>
      <c r="AD36" s="276"/>
      <c r="AE36" s="153"/>
      <c r="AF36" s="357"/>
      <c r="AG36" s="276"/>
      <c r="AH36" s="153"/>
      <c r="AI36" s="357"/>
      <c r="AJ36" s="422">
        <f>AJ38+AJ39+AJ40</f>
        <v>0</v>
      </c>
      <c r="AK36" s="396">
        <f>SUM(AK37:AK40)</f>
        <v>0</v>
      </c>
      <c r="AL36" s="334">
        <v>6804881.3199999994</v>
      </c>
      <c r="AM36" s="161">
        <f t="shared" si="20"/>
        <v>6804881.3199999994</v>
      </c>
      <c r="AN36" s="1013">
        <f t="shared" si="5"/>
        <v>0</v>
      </c>
      <c r="AO36" s="334">
        <f>AO38+AO39+AO40</f>
        <v>5229310.84</v>
      </c>
      <c r="AP36" s="161">
        <f>AP38+AP39+AP40</f>
        <v>5743055.0099999998</v>
      </c>
      <c r="AQ36" s="406">
        <f>AP36-AO36</f>
        <v>513744.16999999993</v>
      </c>
      <c r="AR36" s="161">
        <f>AR38+AR39+AR40</f>
        <v>1163616.26</v>
      </c>
      <c r="AS36" s="161">
        <f>AS38+AS39+AS40</f>
        <v>649872.09000000008</v>
      </c>
      <c r="AT36" s="335">
        <f>AS36-AR36</f>
        <v>-513744.16999999993</v>
      </c>
      <c r="AU36" s="539">
        <f>AU38+AU39+AU40</f>
        <v>0</v>
      </c>
      <c r="AV36" s="161">
        <f>AV38+AV39+AV40</f>
        <v>411954.22</v>
      </c>
      <c r="AW36" s="161">
        <f>AW38+AW39+AW40</f>
        <v>411954.22</v>
      </c>
      <c r="AX36" s="335">
        <f>AW36-AV36</f>
        <v>0</v>
      </c>
      <c r="BG36" s="334">
        <f>BG38+BG39+BG40</f>
        <v>0</v>
      </c>
      <c r="BH36" s="539">
        <f t="shared" ref="BH36:BJ36" si="34">BH38+BH39+BH40</f>
        <v>0</v>
      </c>
      <c r="BI36" s="334">
        <f t="shared" si="34"/>
        <v>508251.94</v>
      </c>
      <c r="BJ36" s="539">
        <f t="shared" si="34"/>
        <v>-508251.94</v>
      </c>
      <c r="BM36" s="628">
        <f t="shared" si="21"/>
        <v>6804881.3199999994</v>
      </c>
      <c r="BN36" s="628">
        <f t="shared" si="14"/>
        <v>5396482.4400000004</v>
      </c>
      <c r="BO36" s="535">
        <f t="shared" si="17"/>
        <v>1408398.879999999</v>
      </c>
      <c r="BP36" s="334">
        <f>BP38+BP39+BP40</f>
        <v>5803918</v>
      </c>
      <c r="BQ36" s="334">
        <f>BQ38+BQ39+BQ40</f>
        <v>4888230.5</v>
      </c>
      <c r="BR36" s="539">
        <f t="shared" ref="BR36:BT36" si="35">BR38+BR39+BR40</f>
        <v>341080.33999999985</v>
      </c>
      <c r="BS36" s="334">
        <f t="shared" si="35"/>
        <v>508251.94</v>
      </c>
      <c r="BT36" s="539">
        <f t="shared" si="35"/>
        <v>655364.32000000007</v>
      </c>
    </row>
    <row r="37" spans="1:72" x14ac:dyDescent="0.3">
      <c r="A37" s="437" t="s">
        <v>92</v>
      </c>
      <c r="B37" s="1422"/>
      <c r="C37" s="438"/>
      <c r="D37" s="431"/>
      <c r="E37" s="59">
        <f>H37+R37+AL37+AK37</f>
        <v>0</v>
      </c>
      <c r="F37" s="410">
        <f t="shared" si="1"/>
        <v>0</v>
      </c>
      <c r="G37" s="285"/>
      <c r="H37" s="158"/>
      <c r="I37" s="669">
        <f t="shared" si="19"/>
        <v>0</v>
      </c>
      <c r="J37" s="881"/>
      <c r="K37" s="285"/>
      <c r="L37" s="158"/>
      <c r="M37" s="298"/>
      <c r="N37" s="297"/>
      <c r="O37" s="285"/>
      <c r="P37" s="367"/>
      <c r="Q37" s="279"/>
      <c r="R37" s="310"/>
      <c r="S37" s="375"/>
      <c r="T37" s="528"/>
      <c r="U37" s="310"/>
      <c r="V37" s="63"/>
      <c r="W37" s="357">
        <f t="shared" si="2"/>
        <v>0</v>
      </c>
      <c r="X37" s="382"/>
      <c r="Y37" s="153">
        <f>X37-W37</f>
        <v>0</v>
      </c>
      <c r="Z37" s="357">
        <f>X37-W37</f>
        <v>0</v>
      </c>
      <c r="AA37" s="310"/>
      <c r="AB37" s="63"/>
      <c r="AC37" s="360"/>
      <c r="AD37" s="279"/>
      <c r="AE37" s="63"/>
      <c r="AF37" s="360"/>
      <c r="AG37" s="279"/>
      <c r="AH37" s="63"/>
      <c r="AI37" s="360"/>
      <c r="AJ37" s="425"/>
      <c r="AK37" s="395"/>
      <c r="AL37" s="334">
        <v>0</v>
      </c>
      <c r="AM37" s="161">
        <f t="shared" si="20"/>
        <v>0</v>
      </c>
      <c r="AN37" s="1013">
        <f t="shared" si="5"/>
        <v>0</v>
      </c>
      <c r="AO37" s="338"/>
      <c r="AP37" s="162"/>
      <c r="AQ37" s="1019"/>
      <c r="AR37" s="324"/>
      <c r="AS37" s="162"/>
      <c r="AT37" s="339"/>
      <c r="AU37" s="540"/>
      <c r="AV37" s="324"/>
      <c r="AW37" s="162"/>
      <c r="AX37" s="339"/>
      <c r="AZ37" s="1218" t="s">
        <v>237</v>
      </c>
      <c r="BA37" s="1218" t="s">
        <v>197</v>
      </c>
      <c r="BB37" s="1218" t="s">
        <v>237</v>
      </c>
      <c r="BC37" s="1218"/>
      <c r="BD37" s="1218"/>
      <c r="BE37" s="1218"/>
      <c r="BF37" s="1218"/>
      <c r="BG37" s="617"/>
      <c r="BH37" s="621">
        <f>AF37-BG37</f>
        <v>0</v>
      </c>
      <c r="BI37" s="617"/>
      <c r="BJ37" s="621"/>
      <c r="BK37" s="1218"/>
      <c r="BL37" s="1218"/>
      <c r="BM37" s="628">
        <f t="shared" si="21"/>
        <v>0</v>
      </c>
      <c r="BN37" s="628">
        <f t="shared" si="14"/>
        <v>0</v>
      </c>
      <c r="BO37" s="535">
        <f t="shared" si="17"/>
        <v>0</v>
      </c>
      <c r="BP37" s="533"/>
      <c r="BQ37" s="617"/>
      <c r="BR37" s="621">
        <f>AP37-BQ37</f>
        <v>0</v>
      </c>
      <c r="BS37" s="617"/>
      <c r="BT37" s="621"/>
    </row>
    <row r="38" spans="1:72" ht="31.5" x14ac:dyDescent="0.3">
      <c r="A38" s="437" t="s">
        <v>171</v>
      </c>
      <c r="B38" s="1422"/>
      <c r="C38" s="1217">
        <v>851</v>
      </c>
      <c r="D38" s="431">
        <v>10452978.890000001</v>
      </c>
      <c r="E38" s="64">
        <f>H38+R38+AM38+AK38</f>
        <v>12367210.870000001</v>
      </c>
      <c r="F38" s="411">
        <f t="shared" si="1"/>
        <v>1914231.9800000004</v>
      </c>
      <c r="G38" s="285">
        <v>4890097.57</v>
      </c>
      <c r="H38" s="158">
        <f>J38+L38+O38</f>
        <v>4890097.57</v>
      </c>
      <c r="I38" s="669">
        <f t="shared" si="19"/>
        <v>0</v>
      </c>
      <c r="J38" s="881"/>
      <c r="K38" s="285">
        <v>3376782.46</v>
      </c>
      <c r="L38" s="158">
        <f>G38-O38</f>
        <v>4340097.57</v>
      </c>
      <c r="M38" s="298">
        <f>L38-K38</f>
        <v>963315.11000000034</v>
      </c>
      <c r="N38" s="285">
        <v>1513315.11</v>
      </c>
      <c r="O38" s="285">
        <v>550000</v>
      </c>
      <c r="P38" s="367">
        <f>O38-N38</f>
        <v>-963315.1100000001</v>
      </c>
      <c r="Q38" s="279">
        <v>1914231.98</v>
      </c>
      <c r="R38" s="310">
        <f>T38+V38+Y38+AB38+AE38+AH38</f>
        <v>1914231.98</v>
      </c>
      <c r="S38" s="375">
        <f>R38-Q38</f>
        <v>0</v>
      </c>
      <c r="T38" s="528"/>
      <c r="U38" s="310"/>
      <c r="V38" s="63"/>
      <c r="W38" s="357">
        <f t="shared" si="2"/>
        <v>0</v>
      </c>
      <c r="X38" s="379">
        <v>1258487.81</v>
      </c>
      <c r="Y38" s="153">
        <v>1258487.81</v>
      </c>
      <c r="Z38" s="357"/>
      <c r="AA38" s="310">
        <v>655744.17000000004</v>
      </c>
      <c r="AB38" s="63">
        <v>655744.17000000004</v>
      </c>
      <c r="AC38" s="360">
        <f>AB38-AA38</f>
        <v>0</v>
      </c>
      <c r="AD38" s="279"/>
      <c r="AE38" s="63"/>
      <c r="AF38" s="360"/>
      <c r="AG38" s="279"/>
      <c r="AH38" s="63"/>
      <c r="AI38" s="360"/>
      <c r="AJ38" s="425"/>
      <c r="AK38" s="395"/>
      <c r="AL38" s="334">
        <v>5562881.3199999994</v>
      </c>
      <c r="AM38" s="161">
        <f t="shared" si="20"/>
        <v>5562881.3199999994</v>
      </c>
      <c r="AN38" s="1013">
        <f t="shared" si="5"/>
        <v>0</v>
      </c>
      <c r="AO38" s="338">
        <v>4167310.84</v>
      </c>
      <c r="AP38" s="162">
        <f t="shared" ref="AP38:AP40" si="36">AL38-AS38-AW38</f>
        <v>4703055.01</v>
      </c>
      <c r="AQ38" s="1019">
        <f>AP38-AO38</f>
        <v>535744.16999999993</v>
      </c>
      <c r="AR38" s="324">
        <v>983616.26</v>
      </c>
      <c r="AS38" s="162">
        <v>447872.09</v>
      </c>
      <c r="AT38" s="339">
        <f>AS38-AR38</f>
        <v>-535744.16999999993</v>
      </c>
      <c r="AU38" s="540"/>
      <c r="AV38" s="162">
        <v>411954.22</v>
      </c>
      <c r="AW38" s="162">
        <v>411954.22</v>
      </c>
      <c r="AX38" s="339">
        <f>AW38-AV38</f>
        <v>0</v>
      </c>
      <c r="AZ38" s="122">
        <v>2116229.66</v>
      </c>
      <c r="BA38" s="122">
        <v>-2116229.66</v>
      </c>
      <c r="BB38" s="610"/>
      <c r="BC38" s="635"/>
      <c r="BD38" s="635"/>
      <c r="BE38" s="635"/>
      <c r="BF38" s="635"/>
      <c r="BG38" s="617"/>
      <c r="BH38" s="621">
        <f>AE38-BG38</f>
        <v>0</v>
      </c>
      <c r="BI38" s="617">
        <v>383344</v>
      </c>
      <c r="BJ38" s="621">
        <f>AH38-BI38</f>
        <v>-383344</v>
      </c>
      <c r="BK38" s="635"/>
      <c r="BL38" s="635"/>
      <c r="BM38" s="629">
        <f t="shared" si="21"/>
        <v>5562881.3199999994</v>
      </c>
      <c r="BN38" s="629">
        <f t="shared" si="14"/>
        <v>4561918</v>
      </c>
      <c r="BO38" s="533">
        <f t="shared" si="17"/>
        <v>1000963.3199999994</v>
      </c>
      <c r="BP38" s="533">
        <f>BN38</f>
        <v>4561918</v>
      </c>
      <c r="BQ38" s="617">
        <v>4178574</v>
      </c>
      <c r="BR38" s="621">
        <f>AO38-BQ38</f>
        <v>-11263.160000000149</v>
      </c>
      <c r="BS38" s="617">
        <v>383344</v>
      </c>
      <c r="BT38" s="621">
        <f>AR38-BS38</f>
        <v>600272.26</v>
      </c>
    </row>
    <row r="39" spans="1:72" x14ac:dyDescent="0.3">
      <c r="A39" s="437" t="s">
        <v>172</v>
      </c>
      <c r="B39" s="1422"/>
      <c r="C39" s="1217">
        <v>852</v>
      </c>
      <c r="D39" s="431">
        <v>844267.46</v>
      </c>
      <c r="E39" s="64">
        <f>H39+R39+AM39+AK39</f>
        <v>844267.46</v>
      </c>
      <c r="F39" s="410">
        <f t="shared" si="1"/>
        <v>0</v>
      </c>
      <c r="G39" s="285">
        <v>209267.46</v>
      </c>
      <c r="H39" s="158">
        <f>J39+L39+O39</f>
        <v>209267.46</v>
      </c>
      <c r="I39" s="669">
        <f t="shared" si="19"/>
        <v>0</v>
      </c>
      <c r="J39" s="881"/>
      <c r="K39" s="285">
        <v>209267.46</v>
      </c>
      <c r="L39" s="158">
        <f t="shared" ref="L39:L40" si="37">G39-O39</f>
        <v>209267.46</v>
      </c>
      <c r="M39" s="298">
        <f>L39-K39</f>
        <v>0</v>
      </c>
      <c r="N39" s="297"/>
      <c r="O39" s="285"/>
      <c r="P39" s="367"/>
      <c r="Q39" s="279">
        <v>0</v>
      </c>
      <c r="R39" s="310">
        <f>T39+V39+X39+AB39+AE39+AH39</f>
        <v>0</v>
      </c>
      <c r="S39" s="375">
        <f>R39-Q39</f>
        <v>0</v>
      </c>
      <c r="T39" s="528"/>
      <c r="U39" s="310"/>
      <c r="V39" s="63"/>
      <c r="W39" s="357">
        <f t="shared" si="2"/>
        <v>0</v>
      </c>
      <c r="X39" s="382"/>
      <c r="Y39" s="153">
        <f t="shared" ref="Y39:Y44" si="38">X39-W39</f>
        <v>0</v>
      </c>
      <c r="Z39" s="357">
        <f t="shared" ref="Z39:Z44" si="39">X39-W39</f>
        <v>0</v>
      </c>
      <c r="AA39" s="310"/>
      <c r="AB39" s="63"/>
      <c r="AC39" s="360">
        <f>AB39-AA39</f>
        <v>0</v>
      </c>
      <c r="AD39" s="279"/>
      <c r="AE39" s="63"/>
      <c r="AF39" s="360"/>
      <c r="AG39" s="279"/>
      <c r="AH39" s="63"/>
      <c r="AI39" s="360"/>
      <c r="AJ39" s="425"/>
      <c r="AK39" s="395"/>
      <c r="AL39" s="334">
        <v>635000</v>
      </c>
      <c r="AM39" s="161">
        <f t="shared" si="20"/>
        <v>635000</v>
      </c>
      <c r="AN39" s="1013">
        <f t="shared" si="5"/>
        <v>0</v>
      </c>
      <c r="AO39" s="338">
        <v>485000</v>
      </c>
      <c r="AP39" s="162">
        <f t="shared" si="36"/>
        <v>508000</v>
      </c>
      <c r="AQ39" s="1019">
        <f>AP39-AO39</f>
        <v>23000</v>
      </c>
      <c r="AR39" s="324">
        <v>150000</v>
      </c>
      <c r="AS39" s="162">
        <v>127000</v>
      </c>
      <c r="AT39" s="339">
        <f>AS39-AR39</f>
        <v>-23000</v>
      </c>
      <c r="AU39" s="540"/>
      <c r="AV39" s="324"/>
      <c r="AW39" s="162"/>
      <c r="AX39" s="339">
        <f>AW39-AV39</f>
        <v>0</v>
      </c>
      <c r="AZ39" s="122">
        <v>-75470.62</v>
      </c>
      <c r="BA39" s="122"/>
      <c r="BB39" s="610">
        <v>-49993.01</v>
      </c>
      <c r="BC39" s="635"/>
      <c r="BD39" s="635"/>
      <c r="BE39" s="635"/>
      <c r="BF39" s="635"/>
      <c r="BG39" s="617"/>
      <c r="BH39" s="621">
        <f t="shared" ref="BH39:BH40" si="40">AE39-BG39</f>
        <v>0</v>
      </c>
      <c r="BI39" s="617">
        <v>27119</v>
      </c>
      <c r="BJ39" s="621">
        <f t="shared" ref="BJ39:BJ40" si="41">AH39-BI39</f>
        <v>-27119</v>
      </c>
      <c r="BK39" s="635"/>
      <c r="BL39" s="635"/>
      <c r="BM39" s="629">
        <f t="shared" si="21"/>
        <v>635000</v>
      </c>
      <c r="BN39" s="629">
        <f t="shared" si="14"/>
        <v>234308.25</v>
      </c>
      <c r="BO39" s="533">
        <f t="shared" si="17"/>
        <v>400691.75</v>
      </c>
      <c r="BP39" s="533">
        <f>BM39</f>
        <v>635000</v>
      </c>
      <c r="BQ39" s="617">
        <f>272189.25-65000</f>
        <v>207189.25</v>
      </c>
      <c r="BR39" s="621">
        <f t="shared" ref="BR39:BR40" si="42">AO39-BQ39</f>
        <v>277810.75</v>
      </c>
      <c r="BS39" s="617">
        <v>27119</v>
      </c>
      <c r="BT39" s="621">
        <f t="shared" ref="BT39:BT40" si="43">AR39-BS39</f>
        <v>122881</v>
      </c>
    </row>
    <row r="40" spans="1:72" ht="18.75" customHeight="1" x14ac:dyDescent="0.3">
      <c r="A40" s="437" t="s">
        <v>173</v>
      </c>
      <c r="B40" s="1423"/>
      <c r="C40" s="1217">
        <v>853</v>
      </c>
      <c r="D40" s="431">
        <v>708642.57000000007</v>
      </c>
      <c r="E40" s="64">
        <f>H40+R40+AM40+AK40</f>
        <v>708642.57000000007</v>
      </c>
      <c r="F40" s="410">
        <f t="shared" si="1"/>
        <v>0</v>
      </c>
      <c r="G40" s="285">
        <v>101642.57</v>
      </c>
      <c r="H40" s="158">
        <f>J40+L40+O40</f>
        <v>101642.57</v>
      </c>
      <c r="I40" s="669">
        <f t="shared" si="19"/>
        <v>0</v>
      </c>
      <c r="J40" s="881"/>
      <c r="K40" s="285">
        <v>101642.57</v>
      </c>
      <c r="L40" s="158">
        <f t="shared" si="37"/>
        <v>101642.57</v>
      </c>
      <c r="M40" s="298">
        <f>L40-K40</f>
        <v>0</v>
      </c>
      <c r="N40" s="297"/>
      <c r="O40" s="285"/>
      <c r="P40" s="367"/>
      <c r="Q40" s="279"/>
      <c r="R40" s="310"/>
      <c r="S40" s="375"/>
      <c r="T40" s="528"/>
      <c r="U40" s="310"/>
      <c r="V40" s="63"/>
      <c r="W40" s="357">
        <f t="shared" si="2"/>
        <v>0</v>
      </c>
      <c r="X40" s="382"/>
      <c r="Y40" s="153">
        <f t="shared" si="38"/>
        <v>0</v>
      </c>
      <c r="Z40" s="357">
        <f t="shared" si="39"/>
        <v>0</v>
      </c>
      <c r="AA40" s="310"/>
      <c r="AB40" s="63"/>
      <c r="AC40" s="360"/>
      <c r="AD40" s="279"/>
      <c r="AE40" s="63"/>
      <c r="AF40" s="360"/>
      <c r="AG40" s="279"/>
      <c r="AH40" s="63"/>
      <c r="AI40" s="360"/>
      <c r="AJ40" s="425"/>
      <c r="AK40" s="395"/>
      <c r="AL40" s="334">
        <v>607000</v>
      </c>
      <c r="AM40" s="161">
        <f t="shared" si="20"/>
        <v>607000</v>
      </c>
      <c r="AN40" s="1013">
        <f t="shared" si="5"/>
        <v>0</v>
      </c>
      <c r="AO40" s="338">
        <v>577000</v>
      </c>
      <c r="AP40" s="162">
        <f t="shared" si="36"/>
        <v>532000</v>
      </c>
      <c r="AQ40" s="1019">
        <f>AP40-AO40</f>
        <v>-45000</v>
      </c>
      <c r="AR40" s="324">
        <v>30000</v>
      </c>
      <c r="AS40" s="162">
        <v>75000</v>
      </c>
      <c r="AT40" s="339">
        <f>AS40-AR40</f>
        <v>45000</v>
      </c>
      <c r="AU40" s="540"/>
      <c r="AV40" s="324"/>
      <c r="AW40" s="162"/>
      <c r="AX40" s="339">
        <f>AW40-AV40</f>
        <v>0</v>
      </c>
      <c r="AZ40" s="122">
        <v>75470.62</v>
      </c>
      <c r="BA40" s="122"/>
      <c r="BB40" s="610">
        <v>49993.01</v>
      </c>
      <c r="BC40" s="635"/>
      <c r="BD40" s="635"/>
      <c r="BE40" s="635"/>
      <c r="BF40" s="635"/>
      <c r="BG40" s="617"/>
      <c r="BH40" s="621">
        <f t="shared" si="40"/>
        <v>0</v>
      </c>
      <c r="BI40" s="617">
        <v>97788.94</v>
      </c>
      <c r="BJ40" s="621">
        <f t="shared" si="41"/>
        <v>-97788.94</v>
      </c>
      <c r="BK40" s="635"/>
      <c r="BL40" s="635"/>
      <c r="BM40" s="629">
        <f t="shared" si="21"/>
        <v>607000</v>
      </c>
      <c r="BN40" s="629">
        <f t="shared" si="14"/>
        <v>600256.18999999994</v>
      </c>
      <c r="BO40" s="533">
        <f t="shared" si="17"/>
        <v>6743.8100000000559</v>
      </c>
      <c r="BP40" s="533">
        <f>BM40</f>
        <v>607000</v>
      </c>
      <c r="BQ40" s="617">
        <f>502467.25</f>
        <v>502467.25</v>
      </c>
      <c r="BR40" s="621">
        <f t="shared" si="42"/>
        <v>74532.75</v>
      </c>
      <c r="BS40" s="617">
        <v>97788.94</v>
      </c>
      <c r="BT40" s="621">
        <f t="shared" si="43"/>
        <v>-67788.94</v>
      </c>
    </row>
    <row r="41" spans="1:72" x14ac:dyDescent="0.3">
      <c r="A41" s="437" t="s">
        <v>174</v>
      </c>
      <c r="B41" s="1214">
        <v>240</v>
      </c>
      <c r="C41" s="1217">
        <v>853</v>
      </c>
      <c r="D41" s="431"/>
      <c r="E41" s="59">
        <f>H41+R41+AL41+AK41</f>
        <v>0</v>
      </c>
      <c r="F41" s="410">
        <f t="shared" si="1"/>
        <v>0</v>
      </c>
      <c r="G41" s="285"/>
      <c r="H41" s="158"/>
      <c r="I41" s="669">
        <f t="shared" si="19"/>
        <v>0</v>
      </c>
      <c r="J41" s="881"/>
      <c r="K41" s="285"/>
      <c r="L41" s="158"/>
      <c r="M41" s="298"/>
      <c r="N41" s="297"/>
      <c r="O41" s="285"/>
      <c r="P41" s="367"/>
      <c r="Q41" s="279"/>
      <c r="R41" s="310"/>
      <c r="S41" s="375"/>
      <c r="T41" s="528"/>
      <c r="U41" s="310"/>
      <c r="V41" s="63"/>
      <c r="W41" s="357">
        <f t="shared" si="2"/>
        <v>0</v>
      </c>
      <c r="X41" s="382"/>
      <c r="Y41" s="153">
        <f t="shared" si="38"/>
        <v>0</v>
      </c>
      <c r="Z41" s="357">
        <f t="shared" si="39"/>
        <v>0</v>
      </c>
      <c r="AA41" s="310"/>
      <c r="AB41" s="63"/>
      <c r="AC41" s="360"/>
      <c r="AD41" s="279"/>
      <c r="AE41" s="63"/>
      <c r="AF41" s="360"/>
      <c r="AG41" s="279"/>
      <c r="AH41" s="63"/>
      <c r="AI41" s="360"/>
      <c r="AJ41" s="425"/>
      <c r="AK41" s="395"/>
      <c r="AL41" s="334">
        <v>0</v>
      </c>
      <c r="AM41" s="161">
        <f t="shared" si="20"/>
        <v>0</v>
      </c>
      <c r="AN41" s="1013">
        <f t="shared" si="5"/>
        <v>0</v>
      </c>
      <c r="AO41" s="338"/>
      <c r="AP41" s="162"/>
      <c r="AQ41" s="1019"/>
      <c r="AR41" s="324"/>
      <c r="AS41" s="162"/>
      <c r="AT41" s="339"/>
      <c r="AU41" s="540"/>
      <c r="AV41" s="324"/>
      <c r="AW41" s="162"/>
      <c r="AX41" s="339"/>
      <c r="BG41" s="617"/>
      <c r="BH41" s="621">
        <f>AF41-BG41</f>
        <v>0</v>
      </c>
      <c r="BI41" s="617"/>
      <c r="BJ41" s="621"/>
      <c r="BM41" s="628">
        <f t="shared" si="21"/>
        <v>0</v>
      </c>
      <c r="BN41" s="628">
        <f t="shared" si="14"/>
        <v>0</v>
      </c>
      <c r="BO41" s="535">
        <f t="shared" si="17"/>
        <v>0</v>
      </c>
      <c r="BP41" s="533"/>
      <c r="BQ41" s="617"/>
      <c r="BR41" s="621">
        <f>AP41-BQ41</f>
        <v>0</v>
      </c>
      <c r="BS41" s="617"/>
      <c r="BT41" s="621"/>
    </row>
    <row r="42" spans="1:72" s="115" customFormat="1" ht="31.5" x14ac:dyDescent="0.3">
      <c r="A42" s="435" t="s">
        <v>175</v>
      </c>
      <c r="B42" s="1387">
        <v>250</v>
      </c>
      <c r="C42" s="442"/>
      <c r="D42" s="430">
        <f>G42+Q42+AK42+AL42</f>
        <v>0</v>
      </c>
      <c r="E42" s="59">
        <f>H42+R42+AL42+AK42</f>
        <v>0</v>
      </c>
      <c r="F42" s="410">
        <f t="shared" si="1"/>
        <v>0</v>
      </c>
      <c r="G42" s="283"/>
      <c r="H42" s="157"/>
      <c r="I42" s="669">
        <f t="shared" si="19"/>
        <v>0</v>
      </c>
      <c r="J42" s="882"/>
      <c r="K42" s="283"/>
      <c r="L42" s="157"/>
      <c r="M42" s="294"/>
      <c r="N42" s="293"/>
      <c r="O42" s="283"/>
      <c r="P42" s="365"/>
      <c r="Q42" s="276"/>
      <c r="R42" s="307"/>
      <c r="S42" s="372"/>
      <c r="T42" s="525"/>
      <c r="U42" s="307">
        <v>0</v>
      </c>
      <c r="V42" s="153">
        <v>0</v>
      </c>
      <c r="W42" s="357">
        <f t="shared" si="2"/>
        <v>0</v>
      </c>
      <c r="X42" s="379">
        <v>0</v>
      </c>
      <c r="Y42" s="153">
        <f t="shared" si="38"/>
        <v>0</v>
      </c>
      <c r="Z42" s="357">
        <f t="shared" si="39"/>
        <v>0</v>
      </c>
      <c r="AA42" s="307"/>
      <c r="AB42" s="153"/>
      <c r="AC42" s="357"/>
      <c r="AD42" s="276"/>
      <c r="AE42" s="153"/>
      <c r="AF42" s="357"/>
      <c r="AG42" s="276"/>
      <c r="AH42" s="153"/>
      <c r="AI42" s="357"/>
      <c r="AJ42" s="422">
        <v>0</v>
      </c>
      <c r="AK42" s="396">
        <v>0</v>
      </c>
      <c r="AL42" s="334">
        <v>0</v>
      </c>
      <c r="AM42" s="161">
        <f t="shared" si="20"/>
        <v>0</v>
      </c>
      <c r="AN42" s="1013">
        <f t="shared" si="5"/>
        <v>0</v>
      </c>
      <c r="AO42" s="334"/>
      <c r="AP42" s="161"/>
      <c r="AQ42" s="406"/>
      <c r="AR42" s="323"/>
      <c r="AS42" s="161"/>
      <c r="AT42" s="335"/>
      <c r="AU42" s="539">
        <f>AU44</f>
        <v>0</v>
      </c>
      <c r="AV42" s="323"/>
      <c r="AW42" s="161"/>
      <c r="AX42" s="335"/>
      <c r="BG42" s="617"/>
      <c r="BH42" s="621">
        <f>AF42-BG42</f>
        <v>0</v>
      </c>
      <c r="BI42" s="617"/>
      <c r="BJ42" s="621"/>
      <c r="BM42" s="628">
        <f t="shared" si="21"/>
        <v>0</v>
      </c>
      <c r="BN42" s="628">
        <f t="shared" si="14"/>
        <v>0</v>
      </c>
      <c r="BO42" s="535">
        <f t="shared" si="17"/>
        <v>0</v>
      </c>
      <c r="BP42" s="533"/>
      <c r="BQ42" s="617"/>
      <c r="BR42" s="621">
        <f>AP42-BQ42</f>
        <v>0</v>
      </c>
      <c r="BS42" s="617"/>
      <c r="BT42" s="621"/>
    </row>
    <row r="43" spans="1:72" s="115" customFormat="1" x14ac:dyDescent="0.3">
      <c r="A43" s="435" t="s">
        <v>92</v>
      </c>
      <c r="B43" s="1387"/>
      <c r="C43" s="442"/>
      <c r="D43" s="430"/>
      <c r="E43" s="59">
        <f>H43+R43+AL43+AK43</f>
        <v>0</v>
      </c>
      <c r="F43" s="410">
        <f t="shared" si="1"/>
        <v>0</v>
      </c>
      <c r="G43" s="283"/>
      <c r="H43" s="157"/>
      <c r="I43" s="669">
        <f t="shared" si="19"/>
        <v>0</v>
      </c>
      <c r="J43" s="882"/>
      <c r="K43" s="283"/>
      <c r="L43" s="157"/>
      <c r="M43" s="294"/>
      <c r="N43" s="293"/>
      <c r="O43" s="283"/>
      <c r="P43" s="365"/>
      <c r="Q43" s="276"/>
      <c r="R43" s="307"/>
      <c r="S43" s="372"/>
      <c r="T43" s="525"/>
      <c r="U43" s="307"/>
      <c r="V43" s="153"/>
      <c r="W43" s="357">
        <f t="shared" si="2"/>
        <v>0</v>
      </c>
      <c r="X43" s="379"/>
      <c r="Y43" s="153">
        <f t="shared" si="38"/>
        <v>0</v>
      </c>
      <c r="Z43" s="357">
        <f t="shared" si="39"/>
        <v>0</v>
      </c>
      <c r="AA43" s="307"/>
      <c r="AB43" s="153"/>
      <c r="AC43" s="357"/>
      <c r="AD43" s="276"/>
      <c r="AE43" s="153"/>
      <c r="AF43" s="357"/>
      <c r="AG43" s="276"/>
      <c r="AH43" s="153"/>
      <c r="AI43" s="357"/>
      <c r="AJ43" s="422"/>
      <c r="AK43" s="396"/>
      <c r="AL43" s="334">
        <v>0</v>
      </c>
      <c r="AM43" s="161">
        <f t="shared" si="20"/>
        <v>0</v>
      </c>
      <c r="AN43" s="1013">
        <f t="shared" si="5"/>
        <v>0</v>
      </c>
      <c r="AO43" s="334"/>
      <c r="AP43" s="161"/>
      <c r="AQ43" s="406"/>
      <c r="AR43" s="323"/>
      <c r="AS43" s="161"/>
      <c r="AT43" s="335"/>
      <c r="AU43" s="539"/>
      <c r="AV43" s="323"/>
      <c r="AW43" s="161"/>
      <c r="AX43" s="335"/>
      <c r="BG43" s="617"/>
      <c r="BH43" s="621">
        <f>AF43-BG43</f>
        <v>0</v>
      </c>
      <c r="BI43" s="617"/>
      <c r="BJ43" s="621"/>
      <c r="BM43" s="628">
        <f t="shared" si="21"/>
        <v>0</v>
      </c>
      <c r="BN43" s="628">
        <f t="shared" si="14"/>
        <v>0</v>
      </c>
      <c r="BO43" s="535">
        <f t="shared" si="17"/>
        <v>0</v>
      </c>
      <c r="BP43" s="533"/>
      <c r="BQ43" s="617"/>
      <c r="BR43" s="621">
        <f>AP43-BQ43</f>
        <v>0</v>
      </c>
      <c r="BS43" s="617"/>
      <c r="BT43" s="621"/>
    </row>
    <row r="44" spans="1:72" s="115" customFormat="1" x14ac:dyDescent="0.3">
      <c r="A44" s="443"/>
      <c r="B44" s="1387"/>
      <c r="C44" s="442"/>
      <c r="D44" s="430"/>
      <c r="E44" s="59">
        <f>H44+R44+AL44+AK44</f>
        <v>0</v>
      </c>
      <c r="F44" s="410">
        <f t="shared" si="1"/>
        <v>0</v>
      </c>
      <c r="G44" s="283"/>
      <c r="H44" s="157"/>
      <c r="I44" s="669">
        <f t="shared" si="19"/>
        <v>0</v>
      </c>
      <c r="J44" s="882"/>
      <c r="K44" s="283"/>
      <c r="L44" s="157"/>
      <c r="M44" s="294"/>
      <c r="N44" s="293"/>
      <c r="O44" s="283"/>
      <c r="P44" s="365"/>
      <c r="Q44" s="276"/>
      <c r="R44" s="307"/>
      <c r="S44" s="372"/>
      <c r="T44" s="525"/>
      <c r="U44" s="307"/>
      <c r="V44" s="153"/>
      <c r="W44" s="357">
        <f t="shared" si="2"/>
        <v>0</v>
      </c>
      <c r="X44" s="379"/>
      <c r="Y44" s="153">
        <f t="shared" si="38"/>
        <v>0</v>
      </c>
      <c r="Z44" s="357">
        <f t="shared" si="39"/>
        <v>0</v>
      </c>
      <c r="AA44" s="307"/>
      <c r="AB44" s="153"/>
      <c r="AC44" s="357"/>
      <c r="AD44" s="276"/>
      <c r="AE44" s="153"/>
      <c r="AF44" s="357"/>
      <c r="AG44" s="276"/>
      <c r="AH44" s="153"/>
      <c r="AI44" s="357"/>
      <c r="AJ44" s="422"/>
      <c r="AK44" s="396"/>
      <c r="AL44" s="334">
        <v>0</v>
      </c>
      <c r="AM44" s="161">
        <f t="shared" si="20"/>
        <v>0</v>
      </c>
      <c r="AN44" s="1013">
        <f t="shared" si="5"/>
        <v>0</v>
      </c>
      <c r="AO44" s="334"/>
      <c r="AP44" s="161"/>
      <c r="AQ44" s="406"/>
      <c r="AR44" s="323"/>
      <c r="AS44" s="161"/>
      <c r="AT44" s="335"/>
      <c r="AU44" s="539"/>
      <c r="AV44" s="323"/>
      <c r="AW44" s="161"/>
      <c r="AX44" s="335"/>
      <c r="BG44" s="617"/>
      <c r="BH44" s="621">
        <f>AF44-BG44</f>
        <v>0</v>
      </c>
      <c r="BI44" s="617"/>
      <c r="BJ44" s="621"/>
      <c r="BM44" s="628">
        <f t="shared" si="21"/>
        <v>0</v>
      </c>
      <c r="BN44" s="628">
        <f t="shared" si="14"/>
        <v>0</v>
      </c>
      <c r="BO44" s="535">
        <f t="shared" si="17"/>
        <v>0</v>
      </c>
      <c r="BP44" s="533"/>
      <c r="BQ44" s="617"/>
      <c r="BR44" s="621">
        <f>AP44-BQ44</f>
        <v>0</v>
      </c>
      <c r="BS44" s="617"/>
      <c r="BT44" s="621"/>
    </row>
    <row r="45" spans="1:72" s="115" customFormat="1" ht="31.5" x14ac:dyDescent="0.3">
      <c r="A45" s="435" t="s">
        <v>176</v>
      </c>
      <c r="B45" s="1388">
        <v>260</v>
      </c>
      <c r="C45" s="436">
        <v>240</v>
      </c>
      <c r="D45" s="1010">
        <f>D47+D48+D49+D50+D51+D55+D59+D61+D63+D66+D52+D56+D60+D62+D64+D65</f>
        <v>229525275.27500004</v>
      </c>
      <c r="E45" s="59">
        <f>H45+R45+AM45+AK45</f>
        <v>2870575271.5049996</v>
      </c>
      <c r="F45" s="410">
        <f t="shared" si="1"/>
        <v>2641049996.2299995</v>
      </c>
      <c r="G45" s="283">
        <v>46655720.769999996</v>
      </c>
      <c r="H45" s="157">
        <f>H47+H48+H49+H50+H51+H55+H59+H61+H63+H66+H52+H56+H60+H62+H64+H65</f>
        <v>51182052.25</v>
      </c>
      <c r="I45" s="669">
        <f t="shared" si="19"/>
        <v>4526331.4800000042</v>
      </c>
      <c r="J45" s="882">
        <f>J47+J48+J49+J50+J51+J55+J59+J61</f>
        <v>0</v>
      </c>
      <c r="K45" s="157">
        <f>K47+K48+K49+K50+K51+K55+K59+K61+K63+K66+K52+K56+K60+K62+K64+K65</f>
        <v>29172987.350000001</v>
      </c>
      <c r="L45" s="157">
        <f>L47+L48+L49+L50+L51+L55+L59+L61+L63+L66+L52+L56+L60+L62+L64+L65</f>
        <v>34800643.460000001</v>
      </c>
      <c r="M45" s="294">
        <f>L45-K45</f>
        <v>5627656.1099999994</v>
      </c>
      <c r="N45" s="157">
        <f>N47+N48+N49+N50+N51+N55+N59+N61+N63+N66+N52+N56+N60+N62+N64+N65</f>
        <v>17482733.420000002</v>
      </c>
      <c r="O45" s="157">
        <f>O47+O48+O49+O50+O51+O55+O59+O61+O63+O66+O52+O56+O60+O62+O64+O65</f>
        <v>16381408.789999999</v>
      </c>
      <c r="P45" s="365">
        <f>O45-N45</f>
        <v>-1101324.6300000027</v>
      </c>
      <c r="Q45" s="276">
        <f>Q47+Q48+Q49+Q50+Q51+Q55+Q59+Q61+Q63+Q66+Q52+Q56+Q60+Q62+Q64+Q65</f>
        <v>1631473664.7600002</v>
      </c>
      <c r="R45" s="307">
        <f>R47+R48+R49+R50+R51+R55+R59+R61+R63+R66+R52+R56+R60+R62+R64+R65</f>
        <v>2636473664.7499995</v>
      </c>
      <c r="S45" s="372">
        <f>R45-Q45</f>
        <v>1004999999.9899993</v>
      </c>
      <c r="T45" s="525">
        <f>T47+T48+T49+T50+T51+T55+T59+T61+T63+T66+T52+T56+T60+T62+T64+T65</f>
        <v>388193676.14999998</v>
      </c>
      <c r="U45" s="307">
        <f>U47+U48+U49+U50+U51+U55+U59+U61+U63+U66+U52+U56+U60+U62+U64+U65</f>
        <v>1216891000</v>
      </c>
      <c r="V45" s="153">
        <f>V47+V48+V49+V50+V51+V55+V59+V61+V63+V66+V52+V56+V60+V62+V64+V65</f>
        <v>2221891000</v>
      </c>
      <c r="W45" s="357">
        <f>V45-U45</f>
        <v>1005000000</v>
      </c>
      <c r="X45" s="379">
        <f>X47+X48+X49+X50+X51+X55+X59+X61+X63+X66+X52+X56+X60+X62+X64+X65</f>
        <v>11003632.780000001</v>
      </c>
      <c r="Y45" s="153">
        <f>Y47+Y48+Y49+Y50+Y51+Y55+Y59+Y61+Y63+Y66+Y52+Y56+Y60+Y62+Y64+Y65</f>
        <v>11003632.780000001</v>
      </c>
      <c r="Z45" s="357">
        <f>Z47+Z48+Z49+Z50+Z51+Z55+Z59+Z61+Z63+Z66+Z52+Z56+Z60+Z62+Z64+Z65</f>
        <v>0</v>
      </c>
      <c r="AA45" s="307">
        <v>6222834.2999999998</v>
      </c>
      <c r="AB45" s="153">
        <f>AB47+AB48+AB49+AB50+AB51+AB55+AB59+AB61+AB63+AB66+AB52+AB56+AB60+AB62+AB64+AB65</f>
        <v>6222834.2999999998</v>
      </c>
      <c r="AC45" s="357">
        <f>AB45-AA45</f>
        <v>0</v>
      </c>
      <c r="AD45" s="276"/>
      <c r="AE45" s="153"/>
      <c r="AF45" s="357"/>
      <c r="AG45" s="153">
        <v>9162521.5199999996</v>
      </c>
      <c r="AH45" s="153">
        <f t="shared" ref="AH45" si="44">AH47+AH48+AH49+AH50+AH51+AH55+AH59+AH61+AH63+AH66+AH52+AH56+AH60+AH62+AH64+AH65</f>
        <v>9162521.5199999996</v>
      </c>
      <c r="AI45" s="357">
        <f>AH45-AG45</f>
        <v>0</v>
      </c>
      <c r="AJ45" s="422">
        <f>AJ47+AJ48+AJ49+AJ50+AJ51+AJ52+AJ56+AJ61</f>
        <v>0</v>
      </c>
      <c r="AK45" s="396">
        <f>AK47+AK48+AK49+AK50+AK51+AK55+AK59+AK61+AK63+AK66+AK52+AK56+AK60+AK62+AK64+AK65</f>
        <v>50000</v>
      </c>
      <c r="AL45" s="334">
        <v>182869554.505</v>
      </c>
      <c r="AM45" s="161">
        <f t="shared" si="20"/>
        <v>182869554.505</v>
      </c>
      <c r="AN45" s="1013">
        <f t="shared" si="5"/>
        <v>0</v>
      </c>
      <c r="AO45" s="334">
        <v>149019556.73446354</v>
      </c>
      <c r="AP45" s="323">
        <f>AP47+AP48+AP49+AP50+AP51+AP55+AP59+AP61+AP63+AP66+AP52+AP56+AP60+AP62+AP64+AP65</f>
        <v>148899692.495</v>
      </c>
      <c r="AQ45" s="406">
        <f>AP45-AO45</f>
        <v>-119864.23946353793</v>
      </c>
      <c r="AR45" s="161">
        <f>AR47+AR48+AR49+AR50+AR51+AR55+AR59+AR61+AR63+AR66+AR52+AR56+AR60+AR62+AR64+AR65</f>
        <v>22737058.73</v>
      </c>
      <c r="AS45" s="161">
        <f>AS47+AS48+AS49+AS50+AS51+AS55+AS59+AS61+AS63+AS66+AS52+AS56+AS60+AS62+AS64+AS65</f>
        <v>29210715.010000002</v>
      </c>
      <c r="AT45" s="335">
        <f>AS45-AR45</f>
        <v>6473656.2800000012</v>
      </c>
      <c r="AU45" s="539">
        <f>AU47+AU48+AU49+AU50+AU51+AU52+AU56+AU61</f>
        <v>0</v>
      </c>
      <c r="AV45" s="161">
        <f>AV47+AV48+AV49+AV50+AV51+AV55+AV59+AV61+AV63+AV66+AV52+AV56+AV60+AV62+AV64+AV65</f>
        <v>4759147</v>
      </c>
      <c r="AW45" s="161">
        <f>AW47+AW48+AW49+AW50+AW51+AW55+AW59+AW61+AW63+AW66+AW52+AW56+AW60+AW62+AW64+AW65</f>
        <v>4759147</v>
      </c>
      <c r="AX45" s="335">
        <f>AW45-AV45</f>
        <v>0</v>
      </c>
      <c r="BG45" s="334">
        <f>BG47+BG48+BG49+BG50+BG51+BG55+BG59+BG61+BG63+BG66+BG52+BG56+BG60+BG62+BG64+BG65</f>
        <v>0</v>
      </c>
      <c r="BH45" s="539">
        <f t="shared" ref="BH45:BJ45" si="45">BH47+BH48+BH49+BH50+BH51+BH55+BH59+BH61+BH63+BH66+BH52+BH56+BH60+BH62+BH64+BH65</f>
        <v>0</v>
      </c>
      <c r="BI45" s="334">
        <f t="shared" si="45"/>
        <v>25649553.189999998</v>
      </c>
      <c r="BJ45" s="539">
        <f t="shared" si="45"/>
        <v>-16487031.669999998</v>
      </c>
      <c r="BM45" s="628">
        <f t="shared" si="21"/>
        <v>182869554.505</v>
      </c>
      <c r="BN45" s="628">
        <f t="shared" si="14"/>
        <v>127263947.69999999</v>
      </c>
      <c r="BO45" s="535">
        <f t="shared" si="17"/>
        <v>55605606.805000007</v>
      </c>
      <c r="BP45" s="334">
        <f>SUM(BP48:BP66)</f>
        <v>126295893.63499999</v>
      </c>
      <c r="BQ45" s="334">
        <f>BQ47+BQ48+BQ49+BQ50+BQ51+BQ55+BQ59+BQ61+BQ63+BQ66+BQ52+BQ56+BQ60+BQ62+BQ64+BQ65</f>
        <v>101614394.50999999</v>
      </c>
      <c r="BR45" s="539">
        <f t="shared" ref="BR45:BT45" si="46">BR47+BR48+BR49+BR50+BR51+BR55+BR59+BR61+BR63+BR66+BR52+BR56+BR60+BR62+BR64+BR65</f>
        <v>53758954.265000001</v>
      </c>
      <c r="BS45" s="334">
        <f t="shared" si="46"/>
        <v>25649553.189999998</v>
      </c>
      <c r="BT45" s="539">
        <f t="shared" si="46"/>
        <v>-2912494.4599999995</v>
      </c>
    </row>
    <row r="46" spans="1:72" x14ac:dyDescent="0.3">
      <c r="A46" s="437" t="s">
        <v>92</v>
      </c>
      <c r="B46" s="1392"/>
      <c r="C46" s="438"/>
      <c r="D46" s="431"/>
      <c r="E46" s="59">
        <f>H46+R46+AL46+AK46</f>
        <v>0</v>
      </c>
      <c r="F46" s="410">
        <f t="shared" si="1"/>
        <v>0</v>
      </c>
      <c r="G46" s="285"/>
      <c r="H46" s="158"/>
      <c r="I46" s="669">
        <f t="shared" si="19"/>
        <v>0</v>
      </c>
      <c r="J46" s="881"/>
      <c r="K46" s="285"/>
      <c r="L46" s="158"/>
      <c r="M46" s="298"/>
      <c r="N46" s="297"/>
      <c r="O46" s="285"/>
      <c r="P46" s="367"/>
      <c r="Q46" s="279"/>
      <c r="R46" s="310"/>
      <c r="S46" s="375"/>
      <c r="T46" s="528"/>
      <c r="U46" s="310"/>
      <c r="V46" s="63"/>
      <c r="W46" s="357">
        <f t="shared" si="2"/>
        <v>0</v>
      </c>
      <c r="X46" s="382"/>
      <c r="Y46" s="153">
        <f>X46-W46</f>
        <v>0</v>
      </c>
      <c r="Z46" s="357">
        <f>X46-W46</f>
        <v>0</v>
      </c>
      <c r="AA46" s="310"/>
      <c r="AB46" s="63"/>
      <c r="AC46" s="360"/>
      <c r="AD46" s="279"/>
      <c r="AE46" s="63"/>
      <c r="AF46" s="360"/>
      <c r="AG46" s="279"/>
      <c r="AH46" s="63"/>
      <c r="AI46" s="360"/>
      <c r="AJ46" s="425"/>
      <c r="AK46" s="395"/>
      <c r="AL46" s="334">
        <v>0</v>
      </c>
      <c r="AM46" s="161">
        <f t="shared" si="20"/>
        <v>0</v>
      </c>
      <c r="AN46" s="1013">
        <f t="shared" si="5"/>
        <v>0</v>
      </c>
      <c r="AO46" s="338"/>
      <c r="AP46" s="162"/>
      <c r="AQ46" s="1019"/>
      <c r="AR46" s="324"/>
      <c r="AS46" s="162"/>
      <c r="AT46" s="339"/>
      <c r="AU46" s="540"/>
      <c r="AV46" s="324"/>
      <c r="AW46" s="162"/>
      <c r="AX46" s="339"/>
      <c r="AZ46" s="1218" t="s">
        <v>237</v>
      </c>
      <c r="BA46" s="1218" t="s">
        <v>197</v>
      </c>
      <c r="BG46" s="617"/>
      <c r="BH46" s="621">
        <f>AF46-BG46</f>
        <v>0</v>
      </c>
      <c r="BI46" s="617"/>
      <c r="BJ46" s="621"/>
      <c r="BM46" s="628">
        <f t="shared" si="21"/>
        <v>0</v>
      </c>
      <c r="BN46" s="628">
        <f t="shared" si="14"/>
        <v>0</v>
      </c>
      <c r="BO46" s="535">
        <f t="shared" si="17"/>
        <v>0</v>
      </c>
      <c r="BP46" s="533"/>
      <c r="BQ46" s="617"/>
      <c r="BR46" s="621">
        <f>AP46-BQ46</f>
        <v>0</v>
      </c>
      <c r="BS46" s="617"/>
      <c r="BT46" s="621"/>
    </row>
    <row r="47" spans="1:72" ht="31.5" x14ac:dyDescent="0.3">
      <c r="A47" s="437" t="s">
        <v>177</v>
      </c>
      <c r="B47" s="140"/>
      <c r="C47" s="1217">
        <v>241</v>
      </c>
      <c r="D47" s="431"/>
      <c r="E47" s="59">
        <f>H47+R47+AL47+AK47</f>
        <v>0</v>
      </c>
      <c r="F47" s="410">
        <f t="shared" si="1"/>
        <v>0</v>
      </c>
      <c r="G47" s="285"/>
      <c r="H47" s="158"/>
      <c r="I47" s="669">
        <f t="shared" si="19"/>
        <v>0</v>
      </c>
      <c r="J47" s="881"/>
      <c r="K47" s="285"/>
      <c r="L47" s="158"/>
      <c r="M47" s="298"/>
      <c r="N47" s="297"/>
      <c r="O47" s="285"/>
      <c r="P47" s="367"/>
      <c r="Q47" s="279"/>
      <c r="R47" s="310"/>
      <c r="S47" s="375"/>
      <c r="T47" s="528"/>
      <c r="U47" s="310"/>
      <c r="V47" s="63"/>
      <c r="W47" s="357">
        <f t="shared" si="2"/>
        <v>0</v>
      </c>
      <c r="X47" s="382"/>
      <c r="Y47" s="153">
        <f>X47-W47</f>
        <v>0</v>
      </c>
      <c r="Z47" s="360"/>
      <c r="AA47" s="310"/>
      <c r="AB47" s="63"/>
      <c r="AC47" s="360"/>
      <c r="AD47" s="279"/>
      <c r="AE47" s="63"/>
      <c r="AF47" s="360"/>
      <c r="AG47" s="279"/>
      <c r="AH47" s="63"/>
      <c r="AI47" s="360"/>
      <c r="AJ47" s="425"/>
      <c r="AK47" s="395"/>
      <c r="AL47" s="334">
        <v>0</v>
      </c>
      <c r="AM47" s="161">
        <f t="shared" si="20"/>
        <v>0</v>
      </c>
      <c r="AN47" s="1013">
        <f t="shared" si="5"/>
        <v>0</v>
      </c>
      <c r="AO47" s="338"/>
      <c r="AP47" s="162"/>
      <c r="AQ47" s="1019"/>
      <c r="AR47" s="324"/>
      <c r="AS47" s="162"/>
      <c r="AT47" s="339"/>
      <c r="AU47" s="540"/>
      <c r="AV47" s="324"/>
      <c r="AW47" s="162"/>
      <c r="AX47" s="339"/>
      <c r="AZ47" s="141"/>
      <c r="BA47" s="122">
        <v>25000</v>
      </c>
      <c r="BB47" s="117" t="s">
        <v>234</v>
      </c>
      <c r="BG47" s="617"/>
      <c r="BH47" s="621">
        <f>AF47-BG47</f>
        <v>0</v>
      </c>
      <c r="BI47" s="617"/>
      <c r="BJ47" s="621"/>
      <c r="BM47" s="628">
        <f t="shared" si="21"/>
        <v>0</v>
      </c>
      <c r="BN47" s="628">
        <f t="shared" si="14"/>
        <v>0</v>
      </c>
      <c r="BO47" s="535">
        <f t="shared" si="17"/>
        <v>0</v>
      </c>
      <c r="BP47" s="533"/>
      <c r="BQ47" s="617"/>
      <c r="BR47" s="621">
        <f>AP47-BQ47</f>
        <v>0</v>
      </c>
      <c r="BS47" s="617"/>
      <c r="BT47" s="621"/>
    </row>
    <row r="48" spans="1:72" ht="15.75" customHeight="1" x14ac:dyDescent="0.3">
      <c r="A48" s="437" t="s">
        <v>178</v>
      </c>
      <c r="B48" s="140"/>
      <c r="C48" s="1217">
        <v>244</v>
      </c>
      <c r="D48" s="431">
        <v>2150386.19</v>
      </c>
      <c r="E48" s="64">
        <f>H48+R48+AM48+AK48</f>
        <v>2406359.8600000003</v>
      </c>
      <c r="F48" s="410">
        <f t="shared" si="1"/>
        <v>255973.67000000039</v>
      </c>
      <c r="G48" s="285">
        <v>935479.38</v>
      </c>
      <c r="H48" s="158">
        <f>J48+L48+O48</f>
        <v>935479.38</v>
      </c>
      <c r="I48" s="669">
        <f t="shared" si="19"/>
        <v>0</v>
      </c>
      <c r="J48" s="881"/>
      <c r="K48" s="285">
        <v>717269.39</v>
      </c>
      <c r="L48" s="158">
        <f>G48-O48</f>
        <v>835479.38</v>
      </c>
      <c r="M48" s="298">
        <f>L48-K48</f>
        <v>118209.98999999999</v>
      </c>
      <c r="N48" s="285">
        <v>218209.99</v>
      </c>
      <c r="O48" s="285">
        <v>100000</v>
      </c>
      <c r="P48" s="367">
        <f>O48-N48</f>
        <v>-118209.98999999999</v>
      </c>
      <c r="Q48" s="279">
        <v>255973.67</v>
      </c>
      <c r="R48" s="310">
        <f>T48+V48+Y48+AB48+AE48+AH48</f>
        <v>255973.67</v>
      </c>
      <c r="S48" s="375">
        <f>R48-Q48</f>
        <v>0</v>
      </c>
      <c r="T48" s="528"/>
      <c r="U48" s="310"/>
      <c r="V48" s="63"/>
      <c r="W48" s="357">
        <f t="shared" si="2"/>
        <v>0</v>
      </c>
      <c r="X48" s="382">
        <v>210973.67</v>
      </c>
      <c r="Y48" s="63">
        <v>210973.67</v>
      </c>
      <c r="Z48" s="360"/>
      <c r="AA48" s="310">
        <v>45000</v>
      </c>
      <c r="AB48" s="63">
        <v>45000</v>
      </c>
      <c r="AC48" s="360">
        <f>AB48-AA48</f>
        <v>0</v>
      </c>
      <c r="AD48" s="279"/>
      <c r="AE48" s="63"/>
      <c r="AF48" s="360"/>
      <c r="AG48" s="279"/>
      <c r="AH48" s="63"/>
      <c r="AI48" s="360"/>
      <c r="AJ48" s="425"/>
      <c r="AK48" s="395"/>
      <c r="AL48" s="334">
        <v>1214906.81</v>
      </c>
      <c r="AM48" s="161">
        <f t="shared" si="20"/>
        <v>1214906.81</v>
      </c>
      <c r="AN48" s="1013">
        <f t="shared" si="5"/>
        <v>0</v>
      </c>
      <c r="AO48" s="338">
        <v>889902.56</v>
      </c>
      <c r="AP48" s="162">
        <f t="shared" ref="AP48:AP66" si="47">AL48-AS48-AW48</f>
        <v>825505.57000000007</v>
      </c>
      <c r="AQ48" s="1019">
        <f>AP48-AO48</f>
        <v>-64396.989999999991</v>
      </c>
      <c r="AR48" s="324">
        <v>265603.01</v>
      </c>
      <c r="AS48" s="162">
        <v>330000</v>
      </c>
      <c r="AT48" s="339">
        <f>AS48-AR48</f>
        <v>64396.989999999991</v>
      </c>
      <c r="AU48" s="540"/>
      <c r="AV48" s="324">
        <v>59401.24</v>
      </c>
      <c r="AW48" s="162">
        <v>59401.24</v>
      </c>
      <c r="AX48" s="339">
        <f>AW48-AV48</f>
        <v>0</v>
      </c>
      <c r="AZ48" s="122">
        <v>269900</v>
      </c>
      <c r="BA48" s="122">
        <f>-269900</f>
        <v>-269900</v>
      </c>
      <c r="BB48" s="117" t="s">
        <v>179</v>
      </c>
      <c r="BG48" s="617"/>
      <c r="BH48" s="621">
        <f>AE48-BG48</f>
        <v>0</v>
      </c>
      <c r="BI48" s="617">
        <v>212701.86</v>
      </c>
      <c r="BJ48" s="621">
        <f>AH48-BI48</f>
        <v>-212701.86</v>
      </c>
      <c r="BM48" s="629">
        <f t="shared" si="21"/>
        <v>1214906.81</v>
      </c>
      <c r="BN48" s="629">
        <f t="shared" si="14"/>
        <v>963193.04999999993</v>
      </c>
      <c r="BO48" s="533">
        <f t="shared" si="17"/>
        <v>251713.76000000013</v>
      </c>
      <c r="BP48" s="533">
        <f>BM48</f>
        <v>1214906.81</v>
      </c>
      <c r="BQ48" s="617">
        <v>750491.19</v>
      </c>
      <c r="BR48" s="621">
        <f>AO48-BQ48</f>
        <v>139411.37000000011</v>
      </c>
      <c r="BS48" s="617">
        <v>212701.86</v>
      </c>
      <c r="BT48" s="621">
        <f>AR48-BS48</f>
        <v>52901.150000000023</v>
      </c>
    </row>
    <row r="49" spans="1:74" ht="19.5" customHeight="1" x14ac:dyDescent="0.3">
      <c r="A49" s="437" t="s">
        <v>179</v>
      </c>
      <c r="B49" s="140"/>
      <c r="C49" s="1217">
        <v>244</v>
      </c>
      <c r="D49" s="431">
        <v>161040</v>
      </c>
      <c r="E49" s="64">
        <f>H49+R49+AM49+AK49</f>
        <v>161040</v>
      </c>
      <c r="F49" s="411">
        <f t="shared" si="1"/>
        <v>0</v>
      </c>
      <c r="G49" s="285"/>
      <c r="H49" s="158"/>
      <c r="I49" s="669">
        <f t="shared" si="19"/>
        <v>0</v>
      </c>
      <c r="J49" s="881"/>
      <c r="K49" s="285"/>
      <c r="L49" s="158">
        <f t="shared" ref="L49:L65" si="48">G49-O49</f>
        <v>0</v>
      </c>
      <c r="M49" s="298"/>
      <c r="N49" s="285"/>
      <c r="O49" s="285"/>
      <c r="P49" s="367"/>
      <c r="Q49" s="279"/>
      <c r="R49" s="310"/>
      <c r="S49" s="375"/>
      <c r="T49" s="528"/>
      <c r="U49" s="310"/>
      <c r="V49" s="63"/>
      <c r="W49" s="357">
        <f t="shared" si="2"/>
        <v>0</v>
      </c>
      <c r="X49" s="382"/>
      <c r="Y49" s="63">
        <f t="shared" ref="Y49:Y65" si="49">X49-Z49</f>
        <v>0</v>
      </c>
      <c r="Z49" s="360">
        <f>X49-W49</f>
        <v>0</v>
      </c>
      <c r="AA49" s="310"/>
      <c r="AB49" s="63"/>
      <c r="AC49" s="360"/>
      <c r="AD49" s="279"/>
      <c r="AE49" s="63"/>
      <c r="AF49" s="360"/>
      <c r="AG49" s="279"/>
      <c r="AH49" s="63"/>
      <c r="AI49" s="360"/>
      <c r="AJ49" s="425"/>
      <c r="AK49" s="395"/>
      <c r="AL49" s="334">
        <v>161040</v>
      </c>
      <c r="AM49" s="161">
        <f t="shared" si="20"/>
        <v>161040</v>
      </c>
      <c r="AN49" s="1013">
        <f t="shared" si="5"/>
        <v>0</v>
      </c>
      <c r="AO49" s="338">
        <v>111040</v>
      </c>
      <c r="AP49" s="1237">
        <f t="shared" si="47"/>
        <v>136040</v>
      </c>
      <c r="AQ49" s="1019">
        <f t="shared" ref="AQ49:AQ67" si="50">AP49-AO49</f>
        <v>25000</v>
      </c>
      <c r="AR49" s="324">
        <v>50000</v>
      </c>
      <c r="AS49" s="162">
        <v>25000</v>
      </c>
      <c r="AT49" s="339">
        <f>AS49-AR49</f>
        <v>-25000</v>
      </c>
      <c r="AU49" s="540"/>
      <c r="AV49" s="324"/>
      <c r="AW49" s="162"/>
      <c r="AX49" s="339">
        <f>AW49-AV49</f>
        <v>0</v>
      </c>
      <c r="AZ49" s="111">
        <v>50000</v>
      </c>
      <c r="BA49" s="111">
        <v>845833.33</v>
      </c>
      <c r="BB49" s="117" t="s">
        <v>242</v>
      </c>
      <c r="BG49" s="617"/>
      <c r="BH49" s="621">
        <f t="shared" ref="BH49:BH50" si="51">AE49-BG49</f>
        <v>0</v>
      </c>
      <c r="BI49" s="617">
        <v>30772.66</v>
      </c>
      <c r="BJ49" s="621">
        <f t="shared" ref="BJ49:BJ61" si="52">AH49-BI49</f>
        <v>-30772.66</v>
      </c>
      <c r="BM49" s="629">
        <f t="shared" si="21"/>
        <v>161040</v>
      </c>
      <c r="BN49" s="629">
        <f t="shared" si="14"/>
        <v>39127.660000000003</v>
      </c>
      <c r="BO49" s="533">
        <f t="shared" si="17"/>
        <v>121912.34</v>
      </c>
      <c r="BP49" s="533">
        <f>BN49</f>
        <v>39127.660000000003</v>
      </c>
      <c r="BQ49" s="617">
        <v>8355</v>
      </c>
      <c r="BR49" s="621">
        <f t="shared" ref="BR49:BR50" si="53">AO49-BQ49</f>
        <v>102685</v>
      </c>
      <c r="BS49" s="617">
        <v>30772.66</v>
      </c>
      <c r="BT49" s="621">
        <f t="shared" ref="BT49:BT75" si="54">AR49-BS49</f>
        <v>19227.34</v>
      </c>
    </row>
    <row r="50" spans="1:74" ht="16.5" customHeight="1" x14ac:dyDescent="0.3">
      <c r="A50" s="437" t="s">
        <v>180</v>
      </c>
      <c r="B50" s="140"/>
      <c r="C50" s="1217">
        <v>244</v>
      </c>
      <c r="D50" s="431">
        <v>33549466.220000003</v>
      </c>
      <c r="E50" s="64">
        <f>H50+R50+AM50+AK50</f>
        <v>45311602.850000001</v>
      </c>
      <c r="F50" s="411">
        <f t="shared" si="1"/>
        <v>11762136.629999999</v>
      </c>
      <c r="G50" s="285">
        <v>11180271.91</v>
      </c>
      <c r="H50" s="158">
        <f>J50+L50+O50</f>
        <v>11180271.91</v>
      </c>
      <c r="I50" s="669">
        <f t="shared" si="19"/>
        <v>0</v>
      </c>
      <c r="J50" s="881"/>
      <c r="K50" s="285">
        <v>7064216.5199999996</v>
      </c>
      <c r="L50" s="158">
        <f t="shared" si="48"/>
        <v>8580271.9100000001</v>
      </c>
      <c r="M50" s="298">
        <f>L50-K50</f>
        <v>1516055.3900000006</v>
      </c>
      <c r="N50" s="285">
        <v>4116055.39</v>
      </c>
      <c r="O50" s="285">
        <v>2600000</v>
      </c>
      <c r="P50" s="367">
        <f>O50-N50</f>
        <v>-1516055.3900000001</v>
      </c>
      <c r="Q50" s="279">
        <v>11762136.630000001</v>
      </c>
      <c r="R50" s="310">
        <f>T50+V50+Y50+AB50+AE50+AH50</f>
        <v>11762136.629999999</v>
      </c>
      <c r="S50" s="375">
        <f>R50-Q50</f>
        <v>0</v>
      </c>
      <c r="T50" s="528"/>
      <c r="U50" s="310"/>
      <c r="V50" s="63"/>
      <c r="W50" s="357">
        <f t="shared" si="2"/>
        <v>0</v>
      </c>
      <c r="X50" s="382">
        <v>2604490.63</v>
      </c>
      <c r="Y50" s="63">
        <v>2604490.63</v>
      </c>
      <c r="Z50" s="360"/>
      <c r="AA50" s="310">
        <v>1571646</v>
      </c>
      <c r="AB50" s="63">
        <v>1571646</v>
      </c>
      <c r="AC50" s="360">
        <f>AB50-AA50</f>
        <v>0</v>
      </c>
      <c r="AD50" s="279"/>
      <c r="AE50" s="63"/>
      <c r="AF50" s="360"/>
      <c r="AG50" s="63">
        <v>7586000</v>
      </c>
      <c r="AH50" s="63">
        <f>AG50</f>
        <v>7586000</v>
      </c>
      <c r="AI50" s="360">
        <f>AH50-AG50</f>
        <v>0</v>
      </c>
      <c r="AJ50" s="425"/>
      <c r="AK50" s="395"/>
      <c r="AL50" s="334">
        <v>22369194.310000002</v>
      </c>
      <c r="AM50" s="161">
        <f t="shared" si="20"/>
        <v>22369194.310000002</v>
      </c>
      <c r="AN50" s="1013">
        <f t="shared" si="5"/>
        <v>0</v>
      </c>
      <c r="AO50" s="338">
        <v>19267792.300000001</v>
      </c>
      <c r="AP50" s="162">
        <f t="shared" si="47"/>
        <v>17048722.300000001</v>
      </c>
      <c r="AQ50" s="1019">
        <f t="shared" si="50"/>
        <v>-2219070</v>
      </c>
      <c r="AR50" s="324">
        <v>1980930</v>
      </c>
      <c r="AS50" s="162">
        <v>4200000</v>
      </c>
      <c r="AT50" s="339">
        <f>AS50-AR50</f>
        <v>2219070</v>
      </c>
      <c r="AU50" s="540"/>
      <c r="AV50" s="324">
        <v>1120472.01</v>
      </c>
      <c r="AW50" s="162">
        <v>1120472.01</v>
      </c>
      <c r="AX50" s="339">
        <f>AW50-AV50</f>
        <v>0</v>
      </c>
      <c r="AZ50" s="122">
        <f>-(AZ38+AZ48+AZ35)</f>
        <v>-2401129.66</v>
      </c>
      <c r="BB50" s="117" t="s">
        <v>180</v>
      </c>
      <c r="BG50" s="617"/>
      <c r="BH50" s="621">
        <f t="shared" si="51"/>
        <v>0</v>
      </c>
      <c r="BI50" s="617">
        <v>879775.94</v>
      </c>
      <c r="BJ50" s="621">
        <f t="shared" si="52"/>
        <v>6706224.0600000005</v>
      </c>
      <c r="BM50" s="629">
        <f t="shared" si="21"/>
        <v>22369194.310000002</v>
      </c>
      <c r="BN50" s="629">
        <f t="shared" si="14"/>
        <v>16781898.300000001</v>
      </c>
      <c r="BO50" s="533">
        <f t="shared" si="17"/>
        <v>5587296.0100000016</v>
      </c>
      <c r="BP50" s="533">
        <f>BN50</f>
        <v>16781898.300000001</v>
      </c>
      <c r="BQ50" s="617">
        <f>15377975.9+224146.46+300000</f>
        <v>15902122.360000001</v>
      </c>
      <c r="BR50" s="621">
        <f t="shared" si="53"/>
        <v>3365669.9399999995</v>
      </c>
      <c r="BS50" s="617">
        <v>879775.94</v>
      </c>
      <c r="BT50" s="621">
        <f t="shared" si="54"/>
        <v>1101154.06</v>
      </c>
    </row>
    <row r="51" spans="1:74" x14ac:dyDescent="0.3">
      <c r="A51" s="437" t="s">
        <v>181</v>
      </c>
      <c r="B51" s="140"/>
      <c r="C51" s="1217">
        <v>244</v>
      </c>
      <c r="D51" s="431">
        <v>0</v>
      </c>
      <c r="E51" s="64">
        <f>H51+R51+AL51+AK51</f>
        <v>0</v>
      </c>
      <c r="F51" s="410">
        <f t="shared" si="1"/>
        <v>0</v>
      </c>
      <c r="G51" s="285"/>
      <c r="H51" s="158"/>
      <c r="I51" s="669">
        <f t="shared" si="19"/>
        <v>0</v>
      </c>
      <c r="J51" s="881"/>
      <c r="K51" s="285"/>
      <c r="L51" s="158">
        <f t="shared" si="48"/>
        <v>0</v>
      </c>
      <c r="M51" s="298"/>
      <c r="N51" s="285"/>
      <c r="O51" s="285"/>
      <c r="P51" s="367"/>
      <c r="Q51" s="279"/>
      <c r="R51" s="310"/>
      <c r="S51" s="375"/>
      <c r="T51" s="528"/>
      <c r="U51" s="310"/>
      <c r="V51" s="63"/>
      <c r="W51" s="357">
        <f t="shared" si="2"/>
        <v>0</v>
      </c>
      <c r="X51" s="382"/>
      <c r="Y51" s="63">
        <f t="shared" si="49"/>
        <v>0</v>
      </c>
      <c r="Z51" s="360">
        <f>X51-W51</f>
        <v>0</v>
      </c>
      <c r="AA51" s="310"/>
      <c r="AB51" s="63"/>
      <c r="AC51" s="360"/>
      <c r="AD51" s="279"/>
      <c r="AE51" s="63"/>
      <c r="AF51" s="360"/>
      <c r="AG51" s="279"/>
      <c r="AH51" s="63"/>
      <c r="AI51" s="360">
        <f t="shared" ref="AI51:AI55" si="55">AH51-AG51</f>
        <v>0</v>
      </c>
      <c r="AJ51" s="425"/>
      <c r="AK51" s="395"/>
      <c r="AL51" s="334">
        <v>0</v>
      </c>
      <c r="AM51" s="161">
        <f t="shared" si="20"/>
        <v>0</v>
      </c>
      <c r="AN51" s="1013">
        <f t="shared" si="5"/>
        <v>0</v>
      </c>
      <c r="AO51" s="338">
        <v>0</v>
      </c>
      <c r="AP51" s="162">
        <f t="shared" si="47"/>
        <v>0</v>
      </c>
      <c r="AQ51" s="1019">
        <f t="shared" si="50"/>
        <v>0</v>
      </c>
      <c r="AR51" s="324"/>
      <c r="AS51" s="162"/>
      <c r="AT51" s="339"/>
      <c r="AU51" s="540"/>
      <c r="AV51" s="324"/>
      <c r="AW51" s="162"/>
      <c r="AX51" s="339"/>
      <c r="AZ51" s="111">
        <v>23168167.190000001</v>
      </c>
      <c r="BA51" s="111">
        <v>2186471.81</v>
      </c>
      <c r="BB51" s="117" t="s">
        <v>243</v>
      </c>
      <c r="BG51" s="617"/>
      <c r="BH51" s="621">
        <f>AF51-BG51</f>
        <v>0</v>
      </c>
      <c r="BI51" s="617"/>
      <c r="BJ51" s="621">
        <f t="shared" si="52"/>
        <v>0</v>
      </c>
      <c r="BM51" s="629">
        <f t="shared" si="21"/>
        <v>0</v>
      </c>
      <c r="BN51" s="629">
        <f t="shared" si="14"/>
        <v>0</v>
      </c>
      <c r="BO51" s="533">
        <f t="shared" si="17"/>
        <v>0</v>
      </c>
      <c r="BP51" s="533"/>
      <c r="BQ51" s="617"/>
      <c r="BR51" s="621">
        <f>AP51-BQ51</f>
        <v>0</v>
      </c>
      <c r="BS51" s="617"/>
      <c r="BT51" s="621">
        <f t="shared" si="54"/>
        <v>0</v>
      </c>
    </row>
    <row r="52" spans="1:74" x14ac:dyDescent="0.3">
      <c r="A52" s="1417" t="s">
        <v>182</v>
      </c>
      <c r="B52" s="142"/>
      <c r="C52" s="1414">
        <v>243</v>
      </c>
      <c r="D52" s="431">
        <v>0</v>
      </c>
      <c r="E52" s="64">
        <f t="shared" ref="E52:E59" si="56">H52+R52+AM52+AK52</f>
        <v>1253015908.2</v>
      </c>
      <c r="F52" s="411">
        <f t="shared" si="1"/>
        <v>1253015908.2</v>
      </c>
      <c r="G52" s="285"/>
      <c r="H52" s="158"/>
      <c r="I52" s="669">
        <f t="shared" si="19"/>
        <v>0</v>
      </c>
      <c r="J52" s="883"/>
      <c r="K52" s="286"/>
      <c r="L52" s="158">
        <f t="shared" si="48"/>
        <v>0</v>
      </c>
      <c r="M52" s="300"/>
      <c r="N52" s="286"/>
      <c r="O52" s="286"/>
      <c r="P52" s="368"/>
      <c r="Q52" s="279">
        <v>1003324908.2</v>
      </c>
      <c r="R52" s="310">
        <f>T52+V52+Y52+AB52+AE52+AH52</f>
        <v>1253015908.2</v>
      </c>
      <c r="S52" s="375">
        <f>R52-Q52</f>
        <v>249691000</v>
      </c>
      <c r="T52" s="528">
        <v>146375908.19999999</v>
      </c>
      <c r="U52" s="310">
        <v>856949000</v>
      </c>
      <c r="V52" s="63">
        <v>1106640000</v>
      </c>
      <c r="W52" s="360">
        <f t="shared" si="2"/>
        <v>249691000</v>
      </c>
      <c r="X52" s="382"/>
      <c r="Y52" s="63">
        <f t="shared" si="49"/>
        <v>0</v>
      </c>
      <c r="Z52" s="360"/>
      <c r="AA52" s="310"/>
      <c r="AB52" s="63"/>
      <c r="AC52" s="360"/>
      <c r="AD52" s="279"/>
      <c r="AE52" s="63"/>
      <c r="AF52" s="360"/>
      <c r="AG52" s="279"/>
      <c r="AH52" s="63"/>
      <c r="AI52" s="360">
        <f t="shared" si="55"/>
        <v>0</v>
      </c>
      <c r="AJ52" s="425"/>
      <c r="AK52" s="397"/>
      <c r="AL52" s="334">
        <v>0</v>
      </c>
      <c r="AM52" s="161">
        <f t="shared" si="20"/>
        <v>0</v>
      </c>
      <c r="AN52" s="1013">
        <f t="shared" si="5"/>
        <v>0</v>
      </c>
      <c r="AO52" s="340">
        <v>0</v>
      </c>
      <c r="AP52" s="162">
        <f t="shared" si="47"/>
        <v>0</v>
      </c>
      <c r="AQ52" s="1019">
        <f t="shared" si="50"/>
        <v>0</v>
      </c>
      <c r="AR52" s="401"/>
      <c r="AS52" s="259"/>
      <c r="AT52" s="341"/>
      <c r="AU52" s="540"/>
      <c r="AV52" s="401"/>
      <c r="AW52" s="259"/>
      <c r="AX52" s="341"/>
      <c r="AZ52" s="111">
        <f>AL50-AZ51</f>
        <v>-798972.87999999896</v>
      </c>
      <c r="BG52" s="617"/>
      <c r="BH52" s="621">
        <f>AF52-BG52</f>
        <v>0</v>
      </c>
      <c r="BI52" s="617"/>
      <c r="BJ52" s="621">
        <f t="shared" si="52"/>
        <v>0</v>
      </c>
      <c r="BM52" s="629">
        <f t="shared" si="21"/>
        <v>0</v>
      </c>
      <c r="BN52" s="629">
        <f t="shared" si="14"/>
        <v>0</v>
      </c>
      <c r="BO52" s="533">
        <f t="shared" si="17"/>
        <v>0</v>
      </c>
      <c r="BP52" s="533"/>
      <c r="BQ52" s="617"/>
      <c r="BR52" s="621">
        <f>AP52-BQ52</f>
        <v>0</v>
      </c>
      <c r="BS52" s="617"/>
      <c r="BT52" s="621">
        <f t="shared" si="54"/>
        <v>0</v>
      </c>
    </row>
    <row r="53" spans="1:74" s="145" customFormat="1" ht="19.5" hidden="1" customHeight="1" x14ac:dyDescent="0.3">
      <c r="A53" s="1418"/>
      <c r="B53" s="143"/>
      <c r="C53" s="1415"/>
      <c r="D53" s="432">
        <v>0</v>
      </c>
      <c r="E53" s="64">
        <f t="shared" si="56"/>
        <v>0</v>
      </c>
      <c r="F53" s="411">
        <f t="shared" si="1"/>
        <v>0</v>
      </c>
      <c r="G53" s="285"/>
      <c r="H53" s="158"/>
      <c r="I53" s="669">
        <f t="shared" si="19"/>
        <v>0</v>
      </c>
      <c r="J53" s="884"/>
      <c r="K53" s="287"/>
      <c r="L53" s="158">
        <f t="shared" si="48"/>
        <v>0</v>
      </c>
      <c r="M53" s="302"/>
      <c r="N53" s="287"/>
      <c r="O53" s="287"/>
      <c r="P53" s="369"/>
      <c r="Q53" s="279">
        <v>0</v>
      </c>
      <c r="R53" s="310">
        <f t="shared" ref="R53:R66" si="57">T53+V53+Y53+AB53+AE53+AH53</f>
        <v>0</v>
      </c>
      <c r="S53" s="375">
        <f t="shared" ref="S53:S59" si="58">R53-Q53</f>
        <v>0</v>
      </c>
      <c r="T53" s="529"/>
      <c r="U53" s="523"/>
      <c r="V53" s="163"/>
      <c r="W53" s="360">
        <f t="shared" si="2"/>
        <v>0</v>
      </c>
      <c r="X53" s="384"/>
      <c r="Y53" s="63">
        <f t="shared" si="49"/>
        <v>0</v>
      </c>
      <c r="Z53" s="360">
        <f>X53-W53</f>
        <v>0</v>
      </c>
      <c r="AA53" s="523"/>
      <c r="AB53" s="163"/>
      <c r="AC53" s="361"/>
      <c r="AD53" s="280"/>
      <c r="AE53" s="163"/>
      <c r="AF53" s="361"/>
      <c r="AG53" s="280"/>
      <c r="AH53" s="163"/>
      <c r="AI53" s="360">
        <f t="shared" si="55"/>
        <v>0</v>
      </c>
      <c r="AJ53" s="427"/>
      <c r="AK53" s="398"/>
      <c r="AL53" s="334">
        <v>0</v>
      </c>
      <c r="AM53" s="161">
        <f t="shared" si="20"/>
        <v>0</v>
      </c>
      <c r="AN53" s="1013">
        <f t="shared" si="5"/>
        <v>0</v>
      </c>
      <c r="AO53" s="342">
        <v>0</v>
      </c>
      <c r="AP53" s="162">
        <f t="shared" si="47"/>
        <v>0</v>
      </c>
      <c r="AQ53" s="1019">
        <f t="shared" si="50"/>
        <v>0</v>
      </c>
      <c r="AR53" s="402"/>
      <c r="AS53" s="262"/>
      <c r="AT53" s="343"/>
      <c r="AU53" s="544"/>
      <c r="AV53" s="402"/>
      <c r="AW53" s="262"/>
      <c r="AX53" s="343"/>
      <c r="BG53" s="617"/>
      <c r="BH53" s="621">
        <f>AF53-BG53</f>
        <v>0</v>
      </c>
      <c r="BI53" s="617"/>
      <c r="BJ53" s="621">
        <f t="shared" si="52"/>
        <v>0</v>
      </c>
      <c r="BM53" s="629">
        <f t="shared" si="21"/>
        <v>0</v>
      </c>
      <c r="BN53" s="629">
        <f t="shared" si="14"/>
        <v>0</v>
      </c>
      <c r="BO53" s="533">
        <f t="shared" si="17"/>
        <v>0</v>
      </c>
      <c r="BP53" s="533"/>
      <c r="BQ53" s="617"/>
      <c r="BR53" s="621">
        <f>AP53-BQ53</f>
        <v>0</v>
      </c>
      <c r="BS53" s="617"/>
      <c r="BT53" s="621">
        <f t="shared" si="54"/>
        <v>0</v>
      </c>
    </row>
    <row r="54" spans="1:74" s="145" customFormat="1" ht="19.5" hidden="1" customHeight="1" x14ac:dyDescent="0.3">
      <c r="A54" s="1418"/>
      <c r="B54" s="143"/>
      <c r="C54" s="1416"/>
      <c r="D54" s="432">
        <v>0</v>
      </c>
      <c r="E54" s="64">
        <f t="shared" si="56"/>
        <v>0</v>
      </c>
      <c r="F54" s="411">
        <f t="shared" si="1"/>
        <v>0</v>
      </c>
      <c r="G54" s="285"/>
      <c r="H54" s="158"/>
      <c r="I54" s="669">
        <f t="shared" si="19"/>
        <v>0</v>
      </c>
      <c r="J54" s="884"/>
      <c r="K54" s="287"/>
      <c r="L54" s="158">
        <f t="shared" si="48"/>
        <v>0</v>
      </c>
      <c r="M54" s="302"/>
      <c r="N54" s="287"/>
      <c r="O54" s="287"/>
      <c r="P54" s="369"/>
      <c r="Q54" s="279">
        <v>0</v>
      </c>
      <c r="R54" s="310">
        <f t="shared" si="57"/>
        <v>0</v>
      </c>
      <c r="S54" s="375">
        <f t="shared" si="58"/>
        <v>0</v>
      </c>
      <c r="T54" s="529"/>
      <c r="U54" s="523"/>
      <c r="V54" s="163"/>
      <c r="W54" s="360">
        <f t="shared" si="2"/>
        <v>0</v>
      </c>
      <c r="X54" s="384"/>
      <c r="Y54" s="63">
        <f t="shared" si="49"/>
        <v>0</v>
      </c>
      <c r="Z54" s="360">
        <f>X54-W54</f>
        <v>0</v>
      </c>
      <c r="AA54" s="523"/>
      <c r="AB54" s="163"/>
      <c r="AC54" s="361"/>
      <c r="AD54" s="280"/>
      <c r="AE54" s="163"/>
      <c r="AF54" s="361"/>
      <c r="AG54" s="280"/>
      <c r="AH54" s="163"/>
      <c r="AI54" s="360">
        <f t="shared" si="55"/>
        <v>0</v>
      </c>
      <c r="AJ54" s="427"/>
      <c r="AK54" s="398"/>
      <c r="AL54" s="334">
        <v>0</v>
      </c>
      <c r="AM54" s="161">
        <f t="shared" si="20"/>
        <v>0</v>
      </c>
      <c r="AN54" s="1013">
        <f t="shared" si="5"/>
        <v>0</v>
      </c>
      <c r="AO54" s="342">
        <v>0</v>
      </c>
      <c r="AP54" s="162">
        <f t="shared" si="47"/>
        <v>0</v>
      </c>
      <c r="AQ54" s="1019">
        <f t="shared" si="50"/>
        <v>0</v>
      </c>
      <c r="AR54" s="402"/>
      <c r="AS54" s="262"/>
      <c r="AT54" s="343"/>
      <c r="AU54" s="544"/>
      <c r="AV54" s="402"/>
      <c r="AW54" s="262"/>
      <c r="AX54" s="343"/>
      <c r="AZ54" s="111"/>
      <c r="BA54" s="146"/>
      <c r="BB54" s="117" t="s">
        <v>239</v>
      </c>
      <c r="BC54" s="117"/>
      <c r="BD54" s="117"/>
      <c r="BE54" s="117"/>
      <c r="BF54" s="117"/>
      <c r="BG54" s="617"/>
      <c r="BH54" s="621">
        <f>AF54-BG54</f>
        <v>0</v>
      </c>
      <c r="BI54" s="617"/>
      <c r="BJ54" s="621">
        <f t="shared" si="52"/>
        <v>0</v>
      </c>
      <c r="BK54" s="117"/>
      <c r="BL54" s="117"/>
      <c r="BM54" s="629">
        <f t="shared" si="21"/>
        <v>0</v>
      </c>
      <c r="BN54" s="629">
        <f t="shared" si="14"/>
        <v>0</v>
      </c>
      <c r="BO54" s="533">
        <f t="shared" si="17"/>
        <v>0</v>
      </c>
      <c r="BP54" s="533"/>
      <c r="BQ54" s="617"/>
      <c r="BR54" s="621">
        <f>AP54-BQ54</f>
        <v>0</v>
      </c>
      <c r="BS54" s="617"/>
      <c r="BT54" s="621">
        <f t="shared" si="54"/>
        <v>0</v>
      </c>
    </row>
    <row r="55" spans="1:74" ht="19.5" customHeight="1" x14ac:dyDescent="0.3">
      <c r="A55" s="1419"/>
      <c r="B55" s="147"/>
      <c r="C55" s="444">
        <v>244</v>
      </c>
      <c r="D55" s="431">
        <v>49663432.989999995</v>
      </c>
      <c r="E55" s="64">
        <f t="shared" si="56"/>
        <v>93325561.939999998</v>
      </c>
      <c r="F55" s="411">
        <f t="shared" si="1"/>
        <v>43662128.950000003</v>
      </c>
      <c r="G55" s="285">
        <v>6515818.2999999998</v>
      </c>
      <c r="H55" s="158">
        <f>J55+L55+O55</f>
        <v>8500000</v>
      </c>
      <c r="I55" s="669">
        <f t="shared" si="19"/>
        <v>1984181.7000000002</v>
      </c>
      <c r="J55" s="881"/>
      <c r="K55" s="285">
        <v>3934762.54</v>
      </c>
      <c r="L55" s="1236">
        <v>4500000</v>
      </c>
      <c r="M55" s="298">
        <f>L55-K55</f>
        <v>565237.46</v>
      </c>
      <c r="N55" s="285">
        <v>2581055.7599999998</v>
      </c>
      <c r="O55" s="285">
        <f>4000000</f>
        <v>4000000</v>
      </c>
      <c r="P55" s="367">
        <f>O55-N55</f>
        <v>1418944.2400000002</v>
      </c>
      <c r="Q55" s="279">
        <v>4671847.25</v>
      </c>
      <c r="R55" s="310">
        <f t="shared" si="57"/>
        <v>41677947.25</v>
      </c>
      <c r="S55" s="375">
        <f t="shared" si="58"/>
        <v>37006100</v>
      </c>
      <c r="T55" s="528">
        <v>429259.19</v>
      </c>
      <c r="U55" s="310"/>
      <c r="V55" s="1068">
        <f>28582600+9240650.4-817150.39-0.01</f>
        <v>37006100</v>
      </c>
      <c r="W55" s="360">
        <f t="shared" si="2"/>
        <v>37006100</v>
      </c>
      <c r="X55" s="382">
        <v>978752.37</v>
      </c>
      <c r="Y55" s="63">
        <f>978752.36+0.01</f>
        <v>978752.37</v>
      </c>
      <c r="Z55" s="360"/>
      <c r="AA55" s="310">
        <v>1687314.17</v>
      </c>
      <c r="AB55" s="63">
        <v>1687314.17</v>
      </c>
      <c r="AC55" s="360">
        <f>AB55-AA55</f>
        <v>0</v>
      </c>
      <c r="AD55" s="279"/>
      <c r="AE55" s="63"/>
      <c r="AF55" s="360"/>
      <c r="AG55" s="279">
        <v>1576521.5200000003</v>
      </c>
      <c r="AH55" s="63">
        <f>AG55</f>
        <v>1576521.5200000003</v>
      </c>
      <c r="AI55" s="360">
        <f t="shared" si="55"/>
        <v>0</v>
      </c>
      <c r="AJ55" s="425"/>
      <c r="AK55" s="395"/>
      <c r="AL55" s="334">
        <v>43147614.689999998</v>
      </c>
      <c r="AM55" s="161">
        <f t="shared" si="20"/>
        <v>43147614.689999998</v>
      </c>
      <c r="AN55" s="1013">
        <f t="shared" si="5"/>
        <v>0</v>
      </c>
      <c r="AO55" s="338">
        <v>38155862.189999998</v>
      </c>
      <c r="AP55" s="162">
        <f t="shared" si="47"/>
        <v>39945000.269999996</v>
      </c>
      <c r="AQ55" s="1019">
        <f t="shared" si="50"/>
        <v>1789138.0799999982</v>
      </c>
      <c r="AR55" s="324">
        <v>4289138.08</v>
      </c>
      <c r="AS55" s="162">
        <v>2500000</v>
      </c>
      <c r="AT55" s="339">
        <f>AS55-AR55</f>
        <v>-1789138.08</v>
      </c>
      <c r="AU55" s="540"/>
      <c r="AV55" s="324">
        <v>702614.42</v>
      </c>
      <c r="AW55" s="162">
        <v>702614.42</v>
      </c>
      <c r="AX55" s="339">
        <f>AW55-AV55</f>
        <v>0</v>
      </c>
      <c r="AZ55" s="111">
        <v>11260837.890000001</v>
      </c>
      <c r="BA55" s="111">
        <v>2931349.03</v>
      </c>
      <c r="BB55" s="117" t="s">
        <v>238</v>
      </c>
      <c r="BG55" s="617"/>
      <c r="BH55" s="621">
        <f>AE55-BG55</f>
        <v>0</v>
      </c>
      <c r="BI55" s="617">
        <v>1302967.3999999999</v>
      </c>
      <c r="BJ55" s="621">
        <f t="shared" si="52"/>
        <v>273554.12000000034</v>
      </c>
      <c r="BM55" s="629">
        <f t="shared" si="21"/>
        <v>43147614.689999998</v>
      </c>
      <c r="BN55" s="629">
        <f t="shared" si="14"/>
        <v>8810001.3200000003</v>
      </c>
      <c r="BO55" s="533">
        <f t="shared" si="17"/>
        <v>34337613.369999997</v>
      </c>
      <c r="BP55" s="533">
        <f>BN55</f>
        <v>8810001.3200000003</v>
      </c>
      <c r="BQ55" s="617">
        <f>7007033.92+500000</f>
        <v>7507033.9199999999</v>
      </c>
      <c r="BR55" s="621">
        <f>AO55-BQ55</f>
        <v>30648828.269999996</v>
      </c>
      <c r="BS55" s="617">
        <v>1302967.3999999999</v>
      </c>
      <c r="BT55" s="621">
        <f t="shared" si="54"/>
        <v>2986170.68</v>
      </c>
    </row>
    <row r="56" spans="1:74" ht="19.5" customHeight="1" x14ac:dyDescent="0.3">
      <c r="A56" s="1417" t="s">
        <v>183</v>
      </c>
      <c r="B56" s="148"/>
      <c r="C56" s="1414">
        <v>243</v>
      </c>
      <c r="D56" s="431">
        <v>0</v>
      </c>
      <c r="E56" s="64">
        <f t="shared" si="56"/>
        <v>115847257.70999999</v>
      </c>
      <c r="F56" s="411">
        <f t="shared" si="1"/>
        <v>115847257.70999999</v>
      </c>
      <c r="G56" s="285"/>
      <c r="H56" s="158"/>
      <c r="I56" s="669">
        <f t="shared" si="19"/>
        <v>0</v>
      </c>
      <c r="J56" s="883"/>
      <c r="K56" s="286"/>
      <c r="L56" s="158">
        <f t="shared" si="48"/>
        <v>0</v>
      </c>
      <c r="M56" s="300"/>
      <c r="N56" s="286"/>
      <c r="O56" s="286"/>
      <c r="P56" s="368"/>
      <c r="Q56" s="279">
        <v>52389110</v>
      </c>
      <c r="R56" s="310">
        <f t="shared" si="57"/>
        <v>115847257.70999999</v>
      </c>
      <c r="S56" s="375">
        <f t="shared" si="58"/>
        <v>63458147.709999993</v>
      </c>
      <c r="T56" s="528">
        <v>4389110</v>
      </c>
      <c r="U56" s="310">
        <v>48000000</v>
      </c>
      <c r="V56" s="63">
        <v>111458147.70999999</v>
      </c>
      <c r="W56" s="360">
        <f t="shared" si="2"/>
        <v>63458147.709999993</v>
      </c>
      <c r="X56" s="382"/>
      <c r="Y56" s="63"/>
      <c r="Z56" s="360"/>
      <c r="AA56" s="310"/>
      <c r="AB56" s="63"/>
      <c r="AC56" s="360"/>
      <c r="AD56" s="279"/>
      <c r="AE56" s="63"/>
      <c r="AF56" s="360"/>
      <c r="AG56" s="279"/>
      <c r="AH56" s="63"/>
      <c r="AI56" s="360"/>
      <c r="AJ56" s="425"/>
      <c r="AK56" s="397"/>
      <c r="AL56" s="334">
        <v>0</v>
      </c>
      <c r="AM56" s="161">
        <f t="shared" si="20"/>
        <v>0</v>
      </c>
      <c r="AN56" s="1013">
        <f t="shared" si="5"/>
        <v>0</v>
      </c>
      <c r="AO56" s="340">
        <v>0</v>
      </c>
      <c r="AP56" s="162">
        <f t="shared" si="47"/>
        <v>0</v>
      </c>
      <c r="AQ56" s="1019">
        <f t="shared" si="50"/>
        <v>0</v>
      </c>
      <c r="AR56" s="401"/>
      <c r="AS56" s="259"/>
      <c r="AT56" s="341"/>
      <c r="AU56" s="540"/>
      <c r="AV56" s="401"/>
      <c r="AW56" s="259"/>
      <c r="AX56" s="341"/>
      <c r="BG56" s="617"/>
      <c r="BH56" s="621">
        <f>AF56-BG56</f>
        <v>0</v>
      </c>
      <c r="BI56" s="617"/>
      <c r="BJ56" s="621">
        <f t="shared" si="52"/>
        <v>0</v>
      </c>
      <c r="BM56" s="629">
        <f t="shared" si="21"/>
        <v>0</v>
      </c>
      <c r="BN56" s="629">
        <f t="shared" si="14"/>
        <v>0</v>
      </c>
      <c r="BO56" s="533">
        <f t="shared" si="17"/>
        <v>0</v>
      </c>
      <c r="BP56" s="533"/>
      <c r="BQ56" s="617"/>
      <c r="BR56" s="621">
        <f>AP56-BQ56</f>
        <v>0</v>
      </c>
      <c r="BS56" s="617"/>
      <c r="BT56" s="621">
        <f t="shared" si="54"/>
        <v>0</v>
      </c>
    </row>
    <row r="57" spans="1:74" s="145" customFormat="1" ht="18.75" hidden="1" customHeight="1" x14ac:dyDescent="0.3">
      <c r="A57" s="1418"/>
      <c r="B57" s="149"/>
      <c r="C57" s="1415"/>
      <c r="D57" s="432">
        <v>0</v>
      </c>
      <c r="E57" s="64">
        <f t="shared" si="56"/>
        <v>0</v>
      </c>
      <c r="F57" s="411">
        <f t="shared" si="1"/>
        <v>0</v>
      </c>
      <c r="G57" s="285"/>
      <c r="H57" s="158"/>
      <c r="I57" s="669">
        <f t="shared" si="19"/>
        <v>0</v>
      </c>
      <c r="J57" s="884"/>
      <c r="K57" s="287"/>
      <c r="L57" s="158">
        <f t="shared" si="48"/>
        <v>0</v>
      </c>
      <c r="M57" s="302"/>
      <c r="N57" s="287"/>
      <c r="O57" s="287"/>
      <c r="P57" s="369"/>
      <c r="Q57" s="279">
        <v>0</v>
      </c>
      <c r="R57" s="310">
        <f t="shared" si="57"/>
        <v>0</v>
      </c>
      <c r="S57" s="375">
        <f t="shared" si="58"/>
        <v>0</v>
      </c>
      <c r="T57" s="529"/>
      <c r="U57" s="523"/>
      <c r="V57" s="163"/>
      <c r="W57" s="360">
        <f t="shared" si="2"/>
        <v>0</v>
      </c>
      <c r="X57" s="384"/>
      <c r="Y57" s="63">
        <f t="shared" si="49"/>
        <v>0</v>
      </c>
      <c r="Z57" s="360">
        <f>X57-W57</f>
        <v>0</v>
      </c>
      <c r="AA57" s="523"/>
      <c r="AB57" s="163"/>
      <c r="AC57" s="361"/>
      <c r="AD57" s="280"/>
      <c r="AE57" s="163"/>
      <c r="AF57" s="361"/>
      <c r="AG57" s="280"/>
      <c r="AH57" s="163"/>
      <c r="AI57" s="361"/>
      <c r="AJ57" s="427"/>
      <c r="AK57" s="398"/>
      <c r="AL57" s="334">
        <v>0</v>
      </c>
      <c r="AM57" s="161">
        <f t="shared" si="20"/>
        <v>0</v>
      </c>
      <c r="AN57" s="1013">
        <f t="shared" si="5"/>
        <v>0</v>
      </c>
      <c r="AO57" s="342">
        <v>0</v>
      </c>
      <c r="AP57" s="162">
        <f t="shared" si="47"/>
        <v>0</v>
      </c>
      <c r="AQ57" s="1019">
        <f t="shared" si="50"/>
        <v>0</v>
      </c>
      <c r="AR57" s="402"/>
      <c r="AS57" s="262"/>
      <c r="AT57" s="343"/>
      <c r="AU57" s="544"/>
      <c r="AV57" s="402"/>
      <c r="AW57" s="262"/>
      <c r="AX57" s="343"/>
      <c r="BG57" s="617"/>
      <c r="BH57" s="621">
        <f>AF57-BG57</f>
        <v>0</v>
      </c>
      <c r="BI57" s="617"/>
      <c r="BJ57" s="621">
        <f t="shared" si="52"/>
        <v>0</v>
      </c>
      <c r="BM57" s="629">
        <f t="shared" si="21"/>
        <v>0</v>
      </c>
      <c r="BN57" s="629">
        <f t="shared" si="14"/>
        <v>0</v>
      </c>
      <c r="BO57" s="533">
        <f t="shared" si="17"/>
        <v>0</v>
      </c>
      <c r="BP57" s="533"/>
      <c r="BQ57" s="617"/>
      <c r="BR57" s="621">
        <f>AP57-BQ57</f>
        <v>0</v>
      </c>
      <c r="BS57" s="617"/>
      <c r="BT57" s="621">
        <f t="shared" si="54"/>
        <v>0</v>
      </c>
    </row>
    <row r="58" spans="1:74" s="145" customFormat="1" ht="33.75" hidden="1" customHeight="1" x14ac:dyDescent="0.3">
      <c r="A58" s="1418"/>
      <c r="B58" s="149"/>
      <c r="C58" s="1416"/>
      <c r="D58" s="432">
        <v>0</v>
      </c>
      <c r="E58" s="64">
        <f t="shared" si="56"/>
        <v>0</v>
      </c>
      <c r="F58" s="411">
        <f t="shared" si="1"/>
        <v>0</v>
      </c>
      <c r="G58" s="285"/>
      <c r="H58" s="158"/>
      <c r="I58" s="669">
        <f t="shared" si="19"/>
        <v>0</v>
      </c>
      <c r="J58" s="884"/>
      <c r="K58" s="287"/>
      <c r="L58" s="158">
        <f t="shared" si="48"/>
        <v>0</v>
      </c>
      <c r="M58" s="302"/>
      <c r="N58" s="287"/>
      <c r="O58" s="287"/>
      <c r="P58" s="369"/>
      <c r="Q58" s="279">
        <v>0</v>
      </c>
      <c r="R58" s="310">
        <f t="shared" si="57"/>
        <v>0</v>
      </c>
      <c r="S58" s="375">
        <f t="shared" si="58"/>
        <v>0</v>
      </c>
      <c r="T58" s="529"/>
      <c r="U58" s="523"/>
      <c r="V58" s="163"/>
      <c r="W58" s="360">
        <f t="shared" si="2"/>
        <v>0</v>
      </c>
      <c r="X58" s="384"/>
      <c r="Y58" s="63">
        <f t="shared" si="49"/>
        <v>0</v>
      </c>
      <c r="Z58" s="360">
        <f>X58-W58</f>
        <v>0</v>
      </c>
      <c r="AA58" s="523"/>
      <c r="AB58" s="163"/>
      <c r="AC58" s="361"/>
      <c r="AD58" s="280"/>
      <c r="AE58" s="163"/>
      <c r="AF58" s="361"/>
      <c r="AG58" s="280"/>
      <c r="AH58" s="163"/>
      <c r="AI58" s="361"/>
      <c r="AJ58" s="427"/>
      <c r="AK58" s="398"/>
      <c r="AL58" s="334">
        <v>0</v>
      </c>
      <c r="AM58" s="161">
        <f t="shared" si="20"/>
        <v>0</v>
      </c>
      <c r="AN58" s="1013">
        <f t="shared" si="5"/>
        <v>0</v>
      </c>
      <c r="AO58" s="342">
        <v>0</v>
      </c>
      <c r="AP58" s="162">
        <f t="shared" si="47"/>
        <v>0</v>
      </c>
      <c r="AQ58" s="1019">
        <f t="shared" si="50"/>
        <v>0</v>
      </c>
      <c r="AR58" s="402"/>
      <c r="AS58" s="262"/>
      <c r="AT58" s="343"/>
      <c r="AU58" s="544"/>
      <c r="AV58" s="402"/>
      <c r="AW58" s="262"/>
      <c r="AX58" s="343"/>
      <c r="BG58" s="617"/>
      <c r="BH58" s="621">
        <f>AF58-BG58</f>
        <v>0</v>
      </c>
      <c r="BI58" s="617"/>
      <c r="BJ58" s="621">
        <f t="shared" si="52"/>
        <v>0</v>
      </c>
      <c r="BM58" s="629">
        <f t="shared" si="21"/>
        <v>0</v>
      </c>
      <c r="BN58" s="629">
        <f t="shared" si="14"/>
        <v>0</v>
      </c>
      <c r="BO58" s="533">
        <f t="shared" si="17"/>
        <v>0</v>
      </c>
      <c r="BP58" s="533"/>
      <c r="BQ58" s="617"/>
      <c r="BR58" s="621">
        <f>AP58-BQ58</f>
        <v>0</v>
      </c>
      <c r="BS58" s="617"/>
      <c r="BT58" s="621">
        <f t="shared" si="54"/>
        <v>0</v>
      </c>
    </row>
    <row r="59" spans="1:74" ht="19.5" customHeight="1" x14ac:dyDescent="0.3">
      <c r="A59" s="1419"/>
      <c r="B59" s="140"/>
      <c r="C59" s="444">
        <v>244</v>
      </c>
      <c r="D59" s="431">
        <v>23598301.169999998</v>
      </c>
      <c r="E59" s="64">
        <f t="shared" si="56"/>
        <v>865486725.5</v>
      </c>
      <c r="F59" s="411">
        <f t="shared" si="1"/>
        <v>841888424.33000004</v>
      </c>
      <c r="G59" s="285">
        <v>3819615.4699999997</v>
      </c>
      <c r="H59" s="158">
        <f>J59+L59+O59</f>
        <v>3819615.4699999997</v>
      </c>
      <c r="I59" s="669">
        <f t="shared" si="19"/>
        <v>0</v>
      </c>
      <c r="J59" s="881"/>
      <c r="K59" s="285">
        <v>2389277.44</v>
      </c>
      <c r="L59" s="158">
        <f t="shared" si="48"/>
        <v>3319615.4699999997</v>
      </c>
      <c r="M59" s="298">
        <f>L59-K59</f>
        <v>930338.0299999998</v>
      </c>
      <c r="N59" s="285">
        <v>1430338.03</v>
      </c>
      <c r="O59" s="285">
        <v>500000</v>
      </c>
      <c r="P59" s="367">
        <f>O59-N59</f>
        <v>-930338.03</v>
      </c>
      <c r="Q59" s="279">
        <v>297440872.04000002</v>
      </c>
      <c r="R59" s="310">
        <f t="shared" si="57"/>
        <v>841838424.32999992</v>
      </c>
      <c r="S59" s="375">
        <f t="shared" si="58"/>
        <v>544397552.28999996</v>
      </c>
      <c r="T59" s="528">
        <f>143149690.39</f>
        <v>143149690.38999999</v>
      </c>
      <c r="U59" s="310">
        <v>153500000</v>
      </c>
      <c r="V59" s="63">
        <v>697897552.28999996</v>
      </c>
      <c r="W59" s="360">
        <f>V59-U59</f>
        <v>544397552.28999996</v>
      </c>
      <c r="X59" s="382">
        <v>733581.65</v>
      </c>
      <c r="Y59" s="63">
        <v>733581.65</v>
      </c>
      <c r="Z59" s="360"/>
      <c r="AA59" s="310">
        <v>57600</v>
      </c>
      <c r="AB59" s="63">
        <v>57600</v>
      </c>
      <c r="AC59" s="360">
        <f>AB59-AA59</f>
        <v>0</v>
      </c>
      <c r="AD59" s="279"/>
      <c r="AE59" s="63"/>
      <c r="AF59" s="360"/>
      <c r="AG59" s="279"/>
      <c r="AH59" s="63"/>
      <c r="AI59" s="360"/>
      <c r="AJ59" s="425"/>
      <c r="AK59" s="395">
        <v>50000</v>
      </c>
      <c r="AL59" s="334">
        <v>19778685.699999999</v>
      </c>
      <c r="AM59" s="161">
        <f t="shared" si="20"/>
        <v>19778685.699999999</v>
      </c>
      <c r="AN59" s="1013">
        <f t="shared" si="5"/>
        <v>0</v>
      </c>
      <c r="AO59" s="338">
        <v>18130316.859999999</v>
      </c>
      <c r="AP59" s="162">
        <f t="shared" si="47"/>
        <v>17289319.23</v>
      </c>
      <c r="AQ59" s="1019">
        <f t="shared" si="50"/>
        <v>-840997.62999999896</v>
      </c>
      <c r="AR59" s="324">
        <v>1259002.3700000001</v>
      </c>
      <c r="AS59" s="162">
        <v>2100000</v>
      </c>
      <c r="AT59" s="339">
        <f>AS59-AR59</f>
        <v>840997.62999999989</v>
      </c>
      <c r="AU59" s="540"/>
      <c r="AV59" s="324">
        <v>389366.47</v>
      </c>
      <c r="AW59" s="162">
        <v>389366.47</v>
      </c>
      <c r="AX59" s="339">
        <f>AW59-AV59</f>
        <v>0</v>
      </c>
      <c r="BG59" s="617"/>
      <c r="BH59" s="621">
        <f>AE59-BG59</f>
        <v>0</v>
      </c>
      <c r="BI59" s="617">
        <v>6240714.6699999999</v>
      </c>
      <c r="BJ59" s="621">
        <f t="shared" si="52"/>
        <v>-6240714.6699999999</v>
      </c>
      <c r="BM59" s="629">
        <f t="shared" si="21"/>
        <v>19778685.699999999</v>
      </c>
      <c r="BN59" s="629">
        <f t="shared" si="14"/>
        <v>15301417.92</v>
      </c>
      <c r="BO59" s="533">
        <f t="shared" si="17"/>
        <v>4477267.7799999993</v>
      </c>
      <c r="BP59" s="533">
        <f>BN59</f>
        <v>15301417.92</v>
      </c>
      <c r="BQ59" s="617">
        <f>10892760.59-2332057.34+500000</f>
        <v>9060703.25</v>
      </c>
      <c r="BR59" s="621">
        <f>AO59-BQ59</f>
        <v>9069613.6099999994</v>
      </c>
      <c r="BS59" s="617">
        <v>6240714.6699999999</v>
      </c>
      <c r="BT59" s="621">
        <f t="shared" si="54"/>
        <v>-4981712.3</v>
      </c>
      <c r="BV59" s="117">
        <f>2595807.22+2416357.34</f>
        <v>5012164.5600000005</v>
      </c>
    </row>
    <row r="60" spans="1:74" ht="19.5" customHeight="1" x14ac:dyDescent="0.3">
      <c r="A60" s="1417" t="s">
        <v>184</v>
      </c>
      <c r="B60" s="547"/>
      <c r="C60" s="444">
        <v>243</v>
      </c>
      <c r="D60" s="431">
        <v>0</v>
      </c>
      <c r="E60" s="64">
        <f>H60+R60+AL60+AK60</f>
        <v>0</v>
      </c>
      <c r="F60" s="411">
        <f t="shared" si="1"/>
        <v>0</v>
      </c>
      <c r="G60" s="285"/>
      <c r="H60" s="158"/>
      <c r="I60" s="669">
        <f t="shared" si="19"/>
        <v>0</v>
      </c>
      <c r="J60" s="881"/>
      <c r="K60" s="285"/>
      <c r="L60" s="158">
        <f t="shared" si="48"/>
        <v>0</v>
      </c>
      <c r="M60" s="298"/>
      <c r="N60" s="297"/>
      <c r="O60" s="285"/>
      <c r="P60" s="367"/>
      <c r="Q60" s="279"/>
      <c r="R60" s="310">
        <f t="shared" si="57"/>
        <v>0</v>
      </c>
      <c r="S60" s="375"/>
      <c r="T60" s="528"/>
      <c r="U60" s="310">
        <v>0</v>
      </c>
      <c r="V60" s="63">
        <v>0</v>
      </c>
      <c r="W60" s="360">
        <f t="shared" si="2"/>
        <v>0</v>
      </c>
      <c r="X60" s="382">
        <v>0</v>
      </c>
      <c r="Y60" s="63">
        <f t="shared" si="49"/>
        <v>0</v>
      </c>
      <c r="Z60" s="360">
        <f>X60-W60</f>
        <v>0</v>
      </c>
      <c r="AA60" s="310"/>
      <c r="AB60" s="63"/>
      <c r="AC60" s="360"/>
      <c r="AD60" s="279"/>
      <c r="AE60" s="63"/>
      <c r="AF60" s="360"/>
      <c r="AG60" s="279"/>
      <c r="AH60" s="63"/>
      <c r="AI60" s="360"/>
      <c r="AJ60" s="425">
        <v>0</v>
      </c>
      <c r="AK60" s="395">
        <v>0</v>
      </c>
      <c r="AL60" s="338">
        <v>0</v>
      </c>
      <c r="AM60" s="161">
        <f t="shared" si="20"/>
        <v>0</v>
      </c>
      <c r="AN60" s="1013">
        <f t="shared" si="5"/>
        <v>0</v>
      </c>
      <c r="AO60" s="338"/>
      <c r="AP60" s="162">
        <f t="shared" si="47"/>
        <v>0</v>
      </c>
      <c r="AQ60" s="1019">
        <f t="shared" si="50"/>
        <v>0</v>
      </c>
      <c r="AR60" s="324"/>
      <c r="AS60" s="162"/>
      <c r="AT60" s="339"/>
      <c r="AU60" s="540">
        <v>0</v>
      </c>
      <c r="AV60" s="324"/>
      <c r="AW60" s="162"/>
      <c r="AX60" s="339"/>
      <c r="BG60" s="617"/>
      <c r="BH60" s="621">
        <f>AF60-BG60</f>
        <v>0</v>
      </c>
      <c r="BI60" s="617"/>
      <c r="BJ60" s="621">
        <f t="shared" si="52"/>
        <v>0</v>
      </c>
      <c r="BM60" s="629">
        <f t="shared" si="21"/>
        <v>0</v>
      </c>
      <c r="BN60" s="629">
        <f t="shared" si="14"/>
        <v>0</v>
      </c>
      <c r="BO60" s="533">
        <f t="shared" si="17"/>
        <v>0</v>
      </c>
      <c r="BP60" s="533"/>
      <c r="BQ60" s="617"/>
      <c r="BR60" s="621">
        <f>AP60-BQ60</f>
        <v>0</v>
      </c>
      <c r="BS60" s="617"/>
      <c r="BT60" s="621">
        <f t="shared" si="54"/>
        <v>0</v>
      </c>
    </row>
    <row r="61" spans="1:74" ht="16.5" customHeight="1" x14ac:dyDescent="0.3">
      <c r="A61" s="1419"/>
      <c r="B61" s="548"/>
      <c r="C61" s="444">
        <v>244</v>
      </c>
      <c r="D61" s="431">
        <v>1034</v>
      </c>
      <c r="E61" s="64">
        <f>H61+R61+AM61+AK61</f>
        <v>1034</v>
      </c>
      <c r="F61" s="411">
        <f t="shared" si="1"/>
        <v>0</v>
      </c>
      <c r="G61" s="285">
        <v>1034</v>
      </c>
      <c r="H61" s="158">
        <f>J61+L61+O61</f>
        <v>1034</v>
      </c>
      <c r="I61" s="669">
        <f t="shared" si="19"/>
        <v>0</v>
      </c>
      <c r="J61" s="881">
        <f>SUM(J62:J66)</f>
        <v>0</v>
      </c>
      <c r="K61" s="285">
        <v>1034</v>
      </c>
      <c r="L61" s="158">
        <f t="shared" si="48"/>
        <v>1034</v>
      </c>
      <c r="M61" s="298">
        <f>L61-K61</f>
        <v>0</v>
      </c>
      <c r="N61" s="297"/>
      <c r="O61" s="285"/>
      <c r="P61" s="367">
        <f>O61-N61</f>
        <v>0</v>
      </c>
      <c r="Q61" s="279"/>
      <c r="R61" s="310">
        <f t="shared" si="57"/>
        <v>0</v>
      </c>
      <c r="S61" s="375">
        <f>R61-Q61</f>
        <v>0</v>
      </c>
      <c r="T61" s="528"/>
      <c r="U61" s="310"/>
      <c r="V61" s="63"/>
      <c r="W61" s="360">
        <f t="shared" si="2"/>
        <v>0</v>
      </c>
      <c r="X61" s="382"/>
      <c r="Y61" s="63">
        <f t="shared" si="49"/>
        <v>0</v>
      </c>
      <c r="Z61" s="360">
        <f>X61-W61</f>
        <v>0</v>
      </c>
      <c r="AA61" s="310"/>
      <c r="AB61" s="63"/>
      <c r="AC61" s="360">
        <f>AB61-AA61</f>
        <v>0</v>
      </c>
      <c r="AD61" s="279"/>
      <c r="AE61" s="63"/>
      <c r="AF61" s="360"/>
      <c r="AG61" s="279"/>
      <c r="AH61" s="63"/>
      <c r="AI61" s="360"/>
      <c r="AJ61" s="425">
        <f t="shared" ref="AJ61:AK61" si="59">SUM(AJ62:AJ66)</f>
        <v>0</v>
      </c>
      <c r="AK61" s="395">
        <f t="shared" si="59"/>
        <v>0</v>
      </c>
      <c r="AL61" s="338">
        <v>0</v>
      </c>
      <c r="AM61" s="161">
        <f t="shared" si="20"/>
        <v>0</v>
      </c>
      <c r="AN61" s="1013">
        <f t="shared" si="5"/>
        <v>0</v>
      </c>
      <c r="AO61" s="338"/>
      <c r="AP61" s="162">
        <f t="shared" si="47"/>
        <v>0</v>
      </c>
      <c r="AQ61" s="1019"/>
      <c r="AR61" s="324"/>
      <c r="AS61" s="162"/>
      <c r="AT61" s="339">
        <f>AS61-AR61</f>
        <v>0</v>
      </c>
      <c r="AU61" s="540">
        <f t="shared" ref="AU61" si="60">SUM(AU62:AU66)</f>
        <v>0</v>
      </c>
      <c r="AV61" s="324"/>
      <c r="AW61" s="162"/>
      <c r="AX61" s="339">
        <f>AW61-AV61</f>
        <v>0</v>
      </c>
      <c r="AZ61" s="1218" t="s">
        <v>237</v>
      </c>
      <c r="BA61" s="1218" t="s">
        <v>197</v>
      </c>
      <c r="BB61" s="1218" t="s">
        <v>197</v>
      </c>
      <c r="BC61" s="1218"/>
      <c r="BD61" s="1218"/>
      <c r="BE61" s="1218"/>
      <c r="BF61" s="1218"/>
      <c r="BG61" s="617"/>
      <c r="BH61" s="621">
        <f>AF61-BG61</f>
        <v>0</v>
      </c>
      <c r="BI61" s="617">
        <v>25587.66</v>
      </c>
      <c r="BJ61" s="621">
        <f t="shared" si="52"/>
        <v>-25587.66</v>
      </c>
      <c r="BK61" s="1218"/>
      <c r="BL61" s="1218"/>
      <c r="BM61" s="629">
        <f t="shared" si="21"/>
        <v>0</v>
      </c>
      <c r="BN61" s="629">
        <f t="shared" si="14"/>
        <v>25587.66</v>
      </c>
      <c r="BO61" s="533">
        <f t="shared" si="17"/>
        <v>-25587.66</v>
      </c>
      <c r="BP61" s="533">
        <f>BN61</f>
        <v>25587.66</v>
      </c>
      <c r="BQ61" s="617"/>
      <c r="BR61" s="621">
        <f>AP61-BQ61</f>
        <v>0</v>
      </c>
      <c r="BS61" s="617">
        <v>25587.66</v>
      </c>
      <c r="BT61" s="621">
        <f t="shared" si="54"/>
        <v>-25587.66</v>
      </c>
    </row>
    <row r="62" spans="1:74" x14ac:dyDescent="0.3">
      <c r="A62" s="1420" t="s">
        <v>185</v>
      </c>
      <c r="B62" s="1422"/>
      <c r="C62" s="1217">
        <v>243</v>
      </c>
      <c r="D62" s="431">
        <v>0</v>
      </c>
      <c r="E62" s="64">
        <f>H62+R62+AL62+AK62</f>
        <v>860103.18</v>
      </c>
      <c r="F62" s="411">
        <f t="shared" si="1"/>
        <v>860103.18</v>
      </c>
      <c r="G62" s="285"/>
      <c r="H62" s="158"/>
      <c r="I62" s="669">
        <f t="shared" si="19"/>
        <v>0</v>
      </c>
      <c r="J62" s="881"/>
      <c r="K62" s="285"/>
      <c r="L62" s="158">
        <f t="shared" si="48"/>
        <v>0</v>
      </c>
      <c r="M62" s="298"/>
      <c r="N62" s="297"/>
      <c r="O62" s="285"/>
      <c r="P62" s="367"/>
      <c r="Q62" s="279">
        <v>860103.18</v>
      </c>
      <c r="R62" s="310">
        <f t="shared" si="57"/>
        <v>860103.18</v>
      </c>
      <c r="S62" s="375">
        <f>R62-Q62</f>
        <v>0</v>
      </c>
      <c r="T62" s="528">
        <f>R104</f>
        <v>860103.18</v>
      </c>
      <c r="U62" s="310"/>
      <c r="V62" s="63"/>
      <c r="W62" s="360">
        <f t="shared" si="2"/>
        <v>0</v>
      </c>
      <c r="X62" s="382"/>
      <c r="Y62" s="63">
        <f t="shared" si="49"/>
        <v>0</v>
      </c>
      <c r="Z62" s="360">
        <f>X62-W62</f>
        <v>0</v>
      </c>
      <c r="AA62" s="310"/>
      <c r="AB62" s="63"/>
      <c r="AC62" s="360"/>
      <c r="AD62" s="279"/>
      <c r="AE62" s="63"/>
      <c r="AF62" s="360"/>
      <c r="AG62" s="279"/>
      <c r="AH62" s="63"/>
      <c r="AI62" s="360"/>
      <c r="AJ62" s="425"/>
      <c r="AK62" s="395"/>
      <c r="AL62" s="334">
        <v>0</v>
      </c>
      <c r="AM62" s="161">
        <f t="shared" si="20"/>
        <v>0</v>
      </c>
      <c r="AN62" s="1013">
        <f t="shared" si="5"/>
        <v>0</v>
      </c>
      <c r="AO62" s="338"/>
      <c r="AP62" s="162">
        <f t="shared" si="47"/>
        <v>0</v>
      </c>
      <c r="AQ62" s="1019">
        <f t="shared" si="50"/>
        <v>0</v>
      </c>
      <c r="AR62" s="324"/>
      <c r="AS62" s="162"/>
      <c r="AT62" s="339"/>
      <c r="AU62" s="540"/>
      <c r="AV62" s="324"/>
      <c r="AW62" s="162"/>
      <c r="AX62" s="339"/>
      <c r="AZ62" s="118"/>
      <c r="BA62" s="146">
        <v>2621361</v>
      </c>
      <c r="BB62" s="611"/>
      <c r="BC62" s="636"/>
      <c r="BD62" s="636"/>
      <c r="BE62" s="636"/>
      <c r="BF62" s="636"/>
      <c r="BG62" s="617"/>
      <c r="BH62" s="621">
        <f>AF62-BG62</f>
        <v>0</v>
      </c>
      <c r="BI62" s="617"/>
      <c r="BJ62" s="621">
        <f>AH62-BI62</f>
        <v>0</v>
      </c>
      <c r="BK62" s="636"/>
      <c r="BL62" s="636"/>
      <c r="BM62" s="629">
        <f t="shared" si="21"/>
        <v>0</v>
      </c>
      <c r="BN62" s="629">
        <f t="shared" si="14"/>
        <v>0</v>
      </c>
      <c r="BO62" s="533">
        <f t="shared" si="17"/>
        <v>0</v>
      </c>
      <c r="BP62" s="533"/>
      <c r="BQ62" s="617"/>
      <c r="BR62" s="621">
        <f>AP62-BQ62</f>
        <v>0</v>
      </c>
      <c r="BS62" s="617"/>
      <c r="BT62" s="621">
        <f>AR62-BS62</f>
        <v>0</v>
      </c>
    </row>
    <row r="63" spans="1:74" x14ac:dyDescent="0.3">
      <c r="A63" s="1421"/>
      <c r="B63" s="1423"/>
      <c r="C63" s="1217">
        <v>244</v>
      </c>
      <c r="D63" s="431">
        <v>4771877.3450000007</v>
      </c>
      <c r="E63" s="64">
        <f>H63+R63+AM63+AK63</f>
        <v>277328236.04499996</v>
      </c>
      <c r="F63" s="411">
        <f t="shared" si="1"/>
        <v>272556358.69999993</v>
      </c>
      <c r="G63" s="285">
        <v>2019992.7000000002</v>
      </c>
      <c r="H63" s="158">
        <f>J63+L63+O63</f>
        <v>2019992.7000000002</v>
      </c>
      <c r="I63" s="669">
        <f t="shared" si="19"/>
        <v>0</v>
      </c>
      <c r="J63" s="881"/>
      <c r="K63" s="285">
        <v>1247751.54</v>
      </c>
      <c r="L63" s="158">
        <f t="shared" si="48"/>
        <v>1764242.7000000002</v>
      </c>
      <c r="M63" s="298">
        <f>L63-K63</f>
        <v>516491.16000000015</v>
      </c>
      <c r="N63" s="367">
        <v>772241.16</v>
      </c>
      <c r="O63" s="158">
        <v>255750</v>
      </c>
      <c r="P63" s="367">
        <f>O63-N63</f>
        <v>-516491.16000000003</v>
      </c>
      <c r="Q63" s="279">
        <v>226004857.31</v>
      </c>
      <c r="R63" s="310">
        <f>T63+V63+Y63+AB63+AE63+AH63</f>
        <v>272556358.69999999</v>
      </c>
      <c r="S63" s="375">
        <f>R63-Q63</f>
        <v>46551501.389999986</v>
      </c>
      <c r="T63" s="528">
        <f>88525993.1-1033200-36204</f>
        <v>87456589.099999994</v>
      </c>
      <c r="U63" s="310">
        <v>138442000</v>
      </c>
      <c r="V63" s="63">
        <v>184993501.38999999</v>
      </c>
      <c r="W63" s="360">
        <f t="shared" si="2"/>
        <v>46551501.389999986</v>
      </c>
      <c r="X63" s="382">
        <v>106268.21</v>
      </c>
      <c r="Y63" s="63">
        <f>106268.22-0.01</f>
        <v>106268.21</v>
      </c>
      <c r="Z63" s="360"/>
      <c r="AA63" s="310"/>
      <c r="AB63" s="63"/>
      <c r="AC63" s="360"/>
      <c r="AD63" s="279"/>
      <c r="AE63" s="63"/>
      <c r="AF63" s="360"/>
      <c r="AG63" s="279"/>
      <c r="AH63" s="63"/>
      <c r="AI63" s="360"/>
      <c r="AJ63" s="425"/>
      <c r="AK63" s="395"/>
      <c r="AL63" s="334">
        <v>2751884.645</v>
      </c>
      <c r="AM63" s="161">
        <f t="shared" si="20"/>
        <v>2751884.6449999996</v>
      </c>
      <c r="AN63" s="1013">
        <f t="shared" si="5"/>
        <v>0</v>
      </c>
      <c r="AO63" s="338">
        <v>1999999.9950000001</v>
      </c>
      <c r="AP63" s="162">
        <f t="shared" si="47"/>
        <v>1741665.345</v>
      </c>
      <c r="AQ63" s="1019">
        <f t="shared" si="50"/>
        <v>-258334.65000000014</v>
      </c>
      <c r="AR63" s="324">
        <v>541665.35</v>
      </c>
      <c r="AS63" s="162">
        <v>800000</v>
      </c>
      <c r="AT63" s="339">
        <f>AS63-AR63</f>
        <v>258334.65000000002</v>
      </c>
      <c r="AU63" s="540"/>
      <c r="AV63" s="324">
        <v>210219.3</v>
      </c>
      <c r="AW63" s="162">
        <v>210219.3</v>
      </c>
      <c r="AX63" s="339">
        <f>AW63-AV63</f>
        <v>0</v>
      </c>
      <c r="AZ63" s="111"/>
      <c r="BA63" s="111">
        <v>487564.3</v>
      </c>
      <c r="BG63" s="617"/>
      <c r="BH63" s="621">
        <f>AE63-BG63</f>
        <v>0</v>
      </c>
      <c r="BI63" s="617">
        <v>2174384</v>
      </c>
      <c r="BJ63" s="621">
        <f t="shared" ref="BJ63:BJ66" si="61">AH63-BI63</f>
        <v>-2174384</v>
      </c>
      <c r="BM63" s="629">
        <f t="shared" si="21"/>
        <v>2751884.645</v>
      </c>
      <c r="BN63" s="629">
        <f t="shared" si="14"/>
        <v>3971652.4699999997</v>
      </c>
      <c r="BO63" s="533">
        <f t="shared" si="17"/>
        <v>-1219767.8249999997</v>
      </c>
      <c r="BP63" s="533">
        <f>BM63</f>
        <v>2751884.645</v>
      </c>
      <c r="BQ63" s="617">
        <f>1878568.47-81300</f>
        <v>1797268.47</v>
      </c>
      <c r="BR63" s="621">
        <f>AO63-BQ63</f>
        <v>202731.52500000014</v>
      </c>
      <c r="BS63" s="617">
        <v>2174384</v>
      </c>
      <c r="BT63" s="621">
        <f t="shared" si="54"/>
        <v>-1632718.65</v>
      </c>
    </row>
    <row r="64" spans="1:74" ht="31.5" x14ac:dyDescent="0.3">
      <c r="A64" s="437" t="s">
        <v>186</v>
      </c>
      <c r="B64" s="1214"/>
      <c r="C64" s="1217">
        <v>244</v>
      </c>
      <c r="D64" s="431">
        <v>0</v>
      </c>
      <c r="E64" s="59">
        <f>H64+R64+AL64+AK64</f>
        <v>0</v>
      </c>
      <c r="F64" s="411">
        <f t="shared" si="1"/>
        <v>0</v>
      </c>
      <c r="G64" s="285"/>
      <c r="H64" s="158"/>
      <c r="I64" s="669">
        <f t="shared" si="19"/>
        <v>0</v>
      </c>
      <c r="J64" s="881"/>
      <c r="K64" s="285"/>
      <c r="L64" s="158">
        <f>G64-O64</f>
        <v>0</v>
      </c>
      <c r="M64" s="298"/>
      <c r="N64" s="367"/>
      <c r="O64" s="158"/>
      <c r="P64" s="367"/>
      <c r="Q64" s="279"/>
      <c r="R64" s="310">
        <f t="shared" si="57"/>
        <v>0</v>
      </c>
      <c r="S64" s="375"/>
      <c r="T64" s="528"/>
      <c r="U64" s="310"/>
      <c r="V64" s="63"/>
      <c r="W64" s="360">
        <f t="shared" si="2"/>
        <v>0</v>
      </c>
      <c r="X64" s="382"/>
      <c r="Y64" s="63">
        <f t="shared" si="49"/>
        <v>0</v>
      </c>
      <c r="Z64" s="360">
        <f>X64-W64</f>
        <v>0</v>
      </c>
      <c r="AA64" s="310"/>
      <c r="AB64" s="63"/>
      <c r="AC64" s="360"/>
      <c r="AD64" s="279"/>
      <c r="AE64" s="63"/>
      <c r="AF64" s="360"/>
      <c r="AG64" s="279"/>
      <c r="AH64" s="63"/>
      <c r="AI64" s="360"/>
      <c r="AJ64" s="425"/>
      <c r="AK64" s="395"/>
      <c r="AL64" s="334">
        <v>0</v>
      </c>
      <c r="AM64" s="161">
        <f t="shared" si="20"/>
        <v>0</v>
      </c>
      <c r="AN64" s="1013">
        <f t="shared" si="5"/>
        <v>0</v>
      </c>
      <c r="AO64" s="338"/>
      <c r="AP64" s="162">
        <f t="shared" si="47"/>
        <v>0</v>
      </c>
      <c r="AQ64" s="1019">
        <f t="shared" si="50"/>
        <v>0</v>
      </c>
      <c r="AR64" s="324"/>
      <c r="AS64" s="162"/>
      <c r="AT64" s="339"/>
      <c r="AU64" s="540"/>
      <c r="AV64" s="324"/>
      <c r="AW64" s="162"/>
      <c r="AX64" s="339"/>
      <c r="AZ64" s="1218" t="s">
        <v>237</v>
      </c>
      <c r="BA64" s="1218" t="s">
        <v>197</v>
      </c>
      <c r="BG64" s="617"/>
      <c r="BH64" s="621">
        <f>AF64-BG64</f>
        <v>0</v>
      </c>
      <c r="BI64" s="617"/>
      <c r="BJ64" s="621">
        <f t="shared" si="61"/>
        <v>0</v>
      </c>
      <c r="BM64" s="629">
        <f t="shared" si="21"/>
        <v>0</v>
      </c>
      <c r="BN64" s="629">
        <f t="shared" si="14"/>
        <v>0</v>
      </c>
      <c r="BO64" s="533">
        <f t="shared" si="17"/>
        <v>0</v>
      </c>
      <c r="BP64" s="533"/>
      <c r="BQ64" s="617"/>
      <c r="BR64" s="621">
        <f>AP64-BQ64</f>
        <v>0</v>
      </c>
      <c r="BS64" s="617"/>
      <c r="BT64" s="621">
        <f t="shared" si="54"/>
        <v>0</v>
      </c>
    </row>
    <row r="65" spans="1:72" x14ac:dyDescent="0.3">
      <c r="A65" s="1420" t="s">
        <v>187</v>
      </c>
      <c r="B65" s="1424"/>
      <c r="C65" s="1217">
        <v>243</v>
      </c>
      <c r="D65" s="431">
        <v>0</v>
      </c>
      <c r="E65" s="59">
        <f>H65+R65+AL65+AK65</f>
        <v>0</v>
      </c>
      <c r="F65" s="411">
        <f t="shared" si="1"/>
        <v>0</v>
      </c>
      <c r="G65" s="285"/>
      <c r="H65" s="158"/>
      <c r="I65" s="669">
        <f t="shared" si="19"/>
        <v>0</v>
      </c>
      <c r="J65" s="881"/>
      <c r="K65" s="285"/>
      <c r="L65" s="158">
        <f t="shared" si="48"/>
        <v>0</v>
      </c>
      <c r="M65" s="298"/>
      <c r="N65" s="367"/>
      <c r="O65" s="158"/>
      <c r="P65" s="367"/>
      <c r="Q65" s="279"/>
      <c r="R65" s="310">
        <f t="shared" si="57"/>
        <v>0</v>
      </c>
      <c r="S65" s="375"/>
      <c r="T65" s="528"/>
      <c r="U65" s="310"/>
      <c r="V65" s="63"/>
      <c r="W65" s="360">
        <f t="shared" si="2"/>
        <v>0</v>
      </c>
      <c r="X65" s="382"/>
      <c r="Y65" s="63">
        <f t="shared" si="49"/>
        <v>0</v>
      </c>
      <c r="Z65" s="360">
        <f>X65-W65</f>
        <v>0</v>
      </c>
      <c r="AA65" s="310"/>
      <c r="AB65" s="63"/>
      <c r="AC65" s="360"/>
      <c r="AD65" s="279"/>
      <c r="AE65" s="63"/>
      <c r="AF65" s="360"/>
      <c r="AG65" s="279"/>
      <c r="AH65" s="63"/>
      <c r="AI65" s="360"/>
      <c r="AJ65" s="425"/>
      <c r="AK65" s="395"/>
      <c r="AL65" s="334">
        <v>0</v>
      </c>
      <c r="AM65" s="161">
        <f t="shared" si="20"/>
        <v>0</v>
      </c>
      <c r="AN65" s="1013">
        <f t="shared" si="5"/>
        <v>0</v>
      </c>
      <c r="AO65" s="338"/>
      <c r="AP65" s="162">
        <f t="shared" si="47"/>
        <v>0</v>
      </c>
      <c r="AQ65" s="1019">
        <f t="shared" si="50"/>
        <v>0</v>
      </c>
      <c r="AR65" s="324"/>
      <c r="AS65" s="162"/>
      <c r="AT65" s="339"/>
      <c r="AU65" s="540"/>
      <c r="AV65" s="324"/>
      <c r="AW65" s="162"/>
      <c r="AX65" s="339"/>
      <c r="AZ65" s="118"/>
      <c r="BA65" s="146">
        <v>-260231.34</v>
      </c>
      <c r="BG65" s="617"/>
      <c r="BH65" s="621">
        <f>AF65-BG65</f>
        <v>0</v>
      </c>
      <c r="BI65" s="617"/>
      <c r="BJ65" s="621">
        <f t="shared" si="61"/>
        <v>0</v>
      </c>
      <c r="BM65" s="629">
        <f t="shared" si="21"/>
        <v>0</v>
      </c>
      <c r="BN65" s="629">
        <f t="shared" si="14"/>
        <v>0</v>
      </c>
      <c r="BO65" s="533">
        <f t="shared" si="17"/>
        <v>0</v>
      </c>
      <c r="BP65" s="533"/>
      <c r="BQ65" s="617"/>
      <c r="BR65" s="621">
        <f>AP65-BQ65</f>
        <v>0</v>
      </c>
      <c r="BS65" s="617"/>
      <c r="BT65" s="621">
        <f t="shared" si="54"/>
        <v>0</v>
      </c>
    </row>
    <row r="66" spans="1:72" x14ac:dyDescent="0.3">
      <c r="A66" s="1421"/>
      <c r="B66" s="1423"/>
      <c r="C66" s="1217">
        <v>244</v>
      </c>
      <c r="D66" s="431">
        <v>115629737.36000001</v>
      </c>
      <c r="E66" s="64">
        <f>H66+R66+AM66+AK66</f>
        <v>216831442.22000003</v>
      </c>
      <c r="F66" s="411">
        <f t="shared" si="1"/>
        <v>101201704.86000001</v>
      </c>
      <c r="G66" s="285">
        <v>22183509.009999998</v>
      </c>
      <c r="H66" s="158">
        <f>J66+L66+O66</f>
        <v>24725658.789999999</v>
      </c>
      <c r="I66" s="669">
        <f t="shared" si="19"/>
        <v>2542149.7800000012</v>
      </c>
      <c r="J66" s="881"/>
      <c r="K66" s="285">
        <v>13818675.92</v>
      </c>
      <c r="L66" s="1236">
        <v>15800000</v>
      </c>
      <c r="M66" s="298">
        <f>L66-K66</f>
        <v>1981324.08</v>
      </c>
      <c r="N66" s="367">
        <v>8364833.0899999999</v>
      </c>
      <c r="O66" s="158">
        <f>8925658.79</f>
        <v>8925658.7899999991</v>
      </c>
      <c r="P66" s="367">
        <f>O66-N66</f>
        <v>560825.69999999925</v>
      </c>
      <c r="Q66" s="279">
        <v>34763856.479999997</v>
      </c>
      <c r="R66" s="310">
        <f t="shared" si="57"/>
        <v>98659555.079999998</v>
      </c>
      <c r="S66" s="375">
        <f>R66-Q66</f>
        <v>63895698.600000001</v>
      </c>
      <c r="T66" s="528">
        <f>7077043.25-1435000-109027.16</f>
        <v>5533016.0899999999</v>
      </c>
      <c r="U66" s="310">
        <v>20000000</v>
      </c>
      <c r="V66" s="63">
        <v>83895698.609999999</v>
      </c>
      <c r="W66" s="360">
        <f t="shared" si="2"/>
        <v>63895698.609999999</v>
      </c>
      <c r="X66" s="382">
        <v>6369566.25</v>
      </c>
      <c r="Y66" s="63">
        <f>6369566.26-0.01</f>
        <v>6369566.25</v>
      </c>
      <c r="Z66" s="360"/>
      <c r="AA66" s="310">
        <v>2861274.13</v>
      </c>
      <c r="AB66" s="63">
        <v>2861274.13</v>
      </c>
      <c r="AC66" s="360">
        <f>AB66-AA66</f>
        <v>0</v>
      </c>
      <c r="AD66" s="279"/>
      <c r="AE66" s="63"/>
      <c r="AF66" s="360"/>
      <c r="AG66" s="279"/>
      <c r="AH66" s="63"/>
      <c r="AI66" s="360"/>
      <c r="AJ66" s="425"/>
      <c r="AK66" s="395"/>
      <c r="AL66" s="334">
        <v>93446228.350000009</v>
      </c>
      <c r="AM66" s="161">
        <f t="shared" si="20"/>
        <v>93446228.350000009</v>
      </c>
      <c r="AN66" s="1013">
        <f t="shared" si="5"/>
        <v>0</v>
      </c>
      <c r="AO66" s="338">
        <v>76818434.870000005</v>
      </c>
      <c r="AP66" s="162">
        <f t="shared" si="47"/>
        <v>71913439.780000001</v>
      </c>
      <c r="AQ66" s="1019">
        <f t="shared" si="50"/>
        <v>-4904995.0900000036</v>
      </c>
      <c r="AR66" s="324">
        <v>14350719.92</v>
      </c>
      <c r="AS66" s="162">
        <f>19368000-112284.99</f>
        <v>19255715.010000002</v>
      </c>
      <c r="AT66" s="339">
        <f>AS66-AR66</f>
        <v>4904995.0900000017</v>
      </c>
      <c r="AU66" s="540"/>
      <c r="AV66" s="324">
        <v>2277073.56</v>
      </c>
      <c r="AW66" s="162">
        <v>2277073.56</v>
      </c>
      <c r="AX66" s="339">
        <f>AW66-AV66</f>
        <v>0</v>
      </c>
      <c r="AZ66" s="111">
        <v>74638998.689999998</v>
      </c>
      <c r="BA66" s="111">
        <v>25190635.949999999</v>
      </c>
      <c r="BG66" s="617"/>
      <c r="BH66" s="621">
        <f>AE66-BG66</f>
        <v>0</v>
      </c>
      <c r="BI66" s="617">
        <v>14782649</v>
      </c>
      <c r="BJ66" s="621">
        <f t="shared" si="61"/>
        <v>-14782649</v>
      </c>
      <c r="BM66" s="629">
        <f t="shared" si="21"/>
        <v>93446228.350000009</v>
      </c>
      <c r="BN66" s="629">
        <f t="shared" si="14"/>
        <v>81371069.319999993</v>
      </c>
      <c r="BO66" s="533">
        <f t="shared" si="17"/>
        <v>12075159.030000016</v>
      </c>
      <c r="BP66" s="533">
        <f>BN66</f>
        <v>81371069.319999993</v>
      </c>
      <c r="BQ66" s="617">
        <f>64959183.81-3000+1195603.28+500000-63366.77</f>
        <v>66588420.32</v>
      </c>
      <c r="BR66" s="621">
        <f>AO66-BQ66</f>
        <v>10230014.550000004</v>
      </c>
      <c r="BS66" s="617">
        <v>14782649</v>
      </c>
      <c r="BT66" s="621">
        <f t="shared" si="54"/>
        <v>-431929.08000000007</v>
      </c>
    </row>
    <row r="67" spans="1:72" s="115" customFormat="1" ht="21.75" customHeight="1" x14ac:dyDescent="0.3">
      <c r="A67" s="435" t="s">
        <v>188</v>
      </c>
      <c r="B67" s="1215">
        <v>300</v>
      </c>
      <c r="C67" s="436" t="s">
        <v>149</v>
      </c>
      <c r="D67" s="430">
        <v>0</v>
      </c>
      <c r="E67" s="59">
        <f t="shared" ref="E67:E72" si="62">H67+R67+AL67+AK67</f>
        <v>0</v>
      </c>
      <c r="F67" s="411">
        <f t="shared" si="1"/>
        <v>0</v>
      </c>
      <c r="G67" s="283"/>
      <c r="H67" s="157"/>
      <c r="I67" s="669">
        <f t="shared" si="19"/>
        <v>0</v>
      </c>
      <c r="J67" s="882"/>
      <c r="K67" s="283"/>
      <c r="L67" s="157"/>
      <c r="M67" s="294"/>
      <c r="N67" s="521"/>
      <c r="O67" s="157"/>
      <c r="P67" s="365"/>
      <c r="Q67" s="276"/>
      <c r="R67" s="307"/>
      <c r="S67" s="372"/>
      <c r="T67" s="525"/>
      <c r="U67" s="307">
        <v>0</v>
      </c>
      <c r="V67" s="153">
        <v>0</v>
      </c>
      <c r="W67" s="357">
        <f t="shared" si="2"/>
        <v>0</v>
      </c>
      <c r="X67" s="379">
        <v>0</v>
      </c>
      <c r="Y67" s="153">
        <f t="shared" ref="Y67:Y74" si="63">X67-W67</f>
        <v>0</v>
      </c>
      <c r="Z67" s="357">
        <f t="shared" ref="Z67:Z74" si="64">X67-W67</f>
        <v>0</v>
      </c>
      <c r="AA67" s="307"/>
      <c r="AB67" s="153"/>
      <c r="AC67" s="357"/>
      <c r="AD67" s="276"/>
      <c r="AE67" s="153"/>
      <c r="AF67" s="357"/>
      <c r="AG67" s="276"/>
      <c r="AH67" s="153"/>
      <c r="AI67" s="357"/>
      <c r="AJ67" s="422">
        <f>AJ69+AJ70</f>
        <v>0</v>
      </c>
      <c r="AK67" s="396">
        <f>SUM(AK69:AK70)</f>
        <v>0</v>
      </c>
      <c r="AL67" s="334">
        <v>0</v>
      </c>
      <c r="AM67" s="161">
        <f t="shared" si="20"/>
        <v>0</v>
      </c>
      <c r="AN67" s="1013">
        <f t="shared" si="5"/>
        <v>0</v>
      </c>
      <c r="AO67" s="334"/>
      <c r="AP67" s="161"/>
      <c r="AQ67" s="1019">
        <f t="shared" si="50"/>
        <v>0</v>
      </c>
      <c r="AR67" s="323"/>
      <c r="AS67" s="161"/>
      <c r="AT67" s="335"/>
      <c r="AU67" s="539">
        <f>SUM(AU69:AU70)</f>
        <v>0</v>
      </c>
      <c r="AV67" s="323"/>
      <c r="AW67" s="161"/>
      <c r="AX67" s="335"/>
      <c r="BG67" s="617"/>
      <c r="BH67" s="621">
        <f t="shared" ref="BH67:BH74" si="65">AF67-BG67</f>
        <v>0</v>
      </c>
      <c r="BI67" s="617"/>
      <c r="BJ67" s="621">
        <f>AH67-BI67</f>
        <v>0</v>
      </c>
      <c r="BM67" s="628">
        <f t="shared" si="21"/>
        <v>0</v>
      </c>
      <c r="BN67" s="628">
        <f t="shared" si="14"/>
        <v>0</v>
      </c>
      <c r="BO67" s="535">
        <f t="shared" si="17"/>
        <v>0</v>
      </c>
      <c r="BP67" s="533"/>
      <c r="BQ67" s="617"/>
      <c r="BR67" s="621">
        <f t="shared" ref="BR67:BR74" si="66">AP67-BQ67</f>
        <v>0</v>
      </c>
      <c r="BS67" s="617"/>
      <c r="BT67" s="621">
        <f>AR67-BS67</f>
        <v>0</v>
      </c>
    </row>
    <row r="68" spans="1:72" x14ac:dyDescent="0.3">
      <c r="A68" s="437" t="s">
        <v>92</v>
      </c>
      <c r="B68" s="133"/>
      <c r="C68" s="438"/>
      <c r="D68" s="431">
        <v>0</v>
      </c>
      <c r="E68" s="59">
        <f t="shared" si="62"/>
        <v>0</v>
      </c>
      <c r="F68" s="410">
        <f t="shared" si="1"/>
        <v>0</v>
      </c>
      <c r="G68" s="285"/>
      <c r="H68" s="158"/>
      <c r="I68" s="669">
        <f t="shared" si="19"/>
        <v>0</v>
      </c>
      <c r="J68" s="881"/>
      <c r="K68" s="285"/>
      <c r="L68" s="158"/>
      <c r="M68" s="298"/>
      <c r="N68" s="297"/>
      <c r="O68" s="285"/>
      <c r="P68" s="367"/>
      <c r="Q68" s="279"/>
      <c r="R68" s="310"/>
      <c r="S68" s="375"/>
      <c r="T68" s="528"/>
      <c r="U68" s="310"/>
      <c r="V68" s="63"/>
      <c r="W68" s="357">
        <f t="shared" si="2"/>
        <v>0</v>
      </c>
      <c r="X68" s="382"/>
      <c r="Y68" s="153">
        <f t="shared" si="63"/>
        <v>0</v>
      </c>
      <c r="Z68" s="357">
        <f t="shared" si="64"/>
        <v>0</v>
      </c>
      <c r="AA68" s="310"/>
      <c r="AB68" s="63"/>
      <c r="AC68" s="360"/>
      <c r="AD68" s="279"/>
      <c r="AE68" s="63"/>
      <c r="AF68" s="360"/>
      <c r="AG68" s="279"/>
      <c r="AH68" s="63"/>
      <c r="AI68" s="360"/>
      <c r="AJ68" s="425"/>
      <c r="AK68" s="395"/>
      <c r="AL68" s="334">
        <v>0</v>
      </c>
      <c r="AM68" s="161">
        <f t="shared" si="20"/>
        <v>0</v>
      </c>
      <c r="AN68" s="1013">
        <f t="shared" si="5"/>
        <v>0</v>
      </c>
      <c r="AO68" s="338"/>
      <c r="AP68" s="162"/>
      <c r="AQ68" s="1019"/>
      <c r="AR68" s="324"/>
      <c r="AS68" s="162"/>
      <c r="AT68" s="339"/>
      <c r="AU68" s="540"/>
      <c r="AV68" s="324"/>
      <c r="AW68" s="162"/>
      <c r="AX68" s="339"/>
      <c r="BG68" s="617"/>
      <c r="BH68" s="621">
        <f t="shared" si="65"/>
        <v>0</v>
      </c>
      <c r="BI68" s="617"/>
      <c r="BJ68" s="621">
        <f t="shared" ref="BJ68:BJ75" si="67">AH68-BI68</f>
        <v>0</v>
      </c>
      <c r="BM68" s="628">
        <f t="shared" si="21"/>
        <v>0</v>
      </c>
      <c r="BN68" s="628">
        <f t="shared" si="14"/>
        <v>0</v>
      </c>
      <c r="BO68" s="535">
        <f t="shared" si="17"/>
        <v>0</v>
      </c>
      <c r="BP68" s="533"/>
      <c r="BQ68" s="617"/>
      <c r="BR68" s="621">
        <f t="shared" si="66"/>
        <v>0</v>
      </c>
      <c r="BS68" s="617"/>
      <c r="BT68" s="621">
        <f t="shared" si="54"/>
        <v>0</v>
      </c>
    </row>
    <row r="69" spans="1:72" x14ac:dyDescent="0.3">
      <c r="A69" s="437" t="s">
        <v>189</v>
      </c>
      <c r="B69" s="1214">
        <v>310</v>
      </c>
      <c r="C69" s="438"/>
      <c r="D69" s="431">
        <v>0</v>
      </c>
      <c r="E69" s="59">
        <f t="shared" si="62"/>
        <v>0</v>
      </c>
      <c r="F69" s="410">
        <f t="shared" si="1"/>
        <v>0</v>
      </c>
      <c r="G69" s="285"/>
      <c r="H69" s="158"/>
      <c r="I69" s="669">
        <f t="shared" si="19"/>
        <v>0</v>
      </c>
      <c r="J69" s="881"/>
      <c r="K69" s="285"/>
      <c r="L69" s="158"/>
      <c r="M69" s="298"/>
      <c r="N69" s="297"/>
      <c r="O69" s="285"/>
      <c r="P69" s="367"/>
      <c r="Q69" s="279"/>
      <c r="R69" s="310"/>
      <c r="S69" s="375"/>
      <c r="T69" s="528"/>
      <c r="U69" s="310"/>
      <c r="V69" s="63"/>
      <c r="W69" s="357">
        <f t="shared" si="2"/>
        <v>0</v>
      </c>
      <c r="X69" s="382"/>
      <c r="Y69" s="153">
        <f t="shared" si="63"/>
        <v>0</v>
      </c>
      <c r="Z69" s="357">
        <f t="shared" si="64"/>
        <v>0</v>
      </c>
      <c r="AA69" s="310"/>
      <c r="AB69" s="63"/>
      <c r="AC69" s="360"/>
      <c r="AD69" s="279"/>
      <c r="AE69" s="63"/>
      <c r="AF69" s="360"/>
      <c r="AG69" s="279"/>
      <c r="AH69" s="63"/>
      <c r="AI69" s="360"/>
      <c r="AJ69" s="425"/>
      <c r="AK69" s="395"/>
      <c r="AL69" s="334">
        <v>0</v>
      </c>
      <c r="AM69" s="161">
        <f t="shared" si="20"/>
        <v>0</v>
      </c>
      <c r="AN69" s="1013">
        <f t="shared" si="5"/>
        <v>0</v>
      </c>
      <c r="AO69" s="338"/>
      <c r="AP69" s="162"/>
      <c r="AQ69" s="1019"/>
      <c r="AR69" s="324"/>
      <c r="AS69" s="162"/>
      <c r="AT69" s="339"/>
      <c r="AU69" s="540"/>
      <c r="AV69" s="324"/>
      <c r="AW69" s="162"/>
      <c r="AX69" s="339"/>
      <c r="BG69" s="617"/>
      <c r="BH69" s="621">
        <f t="shared" si="65"/>
        <v>0</v>
      </c>
      <c r="BI69" s="617"/>
      <c r="BJ69" s="621">
        <f t="shared" si="67"/>
        <v>0</v>
      </c>
      <c r="BM69" s="628">
        <f t="shared" si="21"/>
        <v>0</v>
      </c>
      <c r="BN69" s="628">
        <f t="shared" si="14"/>
        <v>0</v>
      </c>
      <c r="BO69" s="535">
        <f t="shared" si="17"/>
        <v>0</v>
      </c>
      <c r="BP69" s="533"/>
      <c r="BQ69" s="617"/>
      <c r="BR69" s="621">
        <f t="shared" si="66"/>
        <v>0</v>
      </c>
      <c r="BS69" s="617"/>
      <c r="BT69" s="621">
        <f t="shared" si="54"/>
        <v>0</v>
      </c>
    </row>
    <row r="70" spans="1:72" x14ac:dyDescent="0.3">
      <c r="A70" s="437" t="s">
        <v>190</v>
      </c>
      <c r="B70" s="1214">
        <v>320</v>
      </c>
      <c r="C70" s="438"/>
      <c r="D70" s="431">
        <v>0</v>
      </c>
      <c r="E70" s="59">
        <f t="shared" si="62"/>
        <v>0</v>
      </c>
      <c r="F70" s="410">
        <f t="shared" si="1"/>
        <v>0</v>
      </c>
      <c r="G70" s="285"/>
      <c r="H70" s="158"/>
      <c r="I70" s="669">
        <f t="shared" si="19"/>
        <v>0</v>
      </c>
      <c r="J70" s="881"/>
      <c r="K70" s="285"/>
      <c r="L70" s="158"/>
      <c r="M70" s="298"/>
      <c r="N70" s="297"/>
      <c r="O70" s="285"/>
      <c r="P70" s="367"/>
      <c r="Q70" s="279"/>
      <c r="R70" s="310"/>
      <c r="S70" s="375"/>
      <c r="T70" s="528"/>
      <c r="U70" s="310"/>
      <c r="V70" s="63"/>
      <c r="W70" s="357">
        <f t="shared" si="2"/>
        <v>0</v>
      </c>
      <c r="X70" s="382"/>
      <c r="Y70" s="153">
        <f t="shared" si="63"/>
        <v>0</v>
      </c>
      <c r="Z70" s="357">
        <f t="shared" si="64"/>
        <v>0</v>
      </c>
      <c r="AA70" s="310"/>
      <c r="AB70" s="63"/>
      <c r="AC70" s="360"/>
      <c r="AD70" s="279"/>
      <c r="AE70" s="63"/>
      <c r="AF70" s="360"/>
      <c r="AG70" s="279"/>
      <c r="AH70" s="63"/>
      <c r="AI70" s="360"/>
      <c r="AJ70" s="425"/>
      <c r="AK70" s="395"/>
      <c r="AL70" s="334">
        <v>0</v>
      </c>
      <c r="AM70" s="161">
        <f t="shared" si="20"/>
        <v>0</v>
      </c>
      <c r="AN70" s="1013">
        <f t="shared" si="5"/>
        <v>0</v>
      </c>
      <c r="AO70" s="338"/>
      <c r="AP70" s="162"/>
      <c r="AQ70" s="1019"/>
      <c r="AR70" s="324"/>
      <c r="AS70" s="162"/>
      <c r="AT70" s="339"/>
      <c r="AU70" s="540"/>
      <c r="AV70" s="324"/>
      <c r="AW70" s="162"/>
      <c r="AX70" s="339"/>
      <c r="BG70" s="617"/>
      <c r="BH70" s="621">
        <f t="shared" si="65"/>
        <v>0</v>
      </c>
      <c r="BI70" s="617"/>
      <c r="BJ70" s="621">
        <f t="shared" si="67"/>
        <v>0</v>
      </c>
      <c r="BM70" s="628">
        <f t="shared" si="21"/>
        <v>0</v>
      </c>
      <c r="BN70" s="628">
        <f t="shared" si="14"/>
        <v>0</v>
      </c>
      <c r="BO70" s="535">
        <f t="shared" si="17"/>
        <v>0</v>
      </c>
      <c r="BP70" s="533"/>
      <c r="BQ70" s="617"/>
      <c r="BR70" s="621">
        <f t="shared" si="66"/>
        <v>0</v>
      </c>
      <c r="BS70" s="617"/>
      <c r="BT70" s="621">
        <f t="shared" si="54"/>
        <v>0</v>
      </c>
    </row>
    <row r="71" spans="1:72" s="115" customFormat="1" x14ac:dyDescent="0.3">
      <c r="A71" s="435" t="s">
        <v>191</v>
      </c>
      <c r="B71" s="1215">
        <v>400</v>
      </c>
      <c r="C71" s="442"/>
      <c r="D71" s="430">
        <v>0</v>
      </c>
      <c r="E71" s="59">
        <f t="shared" si="62"/>
        <v>-205614792.37</v>
      </c>
      <c r="F71" s="410">
        <f t="shared" si="1"/>
        <v>-205614792.37</v>
      </c>
      <c r="G71" s="283"/>
      <c r="H71" s="157"/>
      <c r="I71" s="669">
        <f t="shared" si="19"/>
        <v>0</v>
      </c>
      <c r="J71" s="882"/>
      <c r="K71" s="283"/>
      <c r="L71" s="157"/>
      <c r="M71" s="294"/>
      <c r="N71" s="293"/>
      <c r="O71" s="283"/>
      <c r="P71" s="365"/>
      <c r="Q71" s="276">
        <f>Q73</f>
        <v>-205614792.37</v>
      </c>
      <c r="R71" s="307">
        <f>R73</f>
        <v>-205614792.37</v>
      </c>
      <c r="S71" s="372"/>
      <c r="T71" s="525"/>
      <c r="U71" s="307"/>
      <c r="V71" s="153">
        <f>V73</f>
        <v>0</v>
      </c>
      <c r="W71" s="357">
        <f t="shared" si="2"/>
        <v>0</v>
      </c>
      <c r="X71" s="379">
        <v>0</v>
      </c>
      <c r="Y71" s="153">
        <f t="shared" si="63"/>
        <v>0</v>
      </c>
      <c r="Z71" s="357">
        <f t="shared" si="64"/>
        <v>0</v>
      </c>
      <c r="AA71" s="307"/>
      <c r="AB71" s="153"/>
      <c r="AC71" s="357"/>
      <c r="AD71" s="276"/>
      <c r="AE71" s="153"/>
      <c r="AF71" s="357"/>
      <c r="AG71" s="276"/>
      <c r="AH71" s="153"/>
      <c r="AI71" s="357"/>
      <c r="AJ71" s="422">
        <f>AJ73+AJ74</f>
        <v>0</v>
      </c>
      <c r="AK71" s="396">
        <v>0</v>
      </c>
      <c r="AL71" s="334">
        <v>0</v>
      </c>
      <c r="AM71" s="161">
        <f t="shared" si="20"/>
        <v>0</v>
      </c>
      <c r="AN71" s="1013">
        <f t="shared" si="5"/>
        <v>0</v>
      </c>
      <c r="AO71" s="334"/>
      <c r="AP71" s="161"/>
      <c r="AQ71" s="406"/>
      <c r="AR71" s="323"/>
      <c r="AS71" s="161"/>
      <c r="AT71" s="335"/>
      <c r="AU71" s="539">
        <f>AU73+AU74</f>
        <v>0</v>
      </c>
      <c r="AV71" s="323"/>
      <c r="AW71" s="161"/>
      <c r="AX71" s="335"/>
      <c r="BG71" s="617"/>
      <c r="BH71" s="621">
        <f t="shared" si="65"/>
        <v>0</v>
      </c>
      <c r="BI71" s="617"/>
      <c r="BJ71" s="621">
        <f t="shared" si="67"/>
        <v>0</v>
      </c>
      <c r="BM71" s="628">
        <f t="shared" si="21"/>
        <v>0</v>
      </c>
      <c r="BN71" s="628">
        <f t="shared" si="14"/>
        <v>0</v>
      </c>
      <c r="BO71" s="535">
        <f t="shared" si="17"/>
        <v>0</v>
      </c>
      <c r="BP71" s="533"/>
      <c r="BQ71" s="617"/>
      <c r="BR71" s="621">
        <f t="shared" si="66"/>
        <v>0</v>
      </c>
      <c r="BS71" s="617"/>
      <c r="BT71" s="621">
        <f t="shared" si="54"/>
        <v>0</v>
      </c>
    </row>
    <row r="72" spans="1:72" x14ac:dyDescent="0.3">
      <c r="A72" s="437" t="s">
        <v>92</v>
      </c>
      <c r="B72" s="133"/>
      <c r="C72" s="438"/>
      <c r="D72" s="431">
        <v>0</v>
      </c>
      <c r="E72" s="59">
        <f t="shared" si="62"/>
        <v>0</v>
      </c>
      <c r="F72" s="410">
        <f t="shared" si="1"/>
        <v>0</v>
      </c>
      <c r="G72" s="285"/>
      <c r="H72" s="158"/>
      <c r="I72" s="669">
        <f t="shared" si="19"/>
        <v>0</v>
      </c>
      <c r="J72" s="881"/>
      <c r="K72" s="285"/>
      <c r="L72" s="158"/>
      <c r="M72" s="298"/>
      <c r="N72" s="297"/>
      <c r="O72" s="285"/>
      <c r="P72" s="367"/>
      <c r="Q72" s="279"/>
      <c r="R72" s="310"/>
      <c r="S72" s="375"/>
      <c r="T72" s="528"/>
      <c r="U72" s="310"/>
      <c r="V72" s="63"/>
      <c r="W72" s="357">
        <f t="shared" si="2"/>
        <v>0</v>
      </c>
      <c r="X72" s="382"/>
      <c r="Y72" s="153">
        <f t="shared" si="63"/>
        <v>0</v>
      </c>
      <c r="Z72" s="357">
        <f t="shared" si="64"/>
        <v>0</v>
      </c>
      <c r="AA72" s="310"/>
      <c r="AB72" s="63"/>
      <c r="AC72" s="360"/>
      <c r="AD72" s="279"/>
      <c r="AE72" s="63"/>
      <c r="AF72" s="360"/>
      <c r="AG72" s="279"/>
      <c r="AH72" s="63"/>
      <c r="AI72" s="360"/>
      <c r="AJ72" s="425"/>
      <c r="AK72" s="395"/>
      <c r="AL72" s="334">
        <v>0</v>
      </c>
      <c r="AM72" s="161">
        <f t="shared" si="20"/>
        <v>0</v>
      </c>
      <c r="AN72" s="1013">
        <f t="shared" si="5"/>
        <v>0</v>
      </c>
      <c r="AO72" s="338"/>
      <c r="AP72" s="162"/>
      <c r="AQ72" s="1019"/>
      <c r="AR72" s="324"/>
      <c r="AS72" s="162"/>
      <c r="AT72" s="339"/>
      <c r="AU72" s="540"/>
      <c r="AV72" s="324"/>
      <c r="AW72" s="162"/>
      <c r="AX72" s="339"/>
      <c r="BG72" s="617"/>
      <c r="BH72" s="621">
        <f t="shared" si="65"/>
        <v>0</v>
      </c>
      <c r="BI72" s="617"/>
      <c r="BJ72" s="621">
        <f t="shared" si="67"/>
        <v>0</v>
      </c>
      <c r="BM72" s="628">
        <f t="shared" si="21"/>
        <v>0</v>
      </c>
      <c r="BN72" s="628">
        <f t="shared" si="14"/>
        <v>0</v>
      </c>
      <c r="BO72" s="535">
        <f t="shared" si="17"/>
        <v>0</v>
      </c>
      <c r="BP72" s="533"/>
      <c r="BQ72" s="617"/>
      <c r="BR72" s="621">
        <f t="shared" si="66"/>
        <v>0</v>
      </c>
      <c r="BS72" s="617"/>
      <c r="BT72" s="621">
        <f t="shared" si="54"/>
        <v>0</v>
      </c>
    </row>
    <row r="73" spans="1:72" x14ac:dyDescent="0.3">
      <c r="A73" s="437" t="s">
        <v>192</v>
      </c>
      <c r="B73" s="1214">
        <v>410</v>
      </c>
      <c r="C73" s="438"/>
      <c r="D73" s="431">
        <v>0</v>
      </c>
      <c r="E73" s="59">
        <f>H73+R73+AL73-AK73</f>
        <v>-205614792.37</v>
      </c>
      <c r="F73" s="410">
        <f t="shared" si="1"/>
        <v>-205614792.37</v>
      </c>
      <c r="G73" s="285"/>
      <c r="H73" s="158"/>
      <c r="I73" s="669">
        <f t="shared" si="19"/>
        <v>0</v>
      </c>
      <c r="J73" s="881"/>
      <c r="K73" s="285"/>
      <c r="L73" s="158"/>
      <c r="M73" s="298"/>
      <c r="N73" s="297"/>
      <c r="O73" s="285"/>
      <c r="P73" s="367"/>
      <c r="Q73" s="279">
        <v>-205614792.37</v>
      </c>
      <c r="R73" s="63">
        <v>-205614792.37</v>
      </c>
      <c r="S73" s="375"/>
      <c r="T73" s="528"/>
      <c r="U73" s="310"/>
      <c r="V73" s="63"/>
      <c r="W73" s="357">
        <f t="shared" si="2"/>
        <v>0</v>
      </c>
      <c r="X73" s="382"/>
      <c r="Y73" s="153">
        <f t="shared" si="63"/>
        <v>0</v>
      </c>
      <c r="Z73" s="357">
        <f t="shared" si="64"/>
        <v>0</v>
      </c>
      <c r="AA73" s="310"/>
      <c r="AB73" s="63"/>
      <c r="AC73" s="360"/>
      <c r="AD73" s="279"/>
      <c r="AE73" s="63"/>
      <c r="AF73" s="360"/>
      <c r="AG73" s="279"/>
      <c r="AH73" s="63"/>
      <c r="AI73" s="360"/>
      <c r="AJ73" s="425"/>
      <c r="AK73" s="395"/>
      <c r="AL73" s="334">
        <v>0</v>
      </c>
      <c r="AM73" s="161">
        <f t="shared" si="20"/>
        <v>0</v>
      </c>
      <c r="AN73" s="1013">
        <f t="shared" si="5"/>
        <v>0</v>
      </c>
      <c r="AO73" s="338"/>
      <c r="AP73" s="162"/>
      <c r="AQ73" s="1019"/>
      <c r="AR73" s="324"/>
      <c r="AS73" s="162"/>
      <c r="AT73" s="339"/>
      <c r="AU73" s="540"/>
      <c r="AV73" s="324"/>
      <c r="AW73" s="162"/>
      <c r="AX73" s="339"/>
      <c r="BG73" s="617"/>
      <c r="BH73" s="621">
        <f t="shared" si="65"/>
        <v>0</v>
      </c>
      <c r="BI73" s="617"/>
      <c r="BJ73" s="621">
        <f t="shared" si="67"/>
        <v>0</v>
      </c>
      <c r="BM73" s="628">
        <f t="shared" si="21"/>
        <v>0</v>
      </c>
      <c r="BN73" s="628">
        <f t="shared" si="14"/>
        <v>0</v>
      </c>
      <c r="BO73" s="535">
        <f t="shared" si="17"/>
        <v>0</v>
      </c>
      <c r="BP73" s="533"/>
      <c r="BQ73" s="617"/>
      <c r="BR73" s="621">
        <f t="shared" si="66"/>
        <v>0</v>
      </c>
      <c r="BS73" s="617"/>
      <c r="BT73" s="621">
        <f t="shared" si="54"/>
        <v>0</v>
      </c>
    </row>
    <row r="74" spans="1:72" x14ac:dyDescent="0.3">
      <c r="A74" s="437" t="s">
        <v>193</v>
      </c>
      <c r="B74" s="1214">
        <v>420</v>
      </c>
      <c r="C74" s="438"/>
      <c r="D74" s="431">
        <v>0</v>
      </c>
      <c r="E74" s="59">
        <f>H74+R74+AL74+AK74</f>
        <v>0</v>
      </c>
      <c r="F74" s="410">
        <f t="shared" si="1"/>
        <v>0</v>
      </c>
      <c r="G74" s="285"/>
      <c r="H74" s="158"/>
      <c r="I74" s="669">
        <f t="shared" si="19"/>
        <v>0</v>
      </c>
      <c r="J74" s="881"/>
      <c r="K74" s="285"/>
      <c r="L74" s="158"/>
      <c r="M74" s="298"/>
      <c r="N74" s="297"/>
      <c r="O74" s="285"/>
      <c r="P74" s="367"/>
      <c r="Q74" s="279"/>
      <c r="R74" s="310"/>
      <c r="S74" s="375"/>
      <c r="T74" s="528"/>
      <c r="U74" s="310"/>
      <c r="V74" s="63"/>
      <c r="W74" s="357">
        <f t="shared" si="2"/>
        <v>0</v>
      </c>
      <c r="X74" s="382"/>
      <c r="Y74" s="153">
        <f t="shared" si="63"/>
        <v>0</v>
      </c>
      <c r="Z74" s="357">
        <f t="shared" si="64"/>
        <v>0</v>
      </c>
      <c r="AA74" s="310"/>
      <c r="AB74" s="63"/>
      <c r="AC74" s="360"/>
      <c r="AD74" s="279"/>
      <c r="AE74" s="63"/>
      <c r="AF74" s="360"/>
      <c r="AG74" s="279"/>
      <c r="AH74" s="63"/>
      <c r="AI74" s="360"/>
      <c r="AJ74" s="425"/>
      <c r="AK74" s="395"/>
      <c r="AL74" s="334">
        <v>0</v>
      </c>
      <c r="AM74" s="161">
        <f t="shared" si="8"/>
        <v>0</v>
      </c>
      <c r="AN74" s="1013">
        <f t="shared" si="5"/>
        <v>0</v>
      </c>
      <c r="AO74" s="338"/>
      <c r="AP74" s="162"/>
      <c r="AQ74" s="1019"/>
      <c r="AR74" s="324"/>
      <c r="AS74" s="162"/>
      <c r="AT74" s="339"/>
      <c r="AU74" s="540"/>
      <c r="AV74" s="324"/>
      <c r="AW74" s="162"/>
      <c r="AX74" s="339"/>
      <c r="BG74" s="617"/>
      <c r="BH74" s="621">
        <f t="shared" si="65"/>
        <v>0</v>
      </c>
      <c r="BI74" s="617"/>
      <c r="BJ74" s="621">
        <f t="shared" si="67"/>
        <v>0</v>
      </c>
      <c r="BM74" s="628">
        <f t="shared" si="21"/>
        <v>0</v>
      </c>
      <c r="BN74" s="628">
        <f t="shared" si="14"/>
        <v>0</v>
      </c>
      <c r="BO74" s="535">
        <f t="shared" si="17"/>
        <v>0</v>
      </c>
      <c r="BP74" s="533"/>
      <c r="BQ74" s="617"/>
      <c r="BR74" s="621">
        <f t="shared" si="66"/>
        <v>0</v>
      </c>
      <c r="BS74" s="617"/>
      <c r="BT74" s="621">
        <f t="shared" si="54"/>
        <v>0</v>
      </c>
    </row>
    <row r="75" spans="1:72" s="115" customFormat="1" ht="17.25" customHeight="1" x14ac:dyDescent="0.3">
      <c r="A75" s="435" t="s">
        <v>194</v>
      </c>
      <c r="B75" s="1215">
        <v>500</v>
      </c>
      <c r="C75" s="436" t="s">
        <v>149</v>
      </c>
      <c r="D75" s="430">
        <v>31252430.415000021</v>
      </c>
      <c r="E75" s="59">
        <f>H75+R75+AK75+AM75</f>
        <v>629587230.41500008</v>
      </c>
      <c r="F75" s="410">
        <f t="shared" si="1"/>
        <v>598334800</v>
      </c>
      <c r="G75" s="157">
        <f>G23-G11</f>
        <v>21072590.980000019</v>
      </c>
      <c r="H75" s="157">
        <f>H23-H11</f>
        <v>25598922.460000008</v>
      </c>
      <c r="I75" s="669">
        <f t="shared" si="19"/>
        <v>4526331.4799999893</v>
      </c>
      <c r="J75" s="882">
        <f>J23-J11</f>
        <v>16524140.506574497</v>
      </c>
      <c r="K75" s="157">
        <f>K23-K11</f>
        <v>4548450.4600000083</v>
      </c>
      <c r="L75" s="157">
        <f>L23-L11</f>
        <v>9074781.9534255117</v>
      </c>
      <c r="M75" s="298">
        <f>L75-K75</f>
        <v>4526331.4934255034</v>
      </c>
      <c r="N75" s="157">
        <f>N23-N11</f>
        <v>9.9999979138374329E-3</v>
      </c>
      <c r="O75" s="157">
        <f>O23-O11</f>
        <v>0</v>
      </c>
      <c r="P75" s="157">
        <f>P23-P11</f>
        <v>-9.9999979138374329E-3</v>
      </c>
      <c r="Q75" s="1025">
        <v>593808468.51999998</v>
      </c>
      <c r="R75" s="307">
        <v>593808468.51999998</v>
      </c>
      <c r="S75" s="372">
        <f>R75-Q75</f>
        <v>0</v>
      </c>
      <c r="T75" s="525">
        <v>593808468.51999998</v>
      </c>
      <c r="U75" s="307">
        <v>0</v>
      </c>
      <c r="V75" s="63">
        <f>V11-V23</f>
        <v>1.0000228881835938E-2</v>
      </c>
      <c r="W75" s="357">
        <f>V75-U75</f>
        <v>1.0000228881835938E-2</v>
      </c>
      <c r="X75" s="307"/>
      <c r="Y75" s="63"/>
      <c r="Z75" s="357"/>
      <c r="AA75" s="63">
        <f>AA23-AA11</f>
        <v>0</v>
      </c>
      <c r="AB75" s="63">
        <f>AB23-AB11</f>
        <v>0</v>
      </c>
      <c r="AC75" s="63">
        <f>AC23-AC11</f>
        <v>0</v>
      </c>
      <c r="AD75" s="276">
        <v>0</v>
      </c>
      <c r="AE75" s="63">
        <f>AE23-AE11</f>
        <v>0</v>
      </c>
      <c r="AF75" s="357"/>
      <c r="AG75" s="307">
        <f>'расчет норматив'!AQ6+'расчет норматив'!AR6</f>
        <v>0</v>
      </c>
      <c r="AH75" s="63">
        <f>AH11-AH23</f>
        <v>0</v>
      </c>
      <c r="AI75" s="357">
        <f>AH75-AG75</f>
        <v>0</v>
      </c>
      <c r="AJ75" s="422">
        <v>0</v>
      </c>
      <c r="AK75" s="395"/>
      <c r="AL75" s="334">
        <v>10179839.442763567</v>
      </c>
      <c r="AM75" s="161">
        <f t="shared" ref="AM75:AN75" si="68">AM23-AM11</f>
        <v>10179839.435000062</v>
      </c>
      <c r="AN75" s="1013">
        <f t="shared" si="68"/>
        <v>1.1700034141540527E-2</v>
      </c>
      <c r="AO75" s="334">
        <v>9808185.4527635574</v>
      </c>
      <c r="AP75" s="323">
        <f>AP23-AP11</f>
        <v>9808185.4449999928</v>
      </c>
      <c r="AQ75" s="406">
        <f>AQ23-AQ11</f>
        <v>-7.7635645866394043E-3</v>
      </c>
      <c r="AR75" s="323">
        <f>AR23-AR11</f>
        <v>371653.99000000209</v>
      </c>
      <c r="AS75" s="323">
        <f>AS23-AS11</f>
        <v>371653.99000000954</v>
      </c>
      <c r="AT75" s="406">
        <f t="shared" ref="AT75" si="69">AT23-AT11</f>
        <v>0</v>
      </c>
      <c r="AU75" s="539">
        <v>0</v>
      </c>
      <c r="AV75" s="323"/>
      <c r="AW75" s="323">
        <f t="shared" ref="AW75:AX75" si="70">AW23-AW11</f>
        <v>0</v>
      </c>
      <c r="AX75" s="406">
        <f t="shared" si="70"/>
        <v>0</v>
      </c>
      <c r="BG75" s="619"/>
      <c r="BH75" s="620"/>
      <c r="BI75" s="617">
        <v>1222485.57</v>
      </c>
      <c r="BJ75" s="621">
        <f t="shared" si="67"/>
        <v>-1222485.57</v>
      </c>
      <c r="BM75" s="632">
        <f>BM23-BM11</f>
        <v>10179839.423299968</v>
      </c>
      <c r="BN75" s="632">
        <f>BN23-BN11</f>
        <v>-12791385.120000064</v>
      </c>
      <c r="BO75" s="632"/>
      <c r="BP75" s="632">
        <f t="shared" ref="BP75" si="71">BP23-BP11</f>
        <v>-4989655.8849999905</v>
      </c>
      <c r="BQ75" s="619"/>
      <c r="BR75" s="620"/>
      <c r="BS75" s="617">
        <v>1222485.57</v>
      </c>
      <c r="BT75" s="621">
        <f t="shared" si="54"/>
        <v>-850831.57999999798</v>
      </c>
    </row>
    <row r="76" spans="1:72" s="115" customFormat="1" ht="19.5" hidden="1" thickBot="1" x14ac:dyDescent="0.35">
      <c r="A76" s="446" t="s">
        <v>195</v>
      </c>
      <c r="B76" s="447">
        <v>600</v>
      </c>
      <c r="C76" s="448" t="s">
        <v>149</v>
      </c>
      <c r="D76" s="1244">
        <f>D75+D11-D23+D71</f>
        <v>1270135000</v>
      </c>
      <c r="E76" s="1245">
        <f>E75+E11-E23+E71</f>
        <v>1.000058650970459E-2</v>
      </c>
      <c r="F76" s="413">
        <f t="shared" ref="F76" si="72">E76-D76</f>
        <v>-1270134999.9899993</v>
      </c>
      <c r="G76" s="407">
        <f>G11+G75-G23</f>
        <v>0</v>
      </c>
      <c r="H76" s="304">
        <f>H11+H75-H23</f>
        <v>0</v>
      </c>
      <c r="I76" s="670">
        <f t="shared" ref="I76:AE76" si="73">I11+I75-I23</f>
        <v>0</v>
      </c>
      <c r="J76" s="1031">
        <f t="shared" si="73"/>
        <v>0</v>
      </c>
      <c r="K76" s="407">
        <f t="shared" si="73"/>
        <v>0</v>
      </c>
      <c r="L76" s="304">
        <f t="shared" si="73"/>
        <v>0</v>
      </c>
      <c r="M76" s="304">
        <f t="shared" si="73"/>
        <v>0</v>
      </c>
      <c r="N76" s="303">
        <f t="shared" si="73"/>
        <v>0</v>
      </c>
      <c r="O76" s="304">
        <f t="shared" si="73"/>
        <v>0</v>
      </c>
      <c r="P76" s="370"/>
      <c r="Q76" s="1246">
        <f>Q75+Q11-Q23+Q71</f>
        <v>-3.5762786865234375E-7</v>
      </c>
      <c r="R76" s="1247">
        <f>R75+R11-R23+R71</f>
        <v>1.000058650970459E-2</v>
      </c>
      <c r="S76" s="1066">
        <f t="shared" si="73"/>
        <v>1.0000944137573242E-2</v>
      </c>
      <c r="T76" s="530">
        <f>T11+T75-T23+T71</f>
        <v>205614792.37</v>
      </c>
      <c r="U76" s="388">
        <f t="shared" si="73"/>
        <v>0</v>
      </c>
      <c r="V76" s="388">
        <f>V11+V75-V23</f>
        <v>2.0000457763671875E-2</v>
      </c>
      <c r="W76" s="362">
        <f t="shared" ref="W76" si="74">V76-U76</f>
        <v>2.0000457763671875E-2</v>
      </c>
      <c r="X76" s="376">
        <f t="shared" si="73"/>
        <v>0</v>
      </c>
      <c r="Y76" s="388">
        <f t="shared" si="73"/>
        <v>0</v>
      </c>
      <c r="Z76" s="362">
        <f t="shared" si="73"/>
        <v>0</v>
      </c>
      <c r="AA76" s="388">
        <f t="shared" si="73"/>
        <v>0</v>
      </c>
      <c r="AB76" s="388">
        <f t="shared" si="73"/>
        <v>0</v>
      </c>
      <c r="AC76" s="388">
        <f t="shared" si="73"/>
        <v>0</v>
      </c>
      <c r="AD76" s="281">
        <v>0</v>
      </c>
      <c r="AE76" s="388">
        <f t="shared" si="73"/>
        <v>0</v>
      </c>
      <c r="AF76" s="362">
        <f t="shared" ref="AF76" si="75">AE76-AD76</f>
        <v>0</v>
      </c>
      <c r="AG76" s="281"/>
      <c r="AH76" s="388">
        <f>AH11+AH75-AH23</f>
        <v>0</v>
      </c>
      <c r="AI76" s="362">
        <f t="shared" ref="AI76" si="76">AH76-AG76</f>
        <v>0</v>
      </c>
      <c r="AJ76" s="428">
        <f t="shared" ref="AJ76:AU76" si="77">AJ11+AJ75-AJ23</f>
        <v>0</v>
      </c>
      <c r="AK76" s="399">
        <f t="shared" si="77"/>
        <v>0</v>
      </c>
      <c r="AL76" s="344">
        <v>0</v>
      </c>
      <c r="AM76" s="345">
        <f>AM11+AM75-AM23</f>
        <v>0</v>
      </c>
      <c r="AN76" s="1014">
        <f t="shared" ref="AN76:AS76" si="78">AN11+AN75-AN23</f>
        <v>0</v>
      </c>
      <c r="AO76" s="344">
        <v>0</v>
      </c>
      <c r="AP76" s="345">
        <f t="shared" si="78"/>
        <v>0</v>
      </c>
      <c r="AQ76" s="346">
        <f t="shared" si="78"/>
        <v>0</v>
      </c>
      <c r="AR76" s="390">
        <v>0</v>
      </c>
      <c r="AS76" s="345">
        <f t="shared" si="78"/>
        <v>0</v>
      </c>
      <c r="AT76" s="346"/>
      <c r="AU76" s="545">
        <f t="shared" si="77"/>
        <v>0</v>
      </c>
      <c r="AV76" s="390">
        <v>0</v>
      </c>
      <c r="AW76" s="345">
        <f t="shared" ref="AW76" si="79">AW11+AW75-AW23</f>
        <v>0</v>
      </c>
      <c r="AX76" s="346"/>
      <c r="BG76" s="623">
        <f>BG23</f>
        <v>0</v>
      </c>
      <c r="BH76" s="624">
        <f>SUM(BH26:BH74)</f>
        <v>15071900</v>
      </c>
      <c r="BI76" s="623">
        <f>BI23</f>
        <v>69438047.340000004</v>
      </c>
      <c r="BJ76" s="624">
        <f>SUM(BJ26:BJ74)</f>
        <v>-77779061.369999975</v>
      </c>
      <c r="BM76" s="628">
        <f t="shared" si="21"/>
        <v>0</v>
      </c>
      <c r="BN76" s="628"/>
      <c r="BO76" s="604"/>
      <c r="BP76" s="531"/>
      <c r="BQ76" s="623">
        <f>BQ23</f>
        <v>262223617.94999999</v>
      </c>
      <c r="BR76" s="624">
        <f>SUM(BR26:BR74)</f>
        <v>124216264.24000001</v>
      </c>
      <c r="BS76" s="623">
        <f>BS23</f>
        <v>69438047.340000004</v>
      </c>
      <c r="BT76" s="624">
        <f>SUM(BT26:BT74)</f>
        <v>-15086122.66</v>
      </c>
    </row>
    <row r="77" spans="1:72" s="115" customFormat="1" ht="19.5" hidden="1" customHeight="1" thickBot="1" x14ac:dyDescent="0.35">
      <c r="A77" s="463"/>
      <c r="B77" s="464"/>
      <c r="C77" s="465"/>
      <c r="D77" s="466"/>
      <c r="E77" s="466"/>
      <c r="F77" s="466"/>
      <c r="G77" s="466"/>
      <c r="H77" s="466"/>
      <c r="I77" s="471"/>
      <c r="J77" s="466"/>
      <c r="K77" s="466"/>
      <c r="L77" s="466"/>
      <c r="M77" s="466"/>
      <c r="N77" s="466"/>
      <c r="O77" s="466"/>
      <c r="P77" s="466"/>
      <c r="Q77" s="466"/>
      <c r="R77" s="466"/>
      <c r="S77" s="466"/>
      <c r="T77" s="466"/>
      <c r="U77" s="466"/>
      <c r="V77" s="466"/>
      <c r="W77" s="466"/>
      <c r="X77" s="466"/>
      <c r="Y77" s="466"/>
      <c r="Z77" s="466"/>
      <c r="AA77" s="466"/>
      <c r="AB77" s="466"/>
      <c r="AC77" s="466"/>
      <c r="AD77" s="466"/>
      <c r="AE77" s="466"/>
      <c r="AF77" s="466"/>
      <c r="AG77" s="466"/>
      <c r="AH77" s="466"/>
      <c r="AI77" s="466"/>
      <c r="AJ77" s="466"/>
      <c r="AK77" s="466"/>
      <c r="AL77" s="466"/>
      <c r="AM77" s="466"/>
      <c r="AN77" s="466"/>
      <c r="AO77" s="466"/>
      <c r="AP77" s="466"/>
      <c r="AQ77" s="466"/>
      <c r="AR77" s="466"/>
      <c r="AS77" s="466"/>
      <c r="AT77" s="466"/>
      <c r="AU77" s="466"/>
      <c r="AV77" s="466"/>
      <c r="AW77" s="466"/>
      <c r="AX77" s="466"/>
      <c r="BM77" s="604"/>
      <c r="BN77" s="604"/>
      <c r="BO77" s="604"/>
      <c r="BP77" s="531"/>
      <c r="BQ77" s="607"/>
    </row>
    <row r="78" spans="1:72" s="115" customFormat="1" hidden="1" x14ac:dyDescent="0.3">
      <c r="A78" s="463"/>
      <c r="B78" s="464"/>
      <c r="C78" s="465"/>
      <c r="D78" s="157">
        <f>D23-D11</f>
        <v>-1238882569.585</v>
      </c>
      <c r="E78" s="157">
        <f t="shared" ref="E78:AU78" si="80">E23-E11</f>
        <v>423972438.03499937</v>
      </c>
      <c r="F78" s="157">
        <f t="shared" si="80"/>
        <v>1662855007.6199994</v>
      </c>
      <c r="G78" s="157">
        <f t="shared" si="80"/>
        <v>21072590.980000019</v>
      </c>
      <c r="H78" s="157">
        <f t="shared" si="80"/>
        <v>25598922.460000008</v>
      </c>
      <c r="I78" s="157">
        <f t="shared" si="80"/>
        <v>4526331.4799999893</v>
      </c>
      <c r="J78" s="157">
        <f t="shared" si="80"/>
        <v>16524140.506574497</v>
      </c>
      <c r="K78" s="157">
        <f t="shared" si="80"/>
        <v>4548450.4600000083</v>
      </c>
      <c r="L78" s="157">
        <f t="shared" si="80"/>
        <v>9074781.9534255117</v>
      </c>
      <c r="M78" s="157">
        <f t="shared" si="80"/>
        <v>4526331.4934255034</v>
      </c>
      <c r="N78" s="157">
        <f t="shared" si="80"/>
        <v>9.9999979138374329E-3</v>
      </c>
      <c r="O78" s="157">
        <f t="shared" si="80"/>
        <v>0</v>
      </c>
      <c r="P78" s="157">
        <f t="shared" si="80"/>
        <v>-9.9999979138374329E-3</v>
      </c>
      <c r="Q78" s="157">
        <f t="shared" si="80"/>
        <v>388193676.15000033</v>
      </c>
      <c r="R78" s="157">
        <f t="shared" si="80"/>
        <v>388193676.13999939</v>
      </c>
      <c r="S78" s="157">
        <f t="shared" si="80"/>
        <v>-1.0000944137573242E-2</v>
      </c>
      <c r="T78" s="157">
        <f t="shared" si="80"/>
        <v>388193676.14999998</v>
      </c>
      <c r="U78" s="157">
        <f t="shared" si="80"/>
        <v>0</v>
      </c>
      <c r="V78" s="157">
        <f t="shared" si="80"/>
        <v>-1.0000228881835938E-2</v>
      </c>
      <c r="W78" s="157">
        <f t="shared" si="80"/>
        <v>-1.0000228881835938E-2</v>
      </c>
      <c r="X78" s="157">
        <f t="shared" si="80"/>
        <v>0</v>
      </c>
      <c r="Y78" s="157">
        <f t="shared" si="80"/>
        <v>0</v>
      </c>
      <c r="Z78" s="157">
        <f t="shared" si="80"/>
        <v>0</v>
      </c>
      <c r="AA78" s="157">
        <f t="shared" si="80"/>
        <v>0</v>
      </c>
      <c r="AB78" s="157">
        <f t="shared" si="80"/>
        <v>0</v>
      </c>
      <c r="AC78" s="157">
        <f t="shared" si="80"/>
        <v>0</v>
      </c>
      <c r="AD78" s="157"/>
      <c r="AE78" s="157"/>
      <c r="AF78" s="157"/>
      <c r="AG78" s="157"/>
      <c r="AH78" s="157"/>
      <c r="AI78" s="157"/>
      <c r="AJ78" s="157">
        <f t="shared" si="80"/>
        <v>0</v>
      </c>
      <c r="AK78" s="157">
        <f t="shared" si="80"/>
        <v>0</v>
      </c>
      <c r="AL78" s="157">
        <f t="shared" si="80"/>
        <v>10179839.423299968</v>
      </c>
      <c r="AM78" s="157">
        <f t="shared" si="80"/>
        <v>10179839.435000062</v>
      </c>
      <c r="AN78" s="157">
        <f t="shared" si="80"/>
        <v>1.1700034141540527E-2</v>
      </c>
      <c r="AO78" s="157">
        <f t="shared" si="80"/>
        <v>9808185.4527635574</v>
      </c>
      <c r="AP78" s="157">
        <f t="shared" si="80"/>
        <v>9808185.4449999928</v>
      </c>
      <c r="AQ78" s="157">
        <f t="shared" si="80"/>
        <v>-7.7635645866394043E-3</v>
      </c>
      <c r="AR78" s="157">
        <f t="shared" si="80"/>
        <v>371653.99000000209</v>
      </c>
      <c r="AS78" s="157">
        <f t="shared" si="80"/>
        <v>371653.99000000954</v>
      </c>
      <c r="AT78" s="157">
        <f t="shared" si="80"/>
        <v>0</v>
      </c>
      <c r="AU78" s="157">
        <f t="shared" si="80"/>
        <v>0</v>
      </c>
      <c r="AV78" s="467"/>
      <c r="AW78" s="467"/>
      <c r="AX78" s="467"/>
      <c r="BM78" s="604"/>
      <c r="BN78" s="604"/>
      <c r="BO78" s="604"/>
      <c r="BP78" s="531"/>
      <c r="BQ78" s="607"/>
    </row>
    <row r="79" spans="1:72" s="115" customFormat="1" hidden="1" x14ac:dyDescent="0.3">
      <c r="A79" s="463"/>
      <c r="B79" s="464"/>
      <c r="C79" s="465"/>
      <c r="D79" s="466">
        <f>D78+D76</f>
        <v>31252430.414999962</v>
      </c>
      <c r="E79" s="466">
        <f t="shared" ref="E79:AU79" si="81">E78+E76</f>
        <v>423972438.04499996</v>
      </c>
      <c r="F79" s="466">
        <f t="shared" si="81"/>
        <v>392720007.63000011</v>
      </c>
      <c r="G79" s="466">
        <f t="shared" si="81"/>
        <v>21072590.980000019</v>
      </c>
      <c r="H79" s="466">
        <f t="shared" si="81"/>
        <v>25598922.460000008</v>
      </c>
      <c r="I79" s="466">
        <f t="shared" si="81"/>
        <v>4526331.4799999893</v>
      </c>
      <c r="J79" s="466">
        <f t="shared" si="81"/>
        <v>16524140.506574497</v>
      </c>
      <c r="K79" s="466">
        <f t="shared" si="81"/>
        <v>4548450.4600000083</v>
      </c>
      <c r="L79" s="466">
        <f t="shared" si="81"/>
        <v>9074781.9534255117</v>
      </c>
      <c r="M79" s="466">
        <f t="shared" si="81"/>
        <v>4526331.4934255034</v>
      </c>
      <c r="N79" s="466">
        <f t="shared" si="81"/>
        <v>9.9999979138374329E-3</v>
      </c>
      <c r="O79" s="466">
        <f t="shared" si="81"/>
        <v>0</v>
      </c>
      <c r="P79" s="466">
        <f t="shared" si="81"/>
        <v>-9.9999979138374329E-3</v>
      </c>
      <c r="Q79" s="466">
        <f t="shared" si="81"/>
        <v>388193676.14999998</v>
      </c>
      <c r="R79" s="466">
        <f t="shared" si="81"/>
        <v>388193676.14999998</v>
      </c>
      <c r="S79" s="466">
        <f t="shared" si="81"/>
        <v>0</v>
      </c>
      <c r="T79" s="466">
        <f t="shared" si="81"/>
        <v>593808468.51999998</v>
      </c>
      <c r="U79" s="466">
        <f t="shared" si="81"/>
        <v>0</v>
      </c>
      <c r="V79" s="466">
        <f t="shared" si="81"/>
        <v>1.0000228881835938E-2</v>
      </c>
      <c r="W79" s="466">
        <f t="shared" si="81"/>
        <v>1.0000228881835938E-2</v>
      </c>
      <c r="X79" s="466">
        <f t="shared" si="81"/>
        <v>0</v>
      </c>
      <c r="Y79" s="466">
        <f t="shared" si="81"/>
        <v>0</v>
      </c>
      <c r="Z79" s="466">
        <f t="shared" si="81"/>
        <v>0</v>
      </c>
      <c r="AA79" s="466">
        <f t="shared" si="81"/>
        <v>0</v>
      </c>
      <c r="AB79" s="466">
        <f t="shared" si="81"/>
        <v>0</v>
      </c>
      <c r="AC79" s="466">
        <f t="shared" si="81"/>
        <v>0</v>
      </c>
      <c r="AD79" s="466"/>
      <c r="AE79" s="466"/>
      <c r="AF79" s="466"/>
      <c r="AG79" s="466"/>
      <c r="AH79" s="466"/>
      <c r="AI79" s="466"/>
      <c r="AJ79" s="466">
        <f t="shared" si="81"/>
        <v>0</v>
      </c>
      <c r="AK79" s="466">
        <f t="shared" si="81"/>
        <v>0</v>
      </c>
      <c r="AL79" s="466">
        <f t="shared" si="81"/>
        <v>10179839.423299968</v>
      </c>
      <c r="AM79" s="466">
        <f t="shared" si="81"/>
        <v>10179839.435000062</v>
      </c>
      <c r="AN79" s="466">
        <f t="shared" si="81"/>
        <v>1.1700034141540527E-2</v>
      </c>
      <c r="AO79" s="466">
        <f t="shared" si="81"/>
        <v>9808185.4527635574</v>
      </c>
      <c r="AP79" s="466">
        <f t="shared" si="81"/>
        <v>9808185.4449999928</v>
      </c>
      <c r="AQ79" s="466">
        <f t="shared" si="81"/>
        <v>-7.7635645866394043E-3</v>
      </c>
      <c r="AR79" s="466">
        <f t="shared" si="81"/>
        <v>371653.99000000209</v>
      </c>
      <c r="AS79" s="466">
        <f t="shared" si="81"/>
        <v>371653.99000000954</v>
      </c>
      <c r="AT79" s="466">
        <f t="shared" si="81"/>
        <v>0</v>
      </c>
      <c r="AU79" s="466">
        <f t="shared" si="81"/>
        <v>0</v>
      </c>
      <c r="AV79" s="466"/>
      <c r="AW79" s="466"/>
      <c r="AX79" s="466"/>
      <c r="BM79" s="604"/>
      <c r="BN79" s="604"/>
      <c r="BO79" s="604"/>
      <c r="BP79" s="531"/>
      <c r="BQ79" s="607"/>
    </row>
    <row r="80" spans="1:72" s="115" customFormat="1" hidden="1" x14ac:dyDescent="0.3">
      <c r="A80" s="463"/>
      <c r="B80" s="464"/>
      <c r="C80" s="465"/>
      <c r="D80" s="466" t="b">
        <f>D75=D79</f>
        <v>1</v>
      </c>
      <c r="E80" s="466" t="b">
        <f t="shared" ref="E80:AU80" si="82">E75=E79</f>
        <v>0</v>
      </c>
      <c r="F80" s="466" t="b">
        <f t="shared" si="82"/>
        <v>0</v>
      </c>
      <c r="G80" s="466" t="b">
        <f t="shared" si="82"/>
        <v>1</v>
      </c>
      <c r="H80" s="466" t="b">
        <f t="shared" si="82"/>
        <v>1</v>
      </c>
      <c r="I80" s="466" t="b">
        <f t="shared" si="82"/>
        <v>1</v>
      </c>
      <c r="J80" s="466" t="b">
        <f t="shared" si="82"/>
        <v>1</v>
      </c>
      <c r="K80" s="466" t="b">
        <f t="shared" si="82"/>
        <v>1</v>
      </c>
      <c r="L80" s="466" t="b">
        <f t="shared" si="82"/>
        <v>1</v>
      </c>
      <c r="M80" s="466" t="b">
        <f t="shared" si="82"/>
        <v>1</v>
      </c>
      <c r="N80" s="466" t="b">
        <f t="shared" si="82"/>
        <v>1</v>
      </c>
      <c r="O80" s="466" t="b">
        <f t="shared" si="82"/>
        <v>1</v>
      </c>
      <c r="P80" s="466" t="b">
        <f t="shared" si="82"/>
        <v>1</v>
      </c>
      <c r="Q80" s="466" t="b">
        <f t="shared" si="82"/>
        <v>0</v>
      </c>
      <c r="R80" s="466" t="b">
        <f t="shared" si="82"/>
        <v>0</v>
      </c>
      <c r="S80" s="466" t="b">
        <f t="shared" si="82"/>
        <v>1</v>
      </c>
      <c r="T80" s="466" t="b">
        <f t="shared" si="82"/>
        <v>1</v>
      </c>
      <c r="U80" s="466" t="b">
        <f t="shared" si="82"/>
        <v>1</v>
      </c>
      <c r="V80" s="466" t="b">
        <f t="shared" si="82"/>
        <v>1</v>
      </c>
      <c r="W80" s="466" t="b">
        <f t="shared" si="82"/>
        <v>1</v>
      </c>
      <c r="X80" s="466" t="b">
        <f t="shared" si="82"/>
        <v>1</v>
      </c>
      <c r="Y80" s="466" t="b">
        <f t="shared" si="82"/>
        <v>1</v>
      </c>
      <c r="Z80" s="466" t="b">
        <f t="shared" si="82"/>
        <v>1</v>
      </c>
      <c r="AA80" s="466" t="b">
        <f t="shared" si="82"/>
        <v>1</v>
      </c>
      <c r="AB80" s="466" t="b">
        <f t="shared" si="82"/>
        <v>1</v>
      </c>
      <c r="AC80" s="466" t="b">
        <f t="shared" si="82"/>
        <v>1</v>
      </c>
      <c r="AD80" s="466"/>
      <c r="AE80" s="466"/>
      <c r="AF80" s="466"/>
      <c r="AG80" s="466"/>
      <c r="AH80" s="466"/>
      <c r="AI80" s="466"/>
      <c r="AJ80" s="466" t="b">
        <f t="shared" si="82"/>
        <v>1</v>
      </c>
      <c r="AK80" s="466" t="b">
        <f t="shared" si="82"/>
        <v>1</v>
      </c>
      <c r="AL80" s="466" t="b">
        <f t="shared" si="82"/>
        <v>0</v>
      </c>
      <c r="AM80" s="466" t="b">
        <f t="shared" si="82"/>
        <v>1</v>
      </c>
      <c r="AN80" s="466" t="b">
        <f t="shared" si="82"/>
        <v>1</v>
      </c>
      <c r="AO80" s="466" t="b">
        <f t="shared" si="82"/>
        <v>1</v>
      </c>
      <c r="AP80" s="466" t="b">
        <f t="shared" si="82"/>
        <v>1</v>
      </c>
      <c r="AQ80" s="466" t="b">
        <f t="shared" si="82"/>
        <v>1</v>
      </c>
      <c r="AR80" s="466" t="b">
        <f t="shared" si="82"/>
        <v>1</v>
      </c>
      <c r="AS80" s="466" t="b">
        <f t="shared" si="82"/>
        <v>1</v>
      </c>
      <c r="AT80" s="466" t="b">
        <f t="shared" si="82"/>
        <v>1</v>
      </c>
      <c r="AU80" s="466" t="b">
        <f t="shared" si="82"/>
        <v>1</v>
      </c>
      <c r="AV80" s="466"/>
      <c r="AW80" s="466"/>
      <c r="AX80" s="466"/>
      <c r="BM80" s="604"/>
      <c r="BN80" s="604"/>
      <c r="BO80" s="604"/>
      <c r="BP80" s="531"/>
      <c r="BQ80" s="607"/>
    </row>
    <row r="81" spans="1:69" s="115" customFormat="1" hidden="1" x14ac:dyDescent="0.3">
      <c r="A81" s="463"/>
      <c r="B81" s="464"/>
      <c r="C81" s="465"/>
      <c r="D81" s="466"/>
      <c r="E81" s="466">
        <f>E23-E11</f>
        <v>423972438.03499937</v>
      </c>
      <c r="F81" s="466"/>
      <c r="G81" s="466"/>
      <c r="H81" s="466"/>
      <c r="I81" s="466"/>
      <c r="J81" s="466"/>
      <c r="K81" s="466"/>
      <c r="L81" s="466"/>
      <c r="M81" s="466"/>
      <c r="N81" s="466"/>
      <c r="O81" s="466"/>
      <c r="P81" s="466"/>
      <c r="Q81" s="466"/>
      <c r="R81" s="466"/>
      <c r="S81" s="466"/>
      <c r="T81" s="466"/>
      <c r="U81" s="466"/>
      <c r="V81" s="466"/>
      <c r="W81" s="466"/>
      <c r="X81" s="466"/>
      <c r="Y81" s="466"/>
      <c r="Z81" s="466"/>
      <c r="AA81" s="466"/>
      <c r="AB81" s="466"/>
      <c r="AC81" s="466"/>
      <c r="AD81" s="466"/>
      <c r="AE81" s="466"/>
      <c r="AF81" s="466"/>
      <c r="AG81" s="466"/>
      <c r="AH81" s="466"/>
      <c r="AI81" s="466"/>
      <c r="AJ81" s="466"/>
      <c r="AK81" s="466"/>
      <c r="AL81" s="466"/>
      <c r="AM81" s="466"/>
      <c r="AN81" s="466"/>
      <c r="AO81" s="466"/>
      <c r="AP81" s="466"/>
      <c r="AQ81" s="466"/>
      <c r="AR81" s="466"/>
      <c r="AS81" s="466"/>
      <c r="AT81" s="466"/>
      <c r="AU81" s="466"/>
      <c r="AV81" s="466"/>
      <c r="AW81" s="466"/>
      <c r="AX81" s="466"/>
      <c r="BM81" s="604"/>
      <c r="BN81" s="604"/>
      <c r="BO81" s="604"/>
      <c r="BP81" s="531"/>
      <c r="BQ81" s="607"/>
    </row>
    <row r="82" spans="1:69" s="115" customFormat="1" hidden="1" x14ac:dyDescent="0.3">
      <c r="A82" s="463"/>
      <c r="B82" s="464"/>
      <c r="C82" s="465"/>
      <c r="D82" s="466"/>
      <c r="E82" s="466"/>
      <c r="F82" s="466"/>
      <c r="G82" s="466"/>
      <c r="H82" s="466"/>
      <c r="I82" s="466"/>
      <c r="J82" s="466"/>
      <c r="K82" s="466"/>
      <c r="L82" s="466"/>
      <c r="M82" s="466"/>
      <c r="N82" s="466"/>
      <c r="O82" s="466"/>
      <c r="P82" s="466"/>
      <c r="Q82" s="466"/>
      <c r="R82" s="466"/>
      <c r="S82" s="466"/>
      <c r="T82" s="466"/>
      <c r="U82" s="466"/>
      <c r="V82" s="466">
        <v>824053700</v>
      </c>
      <c r="W82" s="466"/>
      <c r="X82" s="466"/>
      <c r="Y82" s="466"/>
      <c r="Z82" s="466"/>
      <c r="AA82" s="466"/>
      <c r="AB82" s="466"/>
      <c r="AC82" s="466"/>
      <c r="AD82" s="466"/>
      <c r="AE82" s="466"/>
      <c r="AF82" s="466"/>
      <c r="AG82" s="466"/>
      <c r="AH82" s="466"/>
      <c r="AI82" s="466"/>
      <c r="AJ82" s="466"/>
      <c r="AK82" s="466"/>
      <c r="AL82" s="466"/>
      <c r="AM82" s="466"/>
      <c r="AN82" s="466"/>
      <c r="AO82" s="466"/>
      <c r="AP82" s="466">
        <f>AO75-AP75</f>
        <v>7.7635645866394043E-3</v>
      </c>
      <c r="AQ82" s="466"/>
      <c r="AR82" s="466"/>
      <c r="AS82" s="466"/>
      <c r="AT82" s="466"/>
      <c r="AU82" s="466"/>
      <c r="AV82" s="466"/>
      <c r="AW82" s="466"/>
      <c r="AX82" s="466"/>
      <c r="BM82" s="604"/>
      <c r="BN82" s="604"/>
      <c r="BO82" s="604"/>
      <c r="BP82" s="531"/>
      <c r="BQ82" s="607"/>
    </row>
    <row r="83" spans="1:69" s="115" customFormat="1" hidden="1" x14ac:dyDescent="0.3">
      <c r="A83" s="463"/>
      <c r="B83" s="464"/>
      <c r="C83" s="465"/>
      <c r="D83" s="466"/>
      <c r="E83" s="466"/>
      <c r="F83" s="466">
        <f>F11-F23</f>
        <v>-1662855007.6199994</v>
      </c>
      <c r="G83" s="466"/>
      <c r="H83" s="466"/>
      <c r="I83" s="466"/>
      <c r="J83" s="466"/>
      <c r="K83" s="466"/>
      <c r="L83" s="466"/>
      <c r="M83" s="466"/>
      <c r="N83" s="466"/>
      <c r="O83" s="466"/>
      <c r="P83" s="466"/>
      <c r="Q83" s="466"/>
      <c r="R83" s="466"/>
      <c r="S83" s="466"/>
      <c r="T83" s="466"/>
      <c r="U83" s="466"/>
      <c r="V83" s="466">
        <f>V82-X11-AA11-1896500.82-6372300</f>
        <v>786775320.70999992</v>
      </c>
      <c r="W83" s="466"/>
      <c r="X83" s="466"/>
      <c r="Y83" s="466"/>
      <c r="Z83" s="466"/>
      <c r="AA83" s="466"/>
      <c r="AB83" s="466"/>
      <c r="AC83" s="466"/>
      <c r="AD83" s="466"/>
      <c r="AE83" s="466"/>
      <c r="AF83" s="466"/>
      <c r="AG83" s="466"/>
      <c r="AH83" s="466"/>
      <c r="AI83" s="466"/>
      <c r="AJ83" s="466"/>
      <c r="AK83" s="466"/>
      <c r="AL83" s="466"/>
      <c r="AM83" s="466"/>
      <c r="AN83" s="466"/>
      <c r="AO83" s="466"/>
      <c r="AP83" s="466"/>
      <c r="AQ83" s="466"/>
      <c r="AR83" s="466"/>
      <c r="AS83" s="466"/>
      <c r="AT83" s="466"/>
      <c r="AU83" s="466"/>
      <c r="AV83" s="466"/>
      <c r="AW83" s="466"/>
      <c r="AX83" s="466"/>
      <c r="BM83" s="604"/>
      <c r="BN83" s="604"/>
      <c r="BO83" s="604"/>
      <c r="BP83" s="531"/>
      <c r="BQ83" s="607"/>
    </row>
    <row r="84" spans="1:69" s="115" customFormat="1" hidden="1" x14ac:dyDescent="0.3">
      <c r="A84" s="463"/>
      <c r="B84" s="464"/>
      <c r="C84" s="465"/>
      <c r="D84" s="466"/>
      <c r="E84" s="466"/>
      <c r="F84" s="466" t="b">
        <f>F76=F83</f>
        <v>0</v>
      </c>
      <c r="G84" s="466"/>
      <c r="H84" s="466"/>
      <c r="I84" s="466"/>
      <c r="J84" s="466"/>
      <c r="K84" s="466"/>
      <c r="L84" s="466"/>
      <c r="M84" s="466"/>
      <c r="N84" s="466"/>
      <c r="O84" s="466"/>
      <c r="P84" s="466"/>
      <c r="Q84" s="466"/>
      <c r="R84" s="466"/>
      <c r="S84" s="466"/>
      <c r="T84" s="466"/>
      <c r="U84" s="466"/>
      <c r="V84" s="466"/>
      <c r="W84" s="466"/>
      <c r="X84" s="466"/>
      <c r="Y84" s="466"/>
      <c r="Z84" s="466"/>
      <c r="AA84" s="466"/>
      <c r="AB84" s="466"/>
      <c r="AC84" s="466"/>
      <c r="AD84" s="466"/>
      <c r="AE84" s="466"/>
      <c r="AF84" s="466"/>
      <c r="AG84" s="466"/>
      <c r="AH84" s="466"/>
      <c r="AI84" s="466"/>
      <c r="AJ84" s="466"/>
      <c r="AK84" s="466"/>
      <c r="AL84" s="466"/>
      <c r="AM84" s="466"/>
      <c r="AN84" s="466"/>
      <c r="AO84" s="466"/>
      <c r="AP84" s="466"/>
      <c r="AQ84" s="466"/>
      <c r="AR84" s="466"/>
      <c r="AS84" s="466"/>
      <c r="AT84" s="466"/>
      <c r="AU84" s="466"/>
      <c r="AV84" s="466"/>
      <c r="AW84" s="466"/>
      <c r="AX84" s="466"/>
      <c r="BM84" s="604"/>
      <c r="BN84" s="604"/>
      <c r="BO84" s="604"/>
      <c r="BP84" s="531"/>
      <c r="BQ84" s="607"/>
    </row>
    <row r="85" spans="1:69" s="115" customFormat="1" hidden="1" x14ac:dyDescent="0.3">
      <c r="A85" s="463"/>
      <c r="B85" s="464"/>
      <c r="C85" s="465"/>
      <c r="D85" s="466"/>
      <c r="E85" s="466"/>
      <c r="F85" s="466"/>
      <c r="G85" s="466"/>
      <c r="H85" s="466"/>
      <c r="I85" s="466"/>
      <c r="J85" s="466"/>
      <c r="K85" s="466"/>
      <c r="L85" s="466"/>
      <c r="M85" s="466"/>
      <c r="N85" s="466"/>
      <c r="O85" s="466"/>
      <c r="P85" s="466"/>
      <c r="Q85" s="466"/>
      <c r="R85" s="466"/>
      <c r="S85" s="466"/>
      <c r="T85" s="466"/>
      <c r="U85" s="466"/>
      <c r="V85" s="466"/>
      <c r="W85" s="466"/>
      <c r="X85" s="466"/>
      <c r="Y85" s="466"/>
      <c r="Z85" s="466"/>
      <c r="AA85" s="466"/>
      <c r="AB85" s="466"/>
      <c r="AC85" s="466"/>
      <c r="AD85" s="466"/>
      <c r="AE85" s="466"/>
      <c r="AF85" s="466"/>
      <c r="AG85" s="466"/>
      <c r="AH85" s="466"/>
      <c r="AI85" s="466"/>
      <c r="AJ85" s="466"/>
      <c r="AK85" s="466"/>
      <c r="AL85" s="466"/>
      <c r="AM85" s="466"/>
      <c r="AN85" s="466"/>
      <c r="AO85" s="466"/>
      <c r="AP85" s="466"/>
      <c r="AQ85" s="466"/>
      <c r="AR85" s="466"/>
      <c r="AS85" s="466"/>
      <c r="AT85" s="466"/>
      <c r="AU85" s="466"/>
      <c r="AV85" s="466"/>
      <c r="AW85" s="466"/>
      <c r="AX85" s="466"/>
      <c r="BM85" s="604"/>
      <c r="BN85" s="604"/>
      <c r="BO85" s="604"/>
      <c r="BP85" s="531"/>
      <c r="BQ85" s="607"/>
    </row>
    <row r="86" spans="1:69" s="115" customFormat="1" hidden="1" x14ac:dyDescent="0.3">
      <c r="A86" s="463"/>
      <c r="B86" s="464"/>
      <c r="C86" s="465"/>
      <c r="D86" s="466"/>
      <c r="E86" s="466"/>
      <c r="F86" s="466"/>
      <c r="G86" s="283">
        <v>493797.89</v>
      </c>
      <c r="H86" s="157">
        <v>493797.8900000155</v>
      </c>
      <c r="I86" s="298">
        <v>1.548323780298233E-8</v>
      </c>
      <c r="J86" s="467"/>
      <c r="K86" s="467"/>
      <c r="L86" s="467"/>
      <c r="M86" s="467"/>
      <c r="N86" s="467"/>
      <c r="O86" s="467"/>
      <c r="P86" s="467"/>
      <c r="Q86" s="468"/>
      <c r="R86" s="468"/>
      <c r="S86" s="468"/>
      <c r="T86" s="468"/>
      <c r="U86" s="468"/>
      <c r="V86" s="468"/>
      <c r="W86" s="468"/>
      <c r="X86" s="468"/>
      <c r="Y86" s="468"/>
      <c r="Z86" s="468"/>
      <c r="AA86" s="468"/>
      <c r="AB86" s="468"/>
      <c r="AC86" s="468"/>
      <c r="AD86" s="468"/>
      <c r="AE86" s="468"/>
      <c r="AF86" s="468"/>
      <c r="AG86" s="468"/>
      <c r="AH86" s="468"/>
      <c r="AI86" s="468"/>
      <c r="AJ86" s="469"/>
      <c r="AK86" s="469"/>
      <c r="AL86" s="470"/>
      <c r="AM86" s="470"/>
      <c r="AN86" s="470"/>
      <c r="AO86" s="470"/>
      <c r="AP86" s="470"/>
      <c r="AQ86" s="470"/>
      <c r="AR86" s="470"/>
      <c r="AS86" s="470"/>
      <c r="AT86" s="470"/>
      <c r="AU86" s="470"/>
      <c r="AV86" s="470"/>
      <c r="AW86" s="470"/>
      <c r="AX86" s="470"/>
      <c r="BM86" s="604"/>
      <c r="BN86" s="604"/>
      <c r="BO86" s="604"/>
      <c r="BP86" s="531"/>
      <c r="BQ86" s="607"/>
    </row>
    <row r="87" spans="1:69" ht="19.5" hidden="1" thickBot="1" x14ac:dyDescent="0.35">
      <c r="G87" s="407">
        <v>-2.1200180053710938E-3</v>
      </c>
      <c r="H87" s="304">
        <v>0</v>
      </c>
      <c r="I87" s="377">
        <v>2.1200180053710938E-3</v>
      </c>
      <c r="J87" s="117"/>
      <c r="K87" s="117"/>
      <c r="L87" s="117"/>
      <c r="M87" s="117"/>
      <c r="N87" s="117"/>
      <c r="O87" s="117"/>
      <c r="P87" s="117"/>
      <c r="Q87" s="117"/>
      <c r="R87" s="117"/>
      <c r="S87" s="117"/>
      <c r="T87" s="111">
        <v>49006743.600000001</v>
      </c>
      <c r="U87" s="117" t="s">
        <v>237</v>
      </c>
      <c r="V87" s="117"/>
      <c r="W87" s="117"/>
      <c r="X87" s="117"/>
      <c r="Y87" s="117"/>
      <c r="Z87" s="117"/>
      <c r="AA87" s="117"/>
      <c r="AB87" s="117"/>
      <c r="AC87" s="117"/>
      <c r="AD87" s="117"/>
      <c r="AE87" s="117"/>
      <c r="AF87" s="117"/>
      <c r="AG87" s="117"/>
      <c r="AH87" s="117"/>
      <c r="AI87" s="117"/>
      <c r="AL87" s="137">
        <f>AL23-AL11</f>
        <v>10179839.423299968</v>
      </c>
      <c r="AM87" s="137">
        <f>AM23-AM11</f>
        <v>10179839.435000062</v>
      </c>
      <c r="AO87" s="137">
        <f>AO23-AO11</f>
        <v>9808185.4527635574</v>
      </c>
      <c r="AP87" s="137">
        <f>AP23-AP11</f>
        <v>9808185.4449999928</v>
      </c>
      <c r="AQ87" s="137"/>
      <c r="AR87" s="137">
        <f t="shared" ref="AR87:AS87" si="83">AR23-AR11</f>
        <v>371653.99000000209</v>
      </c>
      <c r="AS87" s="137">
        <f t="shared" si="83"/>
        <v>371653.99000000954</v>
      </c>
    </row>
    <row r="88" spans="1:69" hidden="1" x14ac:dyDescent="0.3">
      <c r="D88" s="111">
        <f>D23-D11</f>
        <v>-1238882569.585</v>
      </c>
      <c r="G88" s="466"/>
      <c r="H88" s="466"/>
      <c r="I88" s="471"/>
      <c r="J88" s="117"/>
      <c r="K88" s="111"/>
      <c r="L88" s="111"/>
      <c r="M88" s="111"/>
      <c r="N88" s="117"/>
      <c r="O88" s="117"/>
      <c r="P88" s="117"/>
      <c r="Q88" s="117"/>
      <c r="R88" s="117"/>
      <c r="S88" s="117"/>
      <c r="T88" s="111">
        <f>T76-T87</f>
        <v>156608048.77000001</v>
      </c>
      <c r="U88" s="117" t="s">
        <v>197</v>
      </c>
      <c r="V88" s="117"/>
      <c r="W88" s="117"/>
      <c r="X88" s="117"/>
      <c r="Y88" s="117"/>
      <c r="Z88" s="117"/>
      <c r="AA88" s="117"/>
      <c r="AB88" s="117"/>
      <c r="AC88" s="117"/>
      <c r="AD88" s="117"/>
      <c r="AE88" s="117"/>
      <c r="AF88" s="117"/>
      <c r="AG88" s="117"/>
      <c r="AH88" s="117"/>
      <c r="AI88" s="117"/>
    </row>
    <row r="89" spans="1:69" hidden="1" x14ac:dyDescent="0.3">
      <c r="G89" s="157">
        <v>493797.8921200037</v>
      </c>
      <c r="H89" s="157">
        <v>493797.8900000155</v>
      </c>
      <c r="I89" s="157">
        <v>-2.1199882030487061E-3</v>
      </c>
      <c r="J89" s="117">
        <v>211</v>
      </c>
      <c r="K89" s="111">
        <v>170582.06</v>
      </c>
      <c r="L89" s="111"/>
      <c r="M89" s="111"/>
      <c r="N89" s="117"/>
      <c r="O89" s="117"/>
      <c r="P89" s="117"/>
      <c r="Q89" s="117"/>
      <c r="R89" s="117"/>
      <c r="S89" s="117"/>
      <c r="T89" s="117"/>
      <c r="U89" s="117"/>
      <c r="V89" s="117"/>
      <c r="W89" s="117"/>
      <c r="X89" s="117"/>
      <c r="Y89" s="117"/>
      <c r="Z89" s="117"/>
      <c r="AA89" s="117"/>
      <c r="AB89" s="117"/>
      <c r="AC89" s="117"/>
      <c r="AD89" s="117"/>
      <c r="AE89" s="117"/>
      <c r="AF89" s="117"/>
      <c r="AG89" s="117"/>
      <c r="AH89" s="117"/>
      <c r="AI89" s="117"/>
      <c r="AJ89" s="117">
        <v>211</v>
      </c>
      <c r="AK89" s="137">
        <v>109680.99846390169</v>
      </c>
      <c r="AO89" s="263"/>
      <c r="AP89" s="263"/>
      <c r="AQ89" s="263"/>
      <c r="AR89" s="137">
        <v>2818.05</v>
      </c>
      <c r="AS89" s="137"/>
      <c r="AT89" s="137"/>
      <c r="AU89" s="151">
        <v>221</v>
      </c>
      <c r="AV89" s="151"/>
      <c r="AW89" s="151"/>
      <c r="AX89" s="151"/>
    </row>
    <row r="90" spans="1:69" hidden="1" x14ac:dyDescent="0.3">
      <c r="G90" s="466">
        <v>493797.88999998569</v>
      </c>
      <c r="H90" s="466">
        <v>493797.8900000155</v>
      </c>
      <c r="I90" s="466">
        <v>2.9802322387695313E-8</v>
      </c>
      <c r="J90" s="117">
        <v>213</v>
      </c>
      <c r="K90" s="111">
        <f>K89*30.2%+0.01</f>
        <v>51515.792119999998</v>
      </c>
      <c r="L90" s="111"/>
      <c r="M90" s="111"/>
      <c r="N90" s="117"/>
      <c r="O90" s="117"/>
      <c r="P90" s="117"/>
      <c r="Q90" s="117"/>
      <c r="R90" s="117"/>
      <c r="S90" s="117"/>
      <c r="T90" s="117"/>
      <c r="U90" s="117"/>
      <c r="V90" s="117"/>
      <c r="W90" s="117"/>
      <c r="X90" s="117"/>
      <c r="Y90" s="117"/>
      <c r="Z90" s="117"/>
      <c r="AA90" s="117"/>
      <c r="AB90" s="117"/>
      <c r="AC90" s="117"/>
      <c r="AD90" s="117"/>
      <c r="AE90" s="117"/>
      <c r="AF90" s="117"/>
      <c r="AG90" s="117"/>
      <c r="AH90" s="117"/>
      <c r="AI90" s="117"/>
      <c r="AJ90" s="117">
        <v>213</v>
      </c>
      <c r="AK90" s="137">
        <v>33123.660000000003</v>
      </c>
      <c r="AO90" s="263"/>
      <c r="AP90" s="263"/>
      <c r="AQ90" s="263"/>
      <c r="AR90" s="137">
        <v>63920</v>
      </c>
      <c r="AS90" s="137"/>
      <c r="AT90" s="137"/>
      <c r="AU90" s="151">
        <v>310</v>
      </c>
      <c r="AV90" s="151"/>
      <c r="AW90" s="151"/>
      <c r="AX90" s="151"/>
    </row>
    <row r="91" spans="1:69" hidden="1" x14ac:dyDescent="0.3">
      <c r="G91" s="466" t="b">
        <v>0</v>
      </c>
      <c r="H91" s="466" t="b">
        <v>1</v>
      </c>
      <c r="I91" s="466" t="b">
        <v>0</v>
      </c>
      <c r="J91" s="117">
        <v>226</v>
      </c>
      <c r="K91" s="111">
        <v>176906.04</v>
      </c>
      <c r="L91" s="111"/>
      <c r="M91" s="111"/>
      <c r="N91" s="117"/>
      <c r="O91" s="117"/>
      <c r="P91" s="117"/>
      <c r="Q91" s="111"/>
      <c r="R91" s="111"/>
      <c r="S91" s="111"/>
      <c r="T91" s="111"/>
      <c r="U91" s="117"/>
      <c r="V91" s="117"/>
      <c r="W91" s="117"/>
      <c r="X91" s="117"/>
      <c r="Y91" s="117"/>
      <c r="Z91" s="117"/>
      <c r="AA91" s="117"/>
      <c r="AB91" s="117"/>
      <c r="AC91" s="117"/>
      <c r="AD91" s="117"/>
      <c r="AE91" s="117"/>
      <c r="AF91" s="117"/>
      <c r="AG91" s="117"/>
      <c r="AH91" s="117"/>
      <c r="AI91" s="117"/>
      <c r="AK91" s="137">
        <f>SUM(AK89:AK90)</f>
        <v>142804.65846390169</v>
      </c>
      <c r="AO91" s="264">
        <f>AO75</f>
        <v>9808185.4527635574</v>
      </c>
      <c r="AP91" s="264"/>
      <c r="AQ91" s="264"/>
      <c r="AR91" s="137">
        <v>1155747.52</v>
      </c>
      <c r="AS91" s="137"/>
      <c r="AT91" s="137"/>
      <c r="AU91" s="151">
        <v>340</v>
      </c>
      <c r="AV91" s="151"/>
      <c r="AW91" s="151"/>
      <c r="AX91" s="151"/>
    </row>
    <row r="92" spans="1:69" hidden="1" x14ac:dyDescent="0.3">
      <c r="G92" s="117"/>
      <c r="H92" s="117"/>
      <c r="I92" s="117"/>
      <c r="J92" s="117">
        <v>340</v>
      </c>
      <c r="K92" s="111">
        <v>94794</v>
      </c>
      <c r="L92" s="111"/>
      <c r="M92" s="111"/>
      <c r="N92" s="117"/>
      <c r="O92" s="117"/>
      <c r="P92" s="117"/>
      <c r="Q92" s="117"/>
      <c r="R92" s="117"/>
      <c r="S92" s="117"/>
      <c r="T92" s="117"/>
      <c r="U92" s="117"/>
      <c r="V92" s="117"/>
      <c r="W92" s="117"/>
      <c r="X92" s="117"/>
      <c r="Y92" s="117"/>
      <c r="Z92" s="117"/>
      <c r="AA92" s="117"/>
      <c r="AB92" s="117"/>
      <c r="AC92" s="117"/>
      <c r="AD92" s="117"/>
      <c r="AE92" s="117"/>
      <c r="AF92" s="117"/>
      <c r="AG92" s="117"/>
      <c r="AH92" s="117"/>
      <c r="AI92" s="117"/>
    </row>
    <row r="93" spans="1:69" s="531" customFormat="1" hidden="1" x14ac:dyDescent="0.3">
      <c r="C93" s="532"/>
      <c r="H93" s="535">
        <f>H23-H86</f>
        <v>243774724.56999999</v>
      </c>
      <c r="K93" s="533">
        <f>SUM(K89:K92)</f>
        <v>493797.89211999997</v>
      </c>
      <c r="L93" s="533"/>
      <c r="M93" s="533"/>
      <c r="AK93" s="534"/>
      <c r="AL93" s="534"/>
      <c r="AM93" s="534"/>
      <c r="AN93" s="534"/>
      <c r="BQ93" s="602"/>
    </row>
    <row r="94" spans="1:69" s="531" customFormat="1" hidden="1" x14ac:dyDescent="0.3">
      <c r="C94" s="532"/>
      <c r="G94" s="531" t="s">
        <v>450</v>
      </c>
      <c r="H94" s="535">
        <f>212239200+57300000</f>
        <v>269539200</v>
      </c>
      <c r="I94" s="533">
        <f>H94+H86</f>
        <v>270032997.88999999</v>
      </c>
      <c r="K94" s="533"/>
      <c r="L94" s="533"/>
      <c r="M94" s="533"/>
      <c r="AK94" s="534"/>
      <c r="AL94" s="534"/>
      <c r="AM94" s="534"/>
      <c r="AN94" s="534"/>
      <c r="BQ94" s="602"/>
    </row>
    <row r="95" spans="1:69" hidden="1" x14ac:dyDescent="0.3">
      <c r="G95" s="117"/>
      <c r="H95" s="111">
        <f>H94-H93</f>
        <v>25764475.430000007</v>
      </c>
      <c r="I95" s="117"/>
      <c r="J95" s="117"/>
      <c r="K95" s="111"/>
      <c r="L95" s="111"/>
      <c r="M95" s="111"/>
      <c r="N95" s="117"/>
      <c r="O95" s="117"/>
      <c r="P95" s="117"/>
      <c r="Q95" s="117"/>
      <c r="R95" s="117"/>
      <c r="S95" s="117"/>
      <c r="T95" s="117"/>
      <c r="U95" s="117"/>
      <c r="V95" s="117"/>
      <c r="W95" s="117"/>
      <c r="X95" s="117"/>
      <c r="Y95" s="117"/>
      <c r="Z95" s="117"/>
      <c r="AA95" s="117"/>
      <c r="AB95" s="117"/>
      <c r="AC95" s="117"/>
      <c r="AD95" s="117"/>
      <c r="AE95" s="117"/>
      <c r="AF95" s="117"/>
      <c r="AG95" s="117"/>
      <c r="AH95" s="117"/>
      <c r="AI95" s="117"/>
    </row>
    <row r="96" spans="1:69" hidden="1" x14ac:dyDescent="0.3">
      <c r="G96" s="117"/>
      <c r="H96" s="117"/>
      <c r="I96" s="117"/>
      <c r="J96" s="117"/>
      <c r="K96" s="117"/>
      <c r="L96" s="117"/>
      <c r="M96" s="117"/>
      <c r="N96" s="117"/>
      <c r="O96" s="117"/>
      <c r="P96" s="117"/>
      <c r="Q96" s="117"/>
      <c r="R96" s="117"/>
      <c r="S96" s="117"/>
      <c r="T96" s="117"/>
      <c r="U96" s="117"/>
      <c r="V96" s="117"/>
      <c r="W96" s="117"/>
      <c r="X96" s="117"/>
      <c r="Y96" s="117"/>
      <c r="Z96" s="117"/>
      <c r="AA96" s="117"/>
      <c r="AB96" s="117"/>
      <c r="AC96" s="117"/>
      <c r="AD96" s="117"/>
      <c r="AE96" s="117"/>
      <c r="AF96" s="117"/>
      <c r="AG96" s="117"/>
      <c r="AH96" s="117"/>
      <c r="AI96" s="117"/>
    </row>
    <row r="97" spans="5:69" hidden="1" x14ac:dyDescent="0.3">
      <c r="E97" s="111">
        <f>E45-T45-AM45</f>
        <v>2299512040.8499994</v>
      </c>
      <c r="G97" s="117"/>
      <c r="H97" s="117"/>
      <c r="I97" s="117"/>
      <c r="J97" s="117"/>
      <c r="K97" s="117"/>
      <c r="L97" s="117"/>
      <c r="M97" s="117"/>
      <c r="N97" s="117"/>
      <c r="O97" s="117"/>
      <c r="P97" s="117"/>
      <c r="Q97" s="117"/>
      <c r="R97" s="117"/>
      <c r="S97" s="117"/>
      <c r="T97" s="117"/>
      <c r="U97" s="117"/>
      <c r="V97" s="117"/>
      <c r="W97" s="117"/>
      <c r="X97" s="117"/>
      <c r="Y97" s="117"/>
      <c r="Z97" s="117"/>
      <c r="AA97" s="117"/>
      <c r="AB97" s="117"/>
      <c r="AC97" s="117"/>
      <c r="AD97" s="117"/>
      <c r="AE97" s="117"/>
      <c r="AF97" s="117"/>
      <c r="AG97" s="117"/>
      <c r="AH97" s="117"/>
      <c r="AI97" s="117"/>
    </row>
    <row r="98" spans="5:69" hidden="1" x14ac:dyDescent="0.3">
      <c r="G98" s="117"/>
      <c r="H98" s="117"/>
      <c r="I98" s="117"/>
      <c r="J98" s="117"/>
      <c r="K98" s="117"/>
      <c r="L98" s="117"/>
      <c r="M98" s="117"/>
      <c r="N98" s="117"/>
      <c r="O98" s="117"/>
      <c r="P98" s="117"/>
      <c r="Q98" s="117"/>
      <c r="R98" s="117"/>
      <c r="S98" s="117"/>
      <c r="T98" s="117"/>
      <c r="U98" s="117"/>
      <c r="V98" s="117"/>
      <c r="W98" s="117"/>
      <c r="X98" s="117"/>
      <c r="Y98" s="117"/>
      <c r="Z98" s="117"/>
      <c r="AA98" s="117"/>
      <c r="AB98" s="117"/>
      <c r="AC98" s="117"/>
      <c r="AD98" s="117"/>
      <c r="AE98" s="117"/>
      <c r="AF98" s="117"/>
      <c r="AG98" s="117"/>
      <c r="AH98" s="117"/>
      <c r="AI98" s="117"/>
    </row>
    <row r="99" spans="5:69" hidden="1" x14ac:dyDescent="0.3">
      <c r="G99" s="117"/>
      <c r="H99" s="117"/>
      <c r="I99" s="117"/>
      <c r="J99" s="117"/>
      <c r="K99" s="117"/>
      <c r="L99" s="117"/>
      <c r="M99" s="117"/>
      <c r="N99" s="117"/>
      <c r="O99" s="117"/>
      <c r="P99" s="117"/>
      <c r="Q99" s="117"/>
      <c r="R99" s="1030" t="s">
        <v>908</v>
      </c>
      <c r="S99" s="117"/>
      <c r="T99" s="117"/>
      <c r="U99" s="117"/>
      <c r="V99" s="602" t="s">
        <v>905</v>
      </c>
      <c r="W99" s="111">
        <f>SUM(W51:W98)</f>
        <v>1005000000.0300007</v>
      </c>
      <c r="X99" s="602" t="s">
        <v>906</v>
      </c>
      <c r="Y99" s="117"/>
      <c r="Z99" s="117"/>
      <c r="AA99" s="117"/>
      <c r="AB99" s="602" t="s">
        <v>907</v>
      </c>
      <c r="AC99" s="117"/>
      <c r="AD99" s="117"/>
      <c r="AE99" s="117"/>
      <c r="AF99" s="117"/>
      <c r="AG99" s="117"/>
      <c r="AH99" s="117"/>
      <c r="AI99" s="117"/>
      <c r="BQ99" s="605"/>
    </row>
    <row r="100" spans="5:69" hidden="1" x14ac:dyDescent="0.3">
      <c r="E100" s="111"/>
      <c r="G100" s="117"/>
      <c r="H100" s="111">
        <f>H24-L100-L101-L102</f>
        <v>170782400.00000003</v>
      </c>
      <c r="I100" s="117"/>
      <c r="J100" s="117"/>
      <c r="K100" s="117">
        <v>211</v>
      </c>
      <c r="L100" s="111">
        <f>Санкционирование!AV25</f>
        <v>12712935.3365745</v>
      </c>
      <c r="M100" s="111">
        <f>L100</f>
        <v>12712935.3365745</v>
      </c>
      <c r="N100" s="117"/>
      <c r="O100" s="117"/>
      <c r="P100" s="117"/>
      <c r="Q100" s="880" t="s">
        <v>917</v>
      </c>
      <c r="R100" s="111">
        <v>146375908.19999999</v>
      </c>
      <c r="S100" s="117"/>
      <c r="T100" s="117"/>
      <c r="U100" s="117"/>
      <c r="V100" s="117">
        <v>211</v>
      </c>
      <c r="W100" s="117"/>
      <c r="X100" s="111">
        <f>'расчет норматив'!AC10</f>
        <v>130723623.19</v>
      </c>
      <c r="Y100" s="117"/>
      <c r="Z100" s="117"/>
      <c r="AA100" s="117"/>
      <c r="AB100" s="111">
        <f>115806600+15362600</f>
        <v>131169200</v>
      </c>
      <c r="AC100" s="117"/>
      <c r="AD100" s="117"/>
      <c r="AE100" s="117"/>
      <c r="AF100" s="117"/>
      <c r="AG100" s="117"/>
      <c r="AH100" s="117"/>
      <c r="AI100" s="117"/>
      <c r="AK100" s="1032">
        <v>530061.06000000006</v>
      </c>
      <c r="AP100" s="970">
        <v>9808185.4700000044</v>
      </c>
      <c r="AS100" s="111">
        <f>AS75-AR75</f>
        <v>7.4505805969238281E-9</v>
      </c>
      <c r="BP100" s="533">
        <f>BP75-AL75</f>
        <v>-15169495.327763557</v>
      </c>
      <c r="BQ100" s="605">
        <v>261252050.31999999</v>
      </c>
    </row>
    <row r="101" spans="5:69" hidden="1" x14ac:dyDescent="0.3">
      <c r="E101" s="117">
        <v>205614792.37</v>
      </c>
      <c r="G101" s="117"/>
      <c r="H101" s="111">
        <f>AB103-H100</f>
        <v>0</v>
      </c>
      <c r="I101" s="117"/>
      <c r="J101" s="117"/>
      <c r="K101" s="117">
        <v>213</v>
      </c>
      <c r="L101" s="111">
        <f>Санкционирование!AV26</f>
        <v>4311035.7434254978</v>
      </c>
      <c r="M101" s="111">
        <f>'Лист2 (2)'!F13</f>
        <v>3811205.169999999</v>
      </c>
      <c r="N101" s="111">
        <f>L101-M101</f>
        <v>499830.57342549879</v>
      </c>
      <c r="O101" s="111">
        <f>'расчет норматив'!AC8+L100+L101</f>
        <v>187806371.08477378</v>
      </c>
      <c r="P101" s="117"/>
      <c r="Q101" s="880" t="s">
        <v>919</v>
      </c>
      <c r="R101" s="111">
        <v>429259.19</v>
      </c>
      <c r="S101" s="117"/>
      <c r="T101" s="117">
        <v>205614792.37</v>
      </c>
      <c r="U101" s="117"/>
      <c r="V101" s="117">
        <v>213</v>
      </c>
      <c r="W101" s="117"/>
      <c r="X101" s="111">
        <f>'расчет норматив'!AC11</f>
        <v>39613200</v>
      </c>
      <c r="Y101" s="117"/>
      <c r="Z101" s="117"/>
      <c r="AA101" s="117"/>
      <c r="AB101" s="111">
        <f>34973700+4639500</f>
        <v>39613200</v>
      </c>
      <c r="AC101" s="117"/>
      <c r="AD101" s="117"/>
      <c r="AE101" s="117"/>
      <c r="AF101" s="117"/>
      <c r="AG101" s="117"/>
      <c r="AH101" s="117"/>
      <c r="AI101" s="117"/>
      <c r="AJ101" s="117">
        <v>211</v>
      </c>
      <c r="AK101" s="1032">
        <f>AK100/1.302</f>
        <v>407112.94930875581</v>
      </c>
      <c r="BQ101" s="605">
        <f>BQ100-BQ76</f>
        <v>-971567.62999999523</v>
      </c>
    </row>
    <row r="102" spans="5:69" hidden="1" x14ac:dyDescent="0.3">
      <c r="E102" s="111">
        <f>E11+E75-E23</f>
        <v>205614792.38000059</v>
      </c>
      <c r="G102" s="117"/>
      <c r="H102" s="117"/>
      <c r="I102" s="117"/>
      <c r="J102" s="117"/>
      <c r="K102" s="117">
        <v>212</v>
      </c>
      <c r="L102" s="111">
        <f>Санкционирование!AV27</f>
        <v>79091.530000000028</v>
      </c>
      <c r="M102" s="117"/>
      <c r="N102" s="111">
        <f>L102</f>
        <v>79091.530000000028</v>
      </c>
      <c r="O102" s="111">
        <f>H24</f>
        <v>187885462.61000001</v>
      </c>
      <c r="P102" s="117"/>
      <c r="Q102" s="880" t="s">
        <v>918</v>
      </c>
      <c r="R102" s="111">
        <v>4389110</v>
      </c>
      <c r="S102" s="117"/>
      <c r="T102" s="117">
        <v>203001361.21000001</v>
      </c>
      <c r="U102" s="117"/>
      <c r="V102" s="117">
        <v>212</v>
      </c>
      <c r="W102" s="117"/>
      <c r="X102" s="111">
        <f>'расчет норматив'!AC12</f>
        <v>445576.81477379624</v>
      </c>
      <c r="Y102" s="117"/>
      <c r="Z102" s="117"/>
      <c r="AA102" s="117"/>
      <c r="AB102" s="117"/>
      <c r="AC102" s="117"/>
      <c r="AD102" s="117"/>
      <c r="AE102" s="117"/>
      <c r="AF102" s="117"/>
      <c r="AG102" s="117"/>
      <c r="AH102" s="117"/>
      <c r="AI102" s="117"/>
      <c r="AJ102" s="117">
        <v>213</v>
      </c>
      <c r="AK102" s="1032">
        <f>AK101*0.302</f>
        <v>122948.11069124425</v>
      </c>
    </row>
    <row r="103" spans="5:69" hidden="1" x14ac:dyDescent="0.3">
      <c r="G103" s="117"/>
      <c r="H103" s="117"/>
      <c r="I103" s="117"/>
      <c r="J103" s="117"/>
      <c r="K103" s="117">
        <v>221</v>
      </c>
      <c r="L103" s="111">
        <f>Санкционирование!AV47</f>
        <v>385393.10000000003</v>
      </c>
      <c r="M103" s="117"/>
      <c r="N103" s="111">
        <f t="shared" ref="N103:N113" si="84">L103</f>
        <v>385393.10000000003</v>
      </c>
      <c r="O103" s="117"/>
      <c r="P103" s="117"/>
      <c r="Q103" s="880" t="s">
        <v>920</v>
      </c>
      <c r="R103" s="111">
        <v>137961180.06</v>
      </c>
      <c r="S103" s="117"/>
      <c r="T103" s="117">
        <f>T101-T102</f>
        <v>2613431.1599999964</v>
      </c>
      <c r="U103" s="117"/>
      <c r="V103" s="117"/>
      <c r="W103" s="117"/>
      <c r="X103" s="111">
        <f>SUM(X100:X102)</f>
        <v>170782400.0047738</v>
      </c>
      <c r="Y103" s="117"/>
      <c r="Z103" s="117"/>
      <c r="AA103" s="117"/>
      <c r="AB103" s="111">
        <f>SUM(AB100:AB102)</f>
        <v>170782400</v>
      </c>
      <c r="AC103" s="117"/>
      <c r="AD103" s="117"/>
      <c r="AE103" s="137">
        <f>X103-AB103</f>
        <v>4.7737956047058105E-3</v>
      </c>
      <c r="AF103" s="117"/>
      <c r="AG103" s="117"/>
      <c r="AH103" s="117"/>
      <c r="AI103" s="117"/>
      <c r="AK103" s="1032">
        <f>AK101+AK102</f>
        <v>530061.06000000006</v>
      </c>
    </row>
    <row r="104" spans="5:69" hidden="1" x14ac:dyDescent="0.3">
      <c r="E104" s="111">
        <f>E75-D75</f>
        <v>598334800</v>
      </c>
      <c r="G104" s="117"/>
      <c r="H104" s="117"/>
      <c r="I104" s="117"/>
      <c r="J104" s="117"/>
      <c r="K104" s="117">
        <v>222</v>
      </c>
      <c r="L104" s="111">
        <f>Санкционирование!AV48</f>
        <v>0</v>
      </c>
      <c r="M104" s="117"/>
      <c r="N104" s="111">
        <f t="shared" si="84"/>
        <v>0</v>
      </c>
      <c r="O104" s="117"/>
      <c r="P104" s="117"/>
      <c r="Q104" s="880" t="s">
        <v>922</v>
      </c>
      <c r="R104" s="111">
        <v>860103.18</v>
      </c>
      <c r="S104" s="117"/>
      <c r="T104" s="117"/>
      <c r="U104" s="117"/>
      <c r="V104" s="117"/>
      <c r="W104" s="117"/>
      <c r="X104" s="117"/>
      <c r="Y104" s="117"/>
      <c r="Z104" s="117"/>
      <c r="AA104" s="117"/>
      <c r="AB104" s="602" t="s">
        <v>908</v>
      </c>
      <c r="AC104" s="117"/>
      <c r="AD104" s="117"/>
      <c r="AE104" s="117"/>
      <c r="AF104" s="117"/>
      <c r="AG104" s="117"/>
      <c r="AH104" s="117"/>
      <c r="AI104" s="117"/>
    </row>
    <row r="105" spans="5:69" hidden="1" x14ac:dyDescent="0.3">
      <c r="G105" s="117"/>
      <c r="H105" s="117"/>
      <c r="I105" s="117"/>
      <c r="J105" s="117"/>
      <c r="K105" s="117">
        <v>223</v>
      </c>
      <c r="L105" s="111">
        <f>Санкционирование!AV49</f>
        <v>804094.59999999963</v>
      </c>
      <c r="M105" s="117"/>
      <c r="N105" s="111">
        <f t="shared" si="84"/>
        <v>804094.59999999963</v>
      </c>
      <c r="O105" s="117"/>
      <c r="P105" s="117"/>
      <c r="Q105" s="880" t="s">
        <v>921</v>
      </c>
      <c r="R105" s="111">
        <v>87456589.090000004</v>
      </c>
      <c r="S105" s="117"/>
      <c r="T105" s="117"/>
      <c r="U105" s="117"/>
      <c r="V105" s="117">
        <v>211</v>
      </c>
      <c r="W105" s="117"/>
      <c r="X105" s="111">
        <f>L100</f>
        <v>12712935.3365745</v>
      </c>
      <c r="Y105" s="117"/>
      <c r="Z105" s="117"/>
      <c r="AA105" s="117"/>
      <c r="AB105" s="111">
        <f>L100</f>
        <v>12712935.3365745</v>
      </c>
      <c r="AC105" s="117"/>
      <c r="AD105" s="117"/>
      <c r="AE105" s="117"/>
      <c r="AF105" s="117"/>
      <c r="AG105" s="117"/>
      <c r="AH105" s="117"/>
      <c r="AI105" s="117"/>
    </row>
    <row r="106" spans="5:69" hidden="1" x14ac:dyDescent="0.3">
      <c r="G106" s="117"/>
      <c r="H106" s="117"/>
      <c r="I106" s="117"/>
      <c r="J106" s="117"/>
      <c r="K106" s="117">
        <v>225</v>
      </c>
      <c r="L106" s="111">
        <f>Санкционирование!AV54</f>
        <v>9226.5200000004843</v>
      </c>
      <c r="M106" s="117"/>
      <c r="N106" s="111">
        <f t="shared" si="84"/>
        <v>9226.5200000004843</v>
      </c>
      <c r="O106" s="117"/>
      <c r="P106" s="117"/>
      <c r="Q106" s="880" t="s">
        <v>923</v>
      </c>
      <c r="R106" s="111">
        <v>5533016.0999999996</v>
      </c>
      <c r="S106" s="117"/>
      <c r="T106" s="117"/>
      <c r="U106" s="117"/>
      <c r="V106" s="117">
        <v>213</v>
      </c>
      <c r="W106" s="117"/>
      <c r="X106" s="111">
        <f>L101</f>
        <v>4311035.7434254978</v>
      </c>
      <c r="Y106" s="117"/>
      <c r="Z106" s="117"/>
      <c r="AA106" s="117"/>
      <c r="AB106" s="111">
        <f>L101</f>
        <v>4311035.7434254978</v>
      </c>
      <c r="AC106" s="117"/>
      <c r="AD106" s="117"/>
      <c r="AE106" s="117"/>
      <c r="AF106" s="117"/>
      <c r="AG106" s="117"/>
      <c r="AH106" s="117"/>
      <c r="AI106" s="117"/>
    </row>
    <row r="107" spans="5:69" hidden="1" x14ac:dyDescent="0.3">
      <c r="G107" s="117"/>
      <c r="H107" s="117"/>
      <c r="I107" s="117"/>
      <c r="J107" s="117"/>
      <c r="K107" s="117">
        <v>226</v>
      </c>
      <c r="L107" s="111">
        <f>Санкционирование!AV58</f>
        <v>213871.7200000002</v>
      </c>
      <c r="M107" s="117"/>
      <c r="N107" s="111">
        <f t="shared" si="84"/>
        <v>213871.7200000002</v>
      </c>
      <c r="O107" s="117"/>
      <c r="P107" s="117"/>
      <c r="Q107" s="880"/>
      <c r="R107" s="111"/>
      <c r="S107" s="117"/>
      <c r="T107" s="117"/>
      <c r="U107" s="117"/>
      <c r="V107" s="117">
        <v>212</v>
      </c>
      <c r="W107" s="117"/>
      <c r="X107" s="111">
        <f>L102</f>
        <v>79091.530000000028</v>
      </c>
      <c r="Y107" s="117"/>
      <c r="Z107" s="117"/>
      <c r="AA107" s="117"/>
      <c r="AB107" s="111">
        <f>L102</f>
        <v>79091.530000000028</v>
      </c>
      <c r="AC107" s="117"/>
      <c r="AD107" s="117"/>
      <c r="AE107" s="117"/>
      <c r="AF107" s="117"/>
      <c r="AG107" s="117"/>
      <c r="AH107" s="117"/>
      <c r="AI107" s="117"/>
    </row>
    <row r="108" spans="5:69" hidden="1" x14ac:dyDescent="0.3">
      <c r="G108" s="117"/>
      <c r="H108" s="117"/>
      <c r="I108" s="117"/>
      <c r="J108" s="117"/>
      <c r="K108" s="117">
        <v>290</v>
      </c>
      <c r="L108" s="111">
        <f>Санкционирование!AV60</f>
        <v>1034</v>
      </c>
      <c r="M108" s="117"/>
      <c r="N108" s="111">
        <f t="shared" si="84"/>
        <v>1034</v>
      </c>
      <c r="O108" s="117"/>
      <c r="P108" s="111">
        <v>3814919.6568</v>
      </c>
      <c r="Q108" s="880"/>
      <c r="R108" s="111"/>
      <c r="S108" s="117"/>
      <c r="T108" s="117"/>
      <c r="U108" s="117"/>
      <c r="V108" s="117"/>
      <c r="W108" s="117"/>
      <c r="X108" s="117"/>
      <c r="Y108" s="117"/>
      <c r="Z108" s="117"/>
      <c r="AA108" s="117"/>
      <c r="AB108" s="117"/>
      <c r="AC108" s="117"/>
      <c r="AD108" s="117"/>
      <c r="AE108" s="117"/>
      <c r="AF108" s="117"/>
      <c r="AG108" s="117"/>
      <c r="AH108" s="117"/>
      <c r="AI108" s="117"/>
    </row>
    <row r="109" spans="5:69" hidden="1" x14ac:dyDescent="0.3">
      <c r="G109" s="117"/>
      <c r="H109" s="117"/>
      <c r="I109" s="117"/>
      <c r="J109" s="117"/>
      <c r="K109" s="117">
        <v>310</v>
      </c>
      <c r="L109" s="111">
        <f>Санкционирование!AV62</f>
        <v>73247.479999999981</v>
      </c>
      <c r="M109" s="117"/>
      <c r="N109" s="111">
        <f t="shared" si="84"/>
        <v>73247.479999999981</v>
      </c>
      <c r="O109" s="117"/>
      <c r="P109" s="111">
        <f>P108+L111+L112+L113</f>
        <v>5201006.3068000004</v>
      </c>
      <c r="Q109" s="880"/>
      <c r="R109" s="111"/>
      <c r="S109" s="117"/>
      <c r="T109" s="117"/>
      <c r="U109" s="117"/>
      <c r="V109" s="117"/>
      <c r="W109" s="117"/>
      <c r="X109" s="111">
        <f>X100+X101+X102+X106+X105+X107</f>
        <v>187885462.61477378</v>
      </c>
      <c r="Y109" s="117"/>
      <c r="Z109" s="117"/>
      <c r="AA109" s="117"/>
      <c r="AB109" s="111">
        <f>AB100+AB101+AB105+AB106+AB107</f>
        <v>187885462.60999998</v>
      </c>
      <c r="AC109" s="117"/>
      <c r="AD109" s="117"/>
      <c r="AE109" s="137">
        <f>X109-AB109</f>
        <v>4.7737956047058105E-3</v>
      </c>
      <c r="AF109" s="117"/>
      <c r="AG109" s="117"/>
      <c r="AH109" s="117"/>
      <c r="AI109" s="117"/>
    </row>
    <row r="110" spans="5:69" hidden="1" x14ac:dyDescent="0.3">
      <c r="G110" s="117"/>
      <c r="H110" s="117"/>
      <c r="I110" s="117"/>
      <c r="J110" s="117"/>
      <c r="K110" s="117">
        <v>340</v>
      </c>
      <c r="L110" s="111">
        <f>Санкционирование!AV65</f>
        <v>1096574.299999997</v>
      </c>
      <c r="M110" s="117"/>
      <c r="N110" s="111">
        <f t="shared" si="84"/>
        <v>1096574.299999997</v>
      </c>
      <c r="O110" s="117"/>
      <c r="P110" s="117"/>
      <c r="Q110" s="880"/>
      <c r="R110" s="111"/>
      <c r="S110" s="117"/>
      <c r="T110" s="117"/>
      <c r="U110" s="117"/>
      <c r="V110" s="117"/>
      <c r="W110" s="117"/>
      <c r="X110" s="117"/>
      <c r="Y110" s="117"/>
      <c r="Z110" s="117"/>
      <c r="AA110" s="117"/>
      <c r="AB110" s="117"/>
      <c r="AC110" s="117"/>
      <c r="AD110" s="117"/>
      <c r="AE110" s="117"/>
      <c r="AF110" s="117"/>
      <c r="AG110" s="117"/>
      <c r="AH110" s="117"/>
      <c r="AI110" s="117"/>
    </row>
    <row r="111" spans="5:69" hidden="1" x14ac:dyDescent="0.3">
      <c r="G111" s="117"/>
      <c r="H111" s="117"/>
      <c r="I111" s="117"/>
      <c r="J111" s="117"/>
      <c r="K111" s="117">
        <v>851</v>
      </c>
      <c r="L111" s="111">
        <f>Санкционирование!AV37</f>
        <v>1075176.6200000001</v>
      </c>
      <c r="M111" s="117"/>
      <c r="N111" s="111">
        <f t="shared" si="84"/>
        <v>1075176.6200000001</v>
      </c>
      <c r="O111" s="117"/>
      <c r="P111" s="117"/>
      <c r="Q111" s="880"/>
      <c r="R111" s="111">
        <f>R75-S75</f>
        <v>593808468.51999998</v>
      </c>
      <c r="S111" s="117"/>
      <c r="T111" s="117"/>
      <c r="U111" s="117"/>
      <c r="V111" s="117"/>
      <c r="W111" s="117"/>
      <c r="X111" s="117"/>
      <c r="Y111" s="117"/>
      <c r="Z111" s="117"/>
      <c r="AA111" s="117"/>
      <c r="AB111" s="117"/>
      <c r="AC111" s="117"/>
      <c r="AD111" s="117"/>
      <c r="AE111" s="117"/>
      <c r="AF111" s="117"/>
      <c r="AG111" s="117"/>
      <c r="AH111" s="117"/>
      <c r="AI111" s="117"/>
    </row>
    <row r="112" spans="5:69" hidden="1" x14ac:dyDescent="0.3">
      <c r="G112" s="117"/>
      <c r="H112" s="117"/>
      <c r="I112" s="117"/>
      <c r="J112" s="117"/>
      <c r="K112" s="117">
        <v>852</v>
      </c>
      <c r="L112" s="111">
        <f>Санкционирование!AV38</f>
        <v>209267.46000000002</v>
      </c>
      <c r="M112" s="117"/>
      <c r="N112" s="111">
        <f t="shared" si="84"/>
        <v>209267.46000000002</v>
      </c>
      <c r="O112" s="117"/>
      <c r="P112" s="117"/>
      <c r="Q112" s="880"/>
      <c r="R112" s="111"/>
      <c r="S112" s="117"/>
      <c r="T112" s="117"/>
      <c r="U112" s="117"/>
      <c r="V112" s="117"/>
      <c r="W112" s="117"/>
      <c r="X112" s="117"/>
      <c r="Y112" s="117"/>
      <c r="Z112" s="117"/>
      <c r="AA112" s="117"/>
      <c r="AB112" s="117"/>
      <c r="AC112" s="117"/>
      <c r="AD112" s="117"/>
      <c r="AE112" s="117"/>
      <c r="AF112" s="117"/>
      <c r="AG112" s="117"/>
      <c r="AH112" s="117"/>
      <c r="AI112" s="117"/>
    </row>
    <row r="113" spans="1:72" hidden="1" x14ac:dyDescent="0.3">
      <c r="G113" s="117"/>
      <c r="H113" s="117"/>
      <c r="I113" s="117"/>
      <c r="J113" s="117"/>
      <c r="K113" s="117">
        <v>853</v>
      </c>
      <c r="L113" s="111">
        <f>Санкционирование!AV39</f>
        <v>101642.56999999999</v>
      </c>
      <c r="M113" s="117"/>
      <c r="N113" s="111">
        <f t="shared" si="84"/>
        <v>101642.56999999999</v>
      </c>
      <c r="O113" s="117"/>
      <c r="P113" s="117"/>
      <c r="Q113" s="880"/>
      <c r="R113" s="111"/>
      <c r="S113" s="117"/>
      <c r="T113" s="117"/>
      <c r="U113" s="111">
        <f>1216891000.01-V11</f>
        <v>-1005000000.0000002</v>
      </c>
      <c r="V113" s="117"/>
      <c r="W113" s="117"/>
      <c r="X113" s="117"/>
      <c r="Y113" s="117"/>
      <c r="Z113" s="117"/>
      <c r="AA113" s="117"/>
      <c r="AB113" s="117"/>
      <c r="AC113" s="117"/>
      <c r="AD113" s="117"/>
      <c r="AE113" s="117"/>
      <c r="AF113" s="117"/>
      <c r="AG113" s="117"/>
      <c r="AH113" s="117"/>
      <c r="AI113" s="117"/>
    </row>
    <row r="114" spans="1:72" hidden="1" x14ac:dyDescent="0.3">
      <c r="G114" s="117"/>
      <c r="H114" s="117"/>
      <c r="I114" s="117"/>
      <c r="J114" s="117"/>
      <c r="K114" s="880" t="s">
        <v>293</v>
      </c>
      <c r="L114" s="111">
        <f>SUM(L100:L113)</f>
        <v>21072590.98</v>
      </c>
      <c r="M114" s="117"/>
      <c r="N114" s="111">
        <f>SUM(N100:N113)</f>
        <v>4548450.4734254964</v>
      </c>
      <c r="O114" s="117"/>
      <c r="P114" s="117"/>
      <c r="Q114" s="880"/>
      <c r="R114" s="111"/>
      <c r="S114" s="117"/>
      <c r="T114" s="117"/>
      <c r="U114" s="117"/>
      <c r="V114" s="117"/>
      <c r="W114" s="117"/>
      <c r="X114" s="117"/>
      <c r="Y114" s="117"/>
      <c r="Z114" s="117"/>
      <c r="AA114" s="117"/>
      <c r="AB114" s="117"/>
      <c r="AC114" s="117"/>
      <c r="AD114" s="117"/>
      <c r="AE114" s="117"/>
      <c r="AF114" s="117"/>
      <c r="AG114" s="117"/>
      <c r="AH114" s="117"/>
      <c r="AI114" s="117"/>
    </row>
    <row r="115" spans="1:72" hidden="1" x14ac:dyDescent="0.3">
      <c r="G115" s="117"/>
      <c r="H115" s="117"/>
      <c r="I115" s="117"/>
      <c r="J115" s="117"/>
      <c r="K115" s="117"/>
      <c r="L115" s="111" t="b">
        <f>L114=Санкционирование!AV22</f>
        <v>1</v>
      </c>
      <c r="M115" s="117"/>
      <c r="N115" s="117"/>
      <c r="O115" s="117"/>
      <c r="P115" s="117"/>
      <c r="Q115" s="880"/>
      <c r="R115" s="117"/>
      <c r="S115" s="117"/>
      <c r="T115" s="117"/>
      <c r="U115" s="117"/>
      <c r="V115" s="117"/>
      <c r="W115" s="117"/>
      <c r="X115" s="117"/>
      <c r="Y115" s="117"/>
      <c r="Z115" s="117"/>
      <c r="AA115" s="117"/>
      <c r="AB115" s="117"/>
      <c r="AC115" s="117"/>
      <c r="AD115" s="117"/>
      <c r="AE115" s="117"/>
      <c r="AF115" s="117"/>
      <c r="AG115" s="117"/>
      <c r="AH115" s="117"/>
      <c r="AI115" s="117"/>
    </row>
    <row r="116" spans="1:72" hidden="1" x14ac:dyDescent="0.3">
      <c r="G116" s="117"/>
      <c r="H116" s="117"/>
      <c r="I116" s="117"/>
      <c r="J116" s="117"/>
      <c r="K116" s="117"/>
      <c r="L116" s="111">
        <f>'[2]декабрь 2018'!$M$39</f>
        <v>21072590.979999892</v>
      </c>
      <c r="M116" s="117"/>
      <c r="N116" s="117"/>
      <c r="O116" s="117"/>
      <c r="P116" s="117"/>
      <c r="Q116" s="880"/>
      <c r="R116" s="117"/>
      <c r="S116" s="117"/>
      <c r="T116" s="117"/>
      <c r="U116" s="117"/>
      <c r="V116" s="117"/>
      <c r="W116" s="117"/>
      <c r="X116" s="117"/>
      <c r="Y116" s="117"/>
      <c r="Z116" s="117"/>
      <c r="AA116" s="117"/>
      <c r="AB116" s="117"/>
      <c r="AC116" s="117"/>
      <c r="AD116" s="117"/>
      <c r="AE116" s="117"/>
      <c r="AF116" s="117"/>
      <c r="AG116" s="117"/>
      <c r="AH116" s="117"/>
      <c r="AI116" s="117"/>
    </row>
    <row r="117" spans="1:72" hidden="1" x14ac:dyDescent="0.3">
      <c r="G117" s="117"/>
      <c r="H117" s="117"/>
      <c r="I117" s="117"/>
      <c r="J117" s="117"/>
      <c r="K117" s="117"/>
      <c r="L117" s="111">
        <f>H75-L114</f>
        <v>4526331.4800000079</v>
      </c>
      <c r="M117" s="117"/>
      <c r="N117" s="117"/>
      <c r="O117" s="117"/>
      <c r="P117" s="117"/>
      <c r="Q117" s="880"/>
      <c r="R117" s="117"/>
      <c r="S117" s="117"/>
      <c r="T117" s="117"/>
      <c r="U117" s="117"/>
      <c r="V117" s="117"/>
      <c r="W117" s="117"/>
      <c r="X117" s="117"/>
      <c r="Y117" s="117"/>
      <c r="Z117" s="117"/>
      <c r="AA117" s="117"/>
      <c r="AB117" s="117"/>
      <c r="AC117" s="117"/>
      <c r="AD117" s="117"/>
      <c r="AE117" s="117"/>
      <c r="AF117" s="117"/>
      <c r="AG117" s="117"/>
      <c r="AH117" s="117"/>
      <c r="AI117" s="117"/>
    </row>
    <row r="118" spans="1:72" hidden="1" x14ac:dyDescent="0.3">
      <c r="G118" s="117"/>
      <c r="H118" s="117"/>
      <c r="I118" s="117"/>
      <c r="J118" s="117"/>
      <c r="K118" s="117"/>
      <c r="L118" s="117"/>
      <c r="M118" s="117"/>
      <c r="N118" s="117"/>
      <c r="O118" s="117"/>
      <c r="P118" s="117"/>
      <c r="Q118" s="117"/>
      <c r="R118" s="117"/>
      <c r="S118" s="117"/>
      <c r="T118" s="117"/>
      <c r="U118" s="117"/>
      <c r="V118" s="117"/>
      <c r="W118" s="117"/>
      <c r="X118" s="117"/>
      <c r="Y118" s="117"/>
      <c r="Z118" s="117"/>
      <c r="AA118" s="117"/>
      <c r="AB118" s="117"/>
      <c r="AC118" s="117"/>
      <c r="AD118" s="117"/>
      <c r="AE118" s="117"/>
      <c r="AF118" s="117"/>
      <c r="AG118" s="117"/>
      <c r="AH118" s="117"/>
      <c r="AI118" s="117"/>
    </row>
    <row r="119" spans="1:72" hidden="1" x14ac:dyDescent="0.3">
      <c r="G119" s="117"/>
      <c r="H119" s="117"/>
      <c r="I119" s="117"/>
      <c r="J119" s="117"/>
      <c r="K119" s="117"/>
      <c r="L119" s="117"/>
      <c r="M119" s="117"/>
      <c r="N119" s="117"/>
      <c r="O119" s="117"/>
      <c r="P119" s="117"/>
      <c r="Q119" s="117"/>
      <c r="R119" s="117"/>
      <c r="S119" s="117"/>
      <c r="T119" s="117"/>
      <c r="U119" s="117"/>
      <c r="V119" s="117"/>
      <c r="W119" s="117"/>
      <c r="X119" s="117"/>
      <c r="Y119" s="117"/>
      <c r="Z119" s="117"/>
      <c r="AA119" s="117"/>
      <c r="AB119" s="117"/>
      <c r="AC119" s="117"/>
      <c r="AD119" s="117"/>
      <c r="AE119" s="117"/>
      <c r="AF119" s="117"/>
      <c r="AG119" s="117"/>
      <c r="AH119" s="117"/>
      <c r="AI119" s="117"/>
    </row>
    <row r="120" spans="1:72" hidden="1" x14ac:dyDescent="0.3">
      <c r="G120" s="117"/>
      <c r="H120" s="117"/>
      <c r="I120" s="117"/>
      <c r="J120" s="117"/>
      <c r="K120" s="117"/>
      <c r="L120" s="117"/>
      <c r="M120" s="117"/>
      <c r="N120" s="117"/>
      <c r="O120" s="117"/>
      <c r="P120" s="117"/>
      <c r="Q120" s="117"/>
      <c r="R120" s="117"/>
      <c r="S120" s="117"/>
      <c r="T120" s="117"/>
      <c r="U120" s="117"/>
      <c r="V120" s="117"/>
      <c r="W120" s="117"/>
      <c r="X120" s="117"/>
      <c r="Y120" s="117"/>
      <c r="Z120" s="117"/>
      <c r="AA120" s="117"/>
      <c r="AB120" s="117"/>
      <c r="AC120" s="117"/>
      <c r="AD120" s="117"/>
      <c r="AE120" s="117"/>
      <c r="AF120" s="117"/>
      <c r="AG120" s="117"/>
      <c r="AH120" s="117"/>
      <c r="AI120" s="117"/>
    </row>
    <row r="121" spans="1:72" hidden="1" x14ac:dyDescent="0.3">
      <c r="G121" s="117"/>
      <c r="H121" s="117"/>
      <c r="I121" s="117"/>
      <c r="J121" s="117"/>
      <c r="K121" s="117"/>
      <c r="L121" s="117"/>
      <c r="M121" s="117"/>
      <c r="N121" s="117"/>
      <c r="O121" s="117"/>
      <c r="P121" s="117"/>
      <c r="Q121" s="117"/>
      <c r="R121" s="117"/>
      <c r="S121" s="117"/>
      <c r="T121" s="117"/>
      <c r="U121" s="117"/>
      <c r="V121" s="117"/>
      <c r="W121" s="117"/>
      <c r="X121" s="117"/>
      <c r="Y121" s="117"/>
      <c r="Z121" s="117"/>
      <c r="AA121" s="117"/>
      <c r="AB121" s="117"/>
      <c r="AC121" s="117"/>
      <c r="AD121" s="117"/>
      <c r="AE121" s="117"/>
      <c r="AF121" s="117"/>
      <c r="AG121" s="117"/>
      <c r="AH121" s="117"/>
      <c r="AI121" s="117"/>
    </row>
    <row r="122" spans="1:72" hidden="1" x14ac:dyDescent="0.3">
      <c r="G122" s="117"/>
      <c r="H122" s="117"/>
      <c r="I122" s="117"/>
      <c r="J122" s="117"/>
      <c r="K122" s="117"/>
      <c r="L122" s="117"/>
      <c r="M122" s="117"/>
      <c r="N122" s="117"/>
      <c r="O122" s="117"/>
      <c r="P122" s="117"/>
      <c r="Q122" s="117"/>
      <c r="R122" s="117"/>
      <c r="S122" s="117"/>
      <c r="T122" s="117"/>
      <c r="U122" s="117"/>
      <c r="V122" s="117"/>
      <c r="W122" s="117"/>
      <c r="X122" s="117"/>
      <c r="Y122" s="117"/>
      <c r="Z122" s="117"/>
      <c r="AA122" s="117"/>
      <c r="AB122" s="117"/>
      <c r="AC122" s="117"/>
      <c r="AD122" s="117"/>
      <c r="AE122" s="117"/>
      <c r="AF122" s="117"/>
      <c r="AG122" s="117"/>
      <c r="AH122" s="117"/>
      <c r="AI122" s="117"/>
    </row>
    <row r="124" spans="1:72" s="115" customFormat="1" ht="17.25" customHeight="1" x14ac:dyDescent="0.3">
      <c r="A124" s="435" t="s">
        <v>194</v>
      </c>
      <c r="B124" s="1215">
        <v>500</v>
      </c>
      <c r="C124" s="436" t="s">
        <v>149</v>
      </c>
      <c r="D124" s="430">
        <v>31252430.415000021</v>
      </c>
      <c r="E124" s="59">
        <v>625060898.93500006</v>
      </c>
      <c r="F124" s="410">
        <v>593808468.51999998</v>
      </c>
      <c r="G124" s="157">
        <v>21072590.980000019</v>
      </c>
      <c r="H124" s="157">
        <v>21072590.980000019</v>
      </c>
      <c r="I124" s="669">
        <v>0</v>
      </c>
      <c r="J124" s="882">
        <v>16524140.506574497</v>
      </c>
      <c r="K124" s="157">
        <v>4548450.4600000083</v>
      </c>
      <c r="L124" s="157">
        <v>4548450.4734255075</v>
      </c>
      <c r="M124" s="298">
        <v>1.3425499200820923E-2</v>
      </c>
      <c r="N124" s="157">
        <v>9.9999979138374329E-3</v>
      </c>
      <c r="O124" s="157">
        <v>0</v>
      </c>
      <c r="P124" s="157">
        <v>-9.9999979138374329E-3</v>
      </c>
      <c r="Q124" s="1025">
        <v>593808468.51999998</v>
      </c>
      <c r="R124" s="307">
        <v>593808468.51999998</v>
      </c>
      <c r="S124" s="372">
        <v>0</v>
      </c>
      <c r="T124" s="525">
        <v>593808468.51999998</v>
      </c>
      <c r="U124" s="307">
        <v>0</v>
      </c>
      <c r="V124" s="63">
        <v>1.0000228881835938E-2</v>
      </c>
      <c r="W124" s="357">
        <v>1.0000228881835938E-2</v>
      </c>
      <c r="X124" s="307"/>
      <c r="Y124" s="63"/>
      <c r="Z124" s="357"/>
      <c r="AA124" s="63">
        <v>0</v>
      </c>
      <c r="AB124" s="63">
        <v>0</v>
      </c>
      <c r="AC124" s="63">
        <v>0</v>
      </c>
      <c r="AD124" s="276">
        <v>0</v>
      </c>
      <c r="AE124" s="63">
        <v>0</v>
      </c>
      <c r="AF124" s="357"/>
      <c r="AG124" s="307">
        <v>0</v>
      </c>
      <c r="AH124" s="63">
        <v>0</v>
      </c>
      <c r="AI124" s="357">
        <v>0</v>
      </c>
      <c r="AJ124" s="422">
        <v>0</v>
      </c>
      <c r="AK124" s="395"/>
      <c r="AL124" s="334">
        <v>10179839.442763567</v>
      </c>
      <c r="AM124" s="161">
        <v>10179839.435000062</v>
      </c>
      <c r="AN124" s="1013">
        <v>1.1700034141540527E-2</v>
      </c>
      <c r="AO124" s="334">
        <v>9808185.4527635574</v>
      </c>
      <c r="AP124" s="323">
        <v>9808185.4449999928</v>
      </c>
      <c r="AQ124" s="406">
        <v>-7.7635645866394043E-3</v>
      </c>
      <c r="AR124" s="323">
        <v>371653.99000000209</v>
      </c>
      <c r="AS124" s="323">
        <v>371653.99000000954</v>
      </c>
      <c r="AT124" s="406">
        <v>0</v>
      </c>
      <c r="AU124" s="539">
        <v>0</v>
      </c>
      <c r="AV124" s="323"/>
      <c r="AW124" s="323">
        <v>0</v>
      </c>
      <c r="AX124" s="406">
        <v>0</v>
      </c>
      <c r="BG124" s="619"/>
      <c r="BH124" s="620"/>
      <c r="BI124" s="617">
        <v>1222485.57</v>
      </c>
      <c r="BJ124" s="621">
        <v>-1222485.57</v>
      </c>
      <c r="BM124" s="632">
        <v>10179839.423299968</v>
      </c>
      <c r="BN124" s="632">
        <v>-12791385.120000064</v>
      </c>
      <c r="BO124" s="632"/>
      <c r="BP124" s="632">
        <v>-4989655.8849999905</v>
      </c>
      <c r="BQ124" s="619"/>
      <c r="BR124" s="620"/>
      <c r="BS124" s="617">
        <v>1222485.57</v>
      </c>
      <c r="BT124" s="621">
        <v>-850831.57999999798</v>
      </c>
    </row>
  </sheetData>
  <mergeCells count="53">
    <mergeCell ref="A6:A9"/>
    <mergeCell ref="B6:B9"/>
    <mergeCell ref="C6:C9"/>
    <mergeCell ref="D6:AX6"/>
    <mergeCell ref="D7:D9"/>
    <mergeCell ref="E7:E9"/>
    <mergeCell ref="F7:F9"/>
    <mergeCell ref="G7:AX7"/>
    <mergeCell ref="G8:G9"/>
    <mergeCell ref="H8:H9"/>
    <mergeCell ref="B26:B28"/>
    <mergeCell ref="B29:B32"/>
    <mergeCell ref="AG8:AG9"/>
    <mergeCell ref="AH8:AH9"/>
    <mergeCell ref="AI8:AI9"/>
    <mergeCell ref="AA8:AA9"/>
    <mergeCell ref="AB8:AB9"/>
    <mergeCell ref="AC8:AC9"/>
    <mergeCell ref="AD8:AD9"/>
    <mergeCell ref="AE8:AE9"/>
    <mergeCell ref="AF8:AF9"/>
    <mergeCell ref="U8:U9"/>
    <mergeCell ref="V8:V9"/>
    <mergeCell ref="W8:W9"/>
    <mergeCell ref="X8:X9"/>
    <mergeCell ref="Y8:Y9"/>
    <mergeCell ref="C52:C54"/>
    <mergeCell ref="BG8:BH8"/>
    <mergeCell ref="BI8:BJ8"/>
    <mergeCell ref="BQ8:BR8"/>
    <mergeCell ref="BS8:BT8"/>
    <mergeCell ref="AJ8:AJ9"/>
    <mergeCell ref="AK8:AK9"/>
    <mergeCell ref="AL8:AX8"/>
    <mergeCell ref="Z8:Z9"/>
    <mergeCell ref="I8:I9"/>
    <mergeCell ref="J8:P8"/>
    <mergeCell ref="Q8:Q9"/>
    <mergeCell ref="R8:R9"/>
    <mergeCell ref="S8:S9"/>
    <mergeCell ref="T8:T9"/>
    <mergeCell ref="A31:A32"/>
    <mergeCell ref="B36:B40"/>
    <mergeCell ref="B42:B44"/>
    <mergeCell ref="B45:B46"/>
    <mergeCell ref="A52:A55"/>
    <mergeCell ref="C56:C58"/>
    <mergeCell ref="A60:A61"/>
    <mergeCell ref="A62:A63"/>
    <mergeCell ref="B62:B63"/>
    <mergeCell ref="A65:A66"/>
    <mergeCell ref="B65:B66"/>
    <mergeCell ref="A56:A59"/>
  </mergeCells>
  <pageMargins left="0" right="0" top="0.31496062992125984" bottom="0.15748031496062992" header="0.19685039370078741" footer="0.15748031496062992"/>
  <pageSetup paperSize="8" scale="49" fitToWidth="0" orientation="landscape" r:id="rId1"/>
  <rowBreaks count="1" manualBreakCount="1">
    <brk id="35" max="38" man="1"/>
  </rowBreaks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IV110"/>
  <sheetViews>
    <sheetView view="pageBreakPreview" topLeftCell="A46" zoomScaleSheetLayoutView="100" workbookViewId="0">
      <selection activeCell="A99" sqref="A99:K99"/>
    </sheetView>
  </sheetViews>
  <sheetFormatPr defaultRowHeight="12.75" x14ac:dyDescent="0.2"/>
  <cols>
    <col min="1" max="1" width="6.140625" style="84" customWidth="1"/>
    <col min="2" max="2" width="9.140625" style="84"/>
    <col min="3" max="3" width="12.85546875" style="84" customWidth="1"/>
    <col min="4" max="7" width="9.140625" style="84"/>
    <col min="8" max="8" width="9.7109375" style="84" bestFit="1" customWidth="1"/>
    <col min="9" max="9" width="13.5703125" style="84" customWidth="1"/>
    <col min="10" max="10" width="9.140625" style="85"/>
    <col min="11" max="11" width="9.140625" style="85" customWidth="1"/>
    <col min="12" max="256" width="9.140625" style="85"/>
    <col min="257" max="257" width="6.140625" style="85" customWidth="1"/>
    <col min="258" max="258" width="9.140625" style="85"/>
    <col min="259" max="259" width="12.85546875" style="85" customWidth="1"/>
    <col min="260" max="263" width="9.140625" style="85"/>
    <col min="264" max="264" width="9.7109375" style="85" bestFit="1" customWidth="1"/>
    <col min="265" max="265" width="13.5703125" style="85" customWidth="1"/>
    <col min="266" max="512" width="9.140625" style="85"/>
    <col min="513" max="513" width="6.140625" style="85" customWidth="1"/>
    <col min="514" max="514" width="9.140625" style="85"/>
    <col min="515" max="515" width="12.85546875" style="85" customWidth="1"/>
    <col min="516" max="519" width="9.140625" style="85"/>
    <col min="520" max="520" width="9.7109375" style="85" bestFit="1" customWidth="1"/>
    <col min="521" max="521" width="13.5703125" style="85" customWidth="1"/>
    <col min="522" max="768" width="9.140625" style="85"/>
    <col min="769" max="769" width="6.140625" style="85" customWidth="1"/>
    <col min="770" max="770" width="9.140625" style="85"/>
    <col min="771" max="771" width="12.85546875" style="85" customWidth="1"/>
    <col min="772" max="775" width="9.140625" style="85"/>
    <col min="776" max="776" width="9.7109375" style="85" bestFit="1" customWidth="1"/>
    <col min="777" max="777" width="13.5703125" style="85" customWidth="1"/>
    <col min="778" max="1024" width="9.140625" style="85"/>
    <col min="1025" max="1025" width="6.140625" style="85" customWidth="1"/>
    <col min="1026" max="1026" width="9.140625" style="85"/>
    <col min="1027" max="1027" width="12.85546875" style="85" customWidth="1"/>
    <col min="1028" max="1031" width="9.140625" style="85"/>
    <col min="1032" max="1032" width="9.7109375" style="85" bestFit="1" customWidth="1"/>
    <col min="1033" max="1033" width="13.5703125" style="85" customWidth="1"/>
    <col min="1034" max="1280" width="9.140625" style="85"/>
    <col min="1281" max="1281" width="6.140625" style="85" customWidth="1"/>
    <col min="1282" max="1282" width="9.140625" style="85"/>
    <col min="1283" max="1283" width="12.85546875" style="85" customWidth="1"/>
    <col min="1284" max="1287" width="9.140625" style="85"/>
    <col min="1288" max="1288" width="9.7109375" style="85" bestFit="1" customWidth="1"/>
    <col min="1289" max="1289" width="13.5703125" style="85" customWidth="1"/>
    <col min="1290" max="1536" width="9.140625" style="85"/>
    <col min="1537" max="1537" width="6.140625" style="85" customWidth="1"/>
    <col min="1538" max="1538" width="9.140625" style="85"/>
    <col min="1539" max="1539" width="12.85546875" style="85" customWidth="1"/>
    <col min="1540" max="1543" width="9.140625" style="85"/>
    <col min="1544" max="1544" width="9.7109375" style="85" bestFit="1" customWidth="1"/>
    <col min="1545" max="1545" width="13.5703125" style="85" customWidth="1"/>
    <col min="1546" max="1792" width="9.140625" style="85"/>
    <col min="1793" max="1793" width="6.140625" style="85" customWidth="1"/>
    <col min="1794" max="1794" width="9.140625" style="85"/>
    <col min="1795" max="1795" width="12.85546875" style="85" customWidth="1"/>
    <col min="1796" max="1799" width="9.140625" style="85"/>
    <col min="1800" max="1800" width="9.7109375" style="85" bestFit="1" customWidth="1"/>
    <col min="1801" max="1801" width="13.5703125" style="85" customWidth="1"/>
    <col min="1802" max="2048" width="9.140625" style="85"/>
    <col min="2049" max="2049" width="6.140625" style="85" customWidth="1"/>
    <col min="2050" max="2050" width="9.140625" style="85"/>
    <col min="2051" max="2051" width="12.85546875" style="85" customWidth="1"/>
    <col min="2052" max="2055" width="9.140625" style="85"/>
    <col min="2056" max="2056" width="9.7109375" style="85" bestFit="1" customWidth="1"/>
    <col min="2057" max="2057" width="13.5703125" style="85" customWidth="1"/>
    <col min="2058" max="2304" width="9.140625" style="85"/>
    <col min="2305" max="2305" width="6.140625" style="85" customWidth="1"/>
    <col min="2306" max="2306" width="9.140625" style="85"/>
    <col min="2307" max="2307" width="12.85546875" style="85" customWidth="1"/>
    <col min="2308" max="2311" width="9.140625" style="85"/>
    <col min="2312" max="2312" width="9.7109375" style="85" bestFit="1" customWidth="1"/>
    <col min="2313" max="2313" width="13.5703125" style="85" customWidth="1"/>
    <col min="2314" max="2560" width="9.140625" style="85"/>
    <col min="2561" max="2561" width="6.140625" style="85" customWidth="1"/>
    <col min="2562" max="2562" width="9.140625" style="85"/>
    <col min="2563" max="2563" width="12.85546875" style="85" customWidth="1"/>
    <col min="2564" max="2567" width="9.140625" style="85"/>
    <col min="2568" max="2568" width="9.7109375" style="85" bestFit="1" customWidth="1"/>
    <col min="2569" max="2569" width="13.5703125" style="85" customWidth="1"/>
    <col min="2570" max="2816" width="9.140625" style="85"/>
    <col min="2817" max="2817" width="6.140625" style="85" customWidth="1"/>
    <col min="2818" max="2818" width="9.140625" style="85"/>
    <col min="2819" max="2819" width="12.85546875" style="85" customWidth="1"/>
    <col min="2820" max="2823" width="9.140625" style="85"/>
    <col min="2824" max="2824" width="9.7109375" style="85" bestFit="1" customWidth="1"/>
    <col min="2825" max="2825" width="13.5703125" style="85" customWidth="1"/>
    <col min="2826" max="3072" width="9.140625" style="85"/>
    <col min="3073" max="3073" width="6.140625" style="85" customWidth="1"/>
    <col min="3074" max="3074" width="9.140625" style="85"/>
    <col min="3075" max="3075" width="12.85546875" style="85" customWidth="1"/>
    <col min="3076" max="3079" width="9.140625" style="85"/>
    <col min="3080" max="3080" width="9.7109375" style="85" bestFit="1" customWidth="1"/>
    <col min="3081" max="3081" width="13.5703125" style="85" customWidth="1"/>
    <col min="3082" max="3328" width="9.140625" style="85"/>
    <col min="3329" max="3329" width="6.140625" style="85" customWidth="1"/>
    <col min="3330" max="3330" width="9.140625" style="85"/>
    <col min="3331" max="3331" width="12.85546875" style="85" customWidth="1"/>
    <col min="3332" max="3335" width="9.140625" style="85"/>
    <col min="3336" max="3336" width="9.7109375" style="85" bestFit="1" customWidth="1"/>
    <col min="3337" max="3337" width="13.5703125" style="85" customWidth="1"/>
    <col min="3338" max="3584" width="9.140625" style="85"/>
    <col min="3585" max="3585" width="6.140625" style="85" customWidth="1"/>
    <col min="3586" max="3586" width="9.140625" style="85"/>
    <col min="3587" max="3587" width="12.85546875" style="85" customWidth="1"/>
    <col min="3588" max="3591" width="9.140625" style="85"/>
    <col min="3592" max="3592" width="9.7109375" style="85" bestFit="1" customWidth="1"/>
    <col min="3593" max="3593" width="13.5703125" style="85" customWidth="1"/>
    <col min="3594" max="3840" width="9.140625" style="85"/>
    <col min="3841" max="3841" width="6.140625" style="85" customWidth="1"/>
    <col min="3842" max="3842" width="9.140625" style="85"/>
    <col min="3843" max="3843" width="12.85546875" style="85" customWidth="1"/>
    <col min="3844" max="3847" width="9.140625" style="85"/>
    <col min="3848" max="3848" width="9.7109375" style="85" bestFit="1" customWidth="1"/>
    <col min="3849" max="3849" width="13.5703125" style="85" customWidth="1"/>
    <col min="3850" max="4096" width="9.140625" style="85"/>
    <col min="4097" max="4097" width="6.140625" style="85" customWidth="1"/>
    <col min="4098" max="4098" width="9.140625" style="85"/>
    <col min="4099" max="4099" width="12.85546875" style="85" customWidth="1"/>
    <col min="4100" max="4103" width="9.140625" style="85"/>
    <col min="4104" max="4104" width="9.7109375" style="85" bestFit="1" customWidth="1"/>
    <col min="4105" max="4105" width="13.5703125" style="85" customWidth="1"/>
    <col min="4106" max="4352" width="9.140625" style="85"/>
    <col min="4353" max="4353" width="6.140625" style="85" customWidth="1"/>
    <col min="4354" max="4354" width="9.140625" style="85"/>
    <col min="4355" max="4355" width="12.85546875" style="85" customWidth="1"/>
    <col min="4356" max="4359" width="9.140625" style="85"/>
    <col min="4360" max="4360" width="9.7109375" style="85" bestFit="1" customWidth="1"/>
    <col min="4361" max="4361" width="13.5703125" style="85" customWidth="1"/>
    <col min="4362" max="4608" width="9.140625" style="85"/>
    <col min="4609" max="4609" width="6.140625" style="85" customWidth="1"/>
    <col min="4610" max="4610" width="9.140625" style="85"/>
    <col min="4611" max="4611" width="12.85546875" style="85" customWidth="1"/>
    <col min="4612" max="4615" width="9.140625" style="85"/>
    <col min="4616" max="4616" width="9.7109375" style="85" bestFit="1" customWidth="1"/>
    <col min="4617" max="4617" width="13.5703125" style="85" customWidth="1"/>
    <col min="4618" max="4864" width="9.140625" style="85"/>
    <col min="4865" max="4865" width="6.140625" style="85" customWidth="1"/>
    <col min="4866" max="4866" width="9.140625" style="85"/>
    <col min="4867" max="4867" width="12.85546875" style="85" customWidth="1"/>
    <col min="4868" max="4871" width="9.140625" style="85"/>
    <col min="4872" max="4872" width="9.7109375" style="85" bestFit="1" customWidth="1"/>
    <col min="4873" max="4873" width="13.5703125" style="85" customWidth="1"/>
    <col min="4874" max="5120" width="9.140625" style="85"/>
    <col min="5121" max="5121" width="6.140625" style="85" customWidth="1"/>
    <col min="5122" max="5122" width="9.140625" style="85"/>
    <col min="5123" max="5123" width="12.85546875" style="85" customWidth="1"/>
    <col min="5124" max="5127" width="9.140625" style="85"/>
    <col min="5128" max="5128" width="9.7109375" style="85" bestFit="1" customWidth="1"/>
    <col min="5129" max="5129" width="13.5703125" style="85" customWidth="1"/>
    <col min="5130" max="5376" width="9.140625" style="85"/>
    <col min="5377" max="5377" width="6.140625" style="85" customWidth="1"/>
    <col min="5378" max="5378" width="9.140625" style="85"/>
    <col min="5379" max="5379" width="12.85546875" style="85" customWidth="1"/>
    <col min="5380" max="5383" width="9.140625" style="85"/>
    <col min="5384" max="5384" width="9.7109375" style="85" bestFit="1" customWidth="1"/>
    <col min="5385" max="5385" width="13.5703125" style="85" customWidth="1"/>
    <col min="5386" max="5632" width="9.140625" style="85"/>
    <col min="5633" max="5633" width="6.140625" style="85" customWidth="1"/>
    <col min="5634" max="5634" width="9.140625" style="85"/>
    <col min="5635" max="5635" width="12.85546875" style="85" customWidth="1"/>
    <col min="5636" max="5639" width="9.140625" style="85"/>
    <col min="5640" max="5640" width="9.7109375" style="85" bestFit="1" customWidth="1"/>
    <col min="5641" max="5641" width="13.5703125" style="85" customWidth="1"/>
    <col min="5642" max="5888" width="9.140625" style="85"/>
    <col min="5889" max="5889" width="6.140625" style="85" customWidth="1"/>
    <col min="5890" max="5890" width="9.140625" style="85"/>
    <col min="5891" max="5891" width="12.85546875" style="85" customWidth="1"/>
    <col min="5892" max="5895" width="9.140625" style="85"/>
    <col min="5896" max="5896" width="9.7109375" style="85" bestFit="1" customWidth="1"/>
    <col min="5897" max="5897" width="13.5703125" style="85" customWidth="1"/>
    <col min="5898" max="6144" width="9.140625" style="85"/>
    <col min="6145" max="6145" width="6.140625" style="85" customWidth="1"/>
    <col min="6146" max="6146" width="9.140625" style="85"/>
    <col min="6147" max="6147" width="12.85546875" style="85" customWidth="1"/>
    <col min="6148" max="6151" width="9.140625" style="85"/>
    <col min="6152" max="6152" width="9.7109375" style="85" bestFit="1" customWidth="1"/>
    <col min="6153" max="6153" width="13.5703125" style="85" customWidth="1"/>
    <col min="6154" max="6400" width="9.140625" style="85"/>
    <col min="6401" max="6401" width="6.140625" style="85" customWidth="1"/>
    <col min="6402" max="6402" width="9.140625" style="85"/>
    <col min="6403" max="6403" width="12.85546875" style="85" customWidth="1"/>
    <col min="6404" max="6407" width="9.140625" style="85"/>
    <col min="6408" max="6408" width="9.7109375" style="85" bestFit="1" customWidth="1"/>
    <col min="6409" max="6409" width="13.5703125" style="85" customWidth="1"/>
    <col min="6410" max="6656" width="9.140625" style="85"/>
    <col min="6657" max="6657" width="6.140625" style="85" customWidth="1"/>
    <col min="6658" max="6658" width="9.140625" style="85"/>
    <col min="6659" max="6659" width="12.85546875" style="85" customWidth="1"/>
    <col min="6660" max="6663" width="9.140625" style="85"/>
    <col min="6664" max="6664" width="9.7109375" style="85" bestFit="1" customWidth="1"/>
    <col min="6665" max="6665" width="13.5703125" style="85" customWidth="1"/>
    <col min="6666" max="6912" width="9.140625" style="85"/>
    <col min="6913" max="6913" width="6.140625" style="85" customWidth="1"/>
    <col min="6914" max="6914" width="9.140625" style="85"/>
    <col min="6915" max="6915" width="12.85546875" style="85" customWidth="1"/>
    <col min="6916" max="6919" width="9.140625" style="85"/>
    <col min="6920" max="6920" width="9.7109375" style="85" bestFit="1" customWidth="1"/>
    <col min="6921" max="6921" width="13.5703125" style="85" customWidth="1"/>
    <col min="6922" max="7168" width="9.140625" style="85"/>
    <col min="7169" max="7169" width="6.140625" style="85" customWidth="1"/>
    <col min="7170" max="7170" width="9.140625" style="85"/>
    <col min="7171" max="7171" width="12.85546875" style="85" customWidth="1"/>
    <col min="7172" max="7175" width="9.140625" style="85"/>
    <col min="7176" max="7176" width="9.7109375" style="85" bestFit="1" customWidth="1"/>
    <col min="7177" max="7177" width="13.5703125" style="85" customWidth="1"/>
    <col min="7178" max="7424" width="9.140625" style="85"/>
    <col min="7425" max="7425" width="6.140625" style="85" customWidth="1"/>
    <col min="7426" max="7426" width="9.140625" style="85"/>
    <col min="7427" max="7427" width="12.85546875" style="85" customWidth="1"/>
    <col min="7428" max="7431" width="9.140625" style="85"/>
    <col min="7432" max="7432" width="9.7109375" style="85" bestFit="1" customWidth="1"/>
    <col min="7433" max="7433" width="13.5703125" style="85" customWidth="1"/>
    <col min="7434" max="7680" width="9.140625" style="85"/>
    <col min="7681" max="7681" width="6.140625" style="85" customWidth="1"/>
    <col min="7682" max="7682" width="9.140625" style="85"/>
    <col min="7683" max="7683" width="12.85546875" style="85" customWidth="1"/>
    <col min="7684" max="7687" width="9.140625" style="85"/>
    <col min="7688" max="7688" width="9.7109375" style="85" bestFit="1" customWidth="1"/>
    <col min="7689" max="7689" width="13.5703125" style="85" customWidth="1"/>
    <col min="7690" max="7936" width="9.140625" style="85"/>
    <col min="7937" max="7937" width="6.140625" style="85" customWidth="1"/>
    <col min="7938" max="7938" width="9.140625" style="85"/>
    <col min="7939" max="7939" width="12.85546875" style="85" customWidth="1"/>
    <col min="7940" max="7943" width="9.140625" style="85"/>
    <col min="7944" max="7944" width="9.7109375" style="85" bestFit="1" customWidth="1"/>
    <col min="7945" max="7945" width="13.5703125" style="85" customWidth="1"/>
    <col min="7946" max="8192" width="9.140625" style="85"/>
    <col min="8193" max="8193" width="6.140625" style="85" customWidth="1"/>
    <col min="8194" max="8194" width="9.140625" style="85"/>
    <col min="8195" max="8195" width="12.85546875" style="85" customWidth="1"/>
    <col min="8196" max="8199" width="9.140625" style="85"/>
    <col min="8200" max="8200" width="9.7109375" style="85" bestFit="1" customWidth="1"/>
    <col min="8201" max="8201" width="13.5703125" style="85" customWidth="1"/>
    <col min="8202" max="8448" width="9.140625" style="85"/>
    <col min="8449" max="8449" width="6.140625" style="85" customWidth="1"/>
    <col min="8450" max="8450" width="9.140625" style="85"/>
    <col min="8451" max="8451" width="12.85546875" style="85" customWidth="1"/>
    <col min="8452" max="8455" width="9.140625" style="85"/>
    <col min="8456" max="8456" width="9.7109375" style="85" bestFit="1" customWidth="1"/>
    <col min="8457" max="8457" width="13.5703125" style="85" customWidth="1"/>
    <col min="8458" max="8704" width="9.140625" style="85"/>
    <col min="8705" max="8705" width="6.140625" style="85" customWidth="1"/>
    <col min="8706" max="8706" width="9.140625" style="85"/>
    <col min="8707" max="8707" width="12.85546875" style="85" customWidth="1"/>
    <col min="8708" max="8711" width="9.140625" style="85"/>
    <col min="8712" max="8712" width="9.7109375" style="85" bestFit="1" customWidth="1"/>
    <col min="8713" max="8713" width="13.5703125" style="85" customWidth="1"/>
    <col min="8714" max="8960" width="9.140625" style="85"/>
    <col min="8961" max="8961" width="6.140625" style="85" customWidth="1"/>
    <col min="8962" max="8962" width="9.140625" style="85"/>
    <col min="8963" max="8963" width="12.85546875" style="85" customWidth="1"/>
    <col min="8964" max="8967" width="9.140625" style="85"/>
    <col min="8968" max="8968" width="9.7109375" style="85" bestFit="1" customWidth="1"/>
    <col min="8969" max="8969" width="13.5703125" style="85" customWidth="1"/>
    <col min="8970" max="9216" width="9.140625" style="85"/>
    <col min="9217" max="9217" width="6.140625" style="85" customWidth="1"/>
    <col min="9218" max="9218" width="9.140625" style="85"/>
    <col min="9219" max="9219" width="12.85546875" style="85" customWidth="1"/>
    <col min="9220" max="9223" width="9.140625" style="85"/>
    <col min="9224" max="9224" width="9.7109375" style="85" bestFit="1" customWidth="1"/>
    <col min="9225" max="9225" width="13.5703125" style="85" customWidth="1"/>
    <col min="9226" max="9472" width="9.140625" style="85"/>
    <col min="9473" max="9473" width="6.140625" style="85" customWidth="1"/>
    <col min="9474" max="9474" width="9.140625" style="85"/>
    <col min="9475" max="9475" width="12.85546875" style="85" customWidth="1"/>
    <col min="9476" max="9479" width="9.140625" style="85"/>
    <col min="9480" max="9480" width="9.7109375" style="85" bestFit="1" customWidth="1"/>
    <col min="9481" max="9481" width="13.5703125" style="85" customWidth="1"/>
    <col min="9482" max="9728" width="9.140625" style="85"/>
    <col min="9729" max="9729" width="6.140625" style="85" customWidth="1"/>
    <col min="9730" max="9730" width="9.140625" style="85"/>
    <col min="9731" max="9731" width="12.85546875" style="85" customWidth="1"/>
    <col min="9732" max="9735" width="9.140625" style="85"/>
    <col min="9736" max="9736" width="9.7109375" style="85" bestFit="1" customWidth="1"/>
    <col min="9737" max="9737" width="13.5703125" style="85" customWidth="1"/>
    <col min="9738" max="9984" width="9.140625" style="85"/>
    <col min="9985" max="9985" width="6.140625" style="85" customWidth="1"/>
    <col min="9986" max="9986" width="9.140625" style="85"/>
    <col min="9987" max="9987" width="12.85546875" style="85" customWidth="1"/>
    <col min="9988" max="9991" width="9.140625" style="85"/>
    <col min="9992" max="9992" width="9.7109375" style="85" bestFit="1" customWidth="1"/>
    <col min="9993" max="9993" width="13.5703125" style="85" customWidth="1"/>
    <col min="9994" max="10240" width="9.140625" style="85"/>
    <col min="10241" max="10241" width="6.140625" style="85" customWidth="1"/>
    <col min="10242" max="10242" width="9.140625" style="85"/>
    <col min="10243" max="10243" width="12.85546875" style="85" customWidth="1"/>
    <col min="10244" max="10247" width="9.140625" style="85"/>
    <col min="10248" max="10248" width="9.7109375" style="85" bestFit="1" customWidth="1"/>
    <col min="10249" max="10249" width="13.5703125" style="85" customWidth="1"/>
    <col min="10250" max="10496" width="9.140625" style="85"/>
    <col min="10497" max="10497" width="6.140625" style="85" customWidth="1"/>
    <col min="10498" max="10498" width="9.140625" style="85"/>
    <col min="10499" max="10499" width="12.85546875" style="85" customWidth="1"/>
    <col min="10500" max="10503" width="9.140625" style="85"/>
    <col min="10504" max="10504" width="9.7109375" style="85" bestFit="1" customWidth="1"/>
    <col min="10505" max="10505" width="13.5703125" style="85" customWidth="1"/>
    <col min="10506" max="10752" width="9.140625" style="85"/>
    <col min="10753" max="10753" width="6.140625" style="85" customWidth="1"/>
    <col min="10754" max="10754" width="9.140625" style="85"/>
    <col min="10755" max="10755" width="12.85546875" style="85" customWidth="1"/>
    <col min="10756" max="10759" width="9.140625" style="85"/>
    <col min="10760" max="10760" width="9.7109375" style="85" bestFit="1" customWidth="1"/>
    <col min="10761" max="10761" width="13.5703125" style="85" customWidth="1"/>
    <col min="10762" max="11008" width="9.140625" style="85"/>
    <col min="11009" max="11009" width="6.140625" style="85" customWidth="1"/>
    <col min="11010" max="11010" width="9.140625" style="85"/>
    <col min="11011" max="11011" width="12.85546875" style="85" customWidth="1"/>
    <col min="11012" max="11015" width="9.140625" style="85"/>
    <col min="11016" max="11016" width="9.7109375" style="85" bestFit="1" customWidth="1"/>
    <col min="11017" max="11017" width="13.5703125" style="85" customWidth="1"/>
    <col min="11018" max="11264" width="9.140625" style="85"/>
    <col min="11265" max="11265" width="6.140625" style="85" customWidth="1"/>
    <col min="11266" max="11266" width="9.140625" style="85"/>
    <col min="11267" max="11267" width="12.85546875" style="85" customWidth="1"/>
    <col min="11268" max="11271" width="9.140625" style="85"/>
    <col min="11272" max="11272" width="9.7109375" style="85" bestFit="1" customWidth="1"/>
    <col min="11273" max="11273" width="13.5703125" style="85" customWidth="1"/>
    <col min="11274" max="11520" width="9.140625" style="85"/>
    <col min="11521" max="11521" width="6.140625" style="85" customWidth="1"/>
    <col min="11522" max="11522" width="9.140625" style="85"/>
    <col min="11523" max="11523" width="12.85546875" style="85" customWidth="1"/>
    <col min="11524" max="11527" width="9.140625" style="85"/>
    <col min="11528" max="11528" width="9.7109375" style="85" bestFit="1" customWidth="1"/>
    <col min="11529" max="11529" width="13.5703125" style="85" customWidth="1"/>
    <col min="11530" max="11776" width="9.140625" style="85"/>
    <col min="11777" max="11777" width="6.140625" style="85" customWidth="1"/>
    <col min="11778" max="11778" width="9.140625" style="85"/>
    <col min="11779" max="11779" width="12.85546875" style="85" customWidth="1"/>
    <col min="11780" max="11783" width="9.140625" style="85"/>
    <col min="11784" max="11784" width="9.7109375" style="85" bestFit="1" customWidth="1"/>
    <col min="11785" max="11785" width="13.5703125" style="85" customWidth="1"/>
    <col min="11786" max="12032" width="9.140625" style="85"/>
    <col min="12033" max="12033" width="6.140625" style="85" customWidth="1"/>
    <col min="12034" max="12034" width="9.140625" style="85"/>
    <col min="12035" max="12035" width="12.85546875" style="85" customWidth="1"/>
    <col min="12036" max="12039" width="9.140625" style="85"/>
    <col min="12040" max="12040" width="9.7109375" style="85" bestFit="1" customWidth="1"/>
    <col min="12041" max="12041" width="13.5703125" style="85" customWidth="1"/>
    <col min="12042" max="12288" width="9.140625" style="85"/>
    <col min="12289" max="12289" width="6.140625" style="85" customWidth="1"/>
    <col min="12290" max="12290" width="9.140625" style="85"/>
    <col min="12291" max="12291" width="12.85546875" style="85" customWidth="1"/>
    <col min="12292" max="12295" width="9.140625" style="85"/>
    <col min="12296" max="12296" width="9.7109375" style="85" bestFit="1" customWidth="1"/>
    <col min="12297" max="12297" width="13.5703125" style="85" customWidth="1"/>
    <col min="12298" max="12544" width="9.140625" style="85"/>
    <col min="12545" max="12545" width="6.140625" style="85" customWidth="1"/>
    <col min="12546" max="12546" width="9.140625" style="85"/>
    <col min="12547" max="12547" width="12.85546875" style="85" customWidth="1"/>
    <col min="12548" max="12551" width="9.140625" style="85"/>
    <col min="12552" max="12552" width="9.7109375" style="85" bestFit="1" customWidth="1"/>
    <col min="12553" max="12553" width="13.5703125" style="85" customWidth="1"/>
    <col min="12554" max="12800" width="9.140625" style="85"/>
    <col min="12801" max="12801" width="6.140625" style="85" customWidth="1"/>
    <col min="12802" max="12802" width="9.140625" style="85"/>
    <col min="12803" max="12803" width="12.85546875" style="85" customWidth="1"/>
    <col min="12804" max="12807" width="9.140625" style="85"/>
    <col min="12808" max="12808" width="9.7109375" style="85" bestFit="1" customWidth="1"/>
    <col min="12809" max="12809" width="13.5703125" style="85" customWidth="1"/>
    <col min="12810" max="13056" width="9.140625" style="85"/>
    <col min="13057" max="13057" width="6.140625" style="85" customWidth="1"/>
    <col min="13058" max="13058" width="9.140625" style="85"/>
    <col min="13059" max="13059" width="12.85546875" style="85" customWidth="1"/>
    <col min="13060" max="13063" width="9.140625" style="85"/>
    <col min="13064" max="13064" width="9.7109375" style="85" bestFit="1" customWidth="1"/>
    <col min="13065" max="13065" width="13.5703125" style="85" customWidth="1"/>
    <col min="13066" max="13312" width="9.140625" style="85"/>
    <col min="13313" max="13313" width="6.140625" style="85" customWidth="1"/>
    <col min="13314" max="13314" width="9.140625" style="85"/>
    <col min="13315" max="13315" width="12.85546875" style="85" customWidth="1"/>
    <col min="13316" max="13319" width="9.140625" style="85"/>
    <col min="13320" max="13320" width="9.7109375" style="85" bestFit="1" customWidth="1"/>
    <col min="13321" max="13321" width="13.5703125" style="85" customWidth="1"/>
    <col min="13322" max="13568" width="9.140625" style="85"/>
    <col min="13569" max="13569" width="6.140625" style="85" customWidth="1"/>
    <col min="13570" max="13570" width="9.140625" style="85"/>
    <col min="13571" max="13571" width="12.85546875" style="85" customWidth="1"/>
    <col min="13572" max="13575" width="9.140625" style="85"/>
    <col min="13576" max="13576" width="9.7109375" style="85" bestFit="1" customWidth="1"/>
    <col min="13577" max="13577" width="13.5703125" style="85" customWidth="1"/>
    <col min="13578" max="13824" width="9.140625" style="85"/>
    <col min="13825" max="13825" width="6.140625" style="85" customWidth="1"/>
    <col min="13826" max="13826" width="9.140625" style="85"/>
    <col min="13827" max="13827" width="12.85546875" style="85" customWidth="1"/>
    <col min="13828" max="13831" width="9.140625" style="85"/>
    <col min="13832" max="13832" width="9.7109375" style="85" bestFit="1" customWidth="1"/>
    <col min="13833" max="13833" width="13.5703125" style="85" customWidth="1"/>
    <col min="13834" max="14080" width="9.140625" style="85"/>
    <col min="14081" max="14081" width="6.140625" style="85" customWidth="1"/>
    <col min="14082" max="14082" width="9.140625" style="85"/>
    <col min="14083" max="14083" width="12.85546875" style="85" customWidth="1"/>
    <col min="14084" max="14087" width="9.140625" style="85"/>
    <col min="14088" max="14088" width="9.7109375" style="85" bestFit="1" customWidth="1"/>
    <col min="14089" max="14089" width="13.5703125" style="85" customWidth="1"/>
    <col min="14090" max="14336" width="9.140625" style="85"/>
    <col min="14337" max="14337" width="6.140625" style="85" customWidth="1"/>
    <col min="14338" max="14338" width="9.140625" style="85"/>
    <col min="14339" max="14339" width="12.85546875" style="85" customWidth="1"/>
    <col min="14340" max="14343" width="9.140625" style="85"/>
    <col min="14344" max="14344" width="9.7109375" style="85" bestFit="1" customWidth="1"/>
    <col min="14345" max="14345" width="13.5703125" style="85" customWidth="1"/>
    <col min="14346" max="14592" width="9.140625" style="85"/>
    <col min="14593" max="14593" width="6.140625" style="85" customWidth="1"/>
    <col min="14594" max="14594" width="9.140625" style="85"/>
    <col min="14595" max="14595" width="12.85546875" style="85" customWidth="1"/>
    <col min="14596" max="14599" width="9.140625" style="85"/>
    <col min="14600" max="14600" width="9.7109375" style="85" bestFit="1" customWidth="1"/>
    <col min="14601" max="14601" width="13.5703125" style="85" customWidth="1"/>
    <col min="14602" max="14848" width="9.140625" style="85"/>
    <col min="14849" max="14849" width="6.140625" style="85" customWidth="1"/>
    <col min="14850" max="14850" width="9.140625" style="85"/>
    <col min="14851" max="14851" width="12.85546875" style="85" customWidth="1"/>
    <col min="14852" max="14855" width="9.140625" style="85"/>
    <col min="14856" max="14856" width="9.7109375" style="85" bestFit="1" customWidth="1"/>
    <col min="14857" max="14857" width="13.5703125" style="85" customWidth="1"/>
    <col min="14858" max="15104" width="9.140625" style="85"/>
    <col min="15105" max="15105" width="6.140625" style="85" customWidth="1"/>
    <col min="15106" max="15106" width="9.140625" style="85"/>
    <col min="15107" max="15107" width="12.85546875" style="85" customWidth="1"/>
    <col min="15108" max="15111" width="9.140625" style="85"/>
    <col min="15112" max="15112" width="9.7109375" style="85" bestFit="1" customWidth="1"/>
    <col min="15113" max="15113" width="13.5703125" style="85" customWidth="1"/>
    <col min="15114" max="15360" width="9.140625" style="85"/>
    <col min="15361" max="15361" width="6.140625" style="85" customWidth="1"/>
    <col min="15362" max="15362" width="9.140625" style="85"/>
    <col min="15363" max="15363" width="12.85546875" style="85" customWidth="1"/>
    <col min="15364" max="15367" width="9.140625" style="85"/>
    <col min="15368" max="15368" width="9.7109375" style="85" bestFit="1" customWidth="1"/>
    <col min="15369" max="15369" width="13.5703125" style="85" customWidth="1"/>
    <col min="15370" max="15616" width="9.140625" style="85"/>
    <col min="15617" max="15617" width="6.140625" style="85" customWidth="1"/>
    <col min="15618" max="15618" width="9.140625" style="85"/>
    <col min="15619" max="15619" width="12.85546875" style="85" customWidth="1"/>
    <col min="15620" max="15623" width="9.140625" style="85"/>
    <col min="15624" max="15624" width="9.7109375" style="85" bestFit="1" customWidth="1"/>
    <col min="15625" max="15625" width="13.5703125" style="85" customWidth="1"/>
    <col min="15626" max="15872" width="9.140625" style="85"/>
    <col min="15873" max="15873" width="6.140625" style="85" customWidth="1"/>
    <col min="15874" max="15874" width="9.140625" style="85"/>
    <col min="15875" max="15875" width="12.85546875" style="85" customWidth="1"/>
    <col min="15876" max="15879" width="9.140625" style="85"/>
    <col min="15880" max="15880" width="9.7109375" style="85" bestFit="1" customWidth="1"/>
    <col min="15881" max="15881" width="13.5703125" style="85" customWidth="1"/>
    <col min="15882" max="16128" width="9.140625" style="85"/>
    <col min="16129" max="16129" width="6.140625" style="85" customWidth="1"/>
    <col min="16130" max="16130" width="9.140625" style="85"/>
    <col min="16131" max="16131" width="12.85546875" style="85" customWidth="1"/>
    <col min="16132" max="16135" width="9.140625" style="85"/>
    <col min="16136" max="16136" width="9.7109375" style="85" bestFit="1" customWidth="1"/>
    <col min="16137" max="16137" width="13.5703125" style="85" customWidth="1"/>
    <col min="16138" max="16384" width="9.140625" style="85"/>
  </cols>
  <sheetData>
    <row r="1" spans="1:11" hidden="1" x14ac:dyDescent="0.2"/>
    <row r="2" spans="1:11" hidden="1" x14ac:dyDescent="0.2"/>
    <row r="3" spans="1:11" ht="15" hidden="1" x14ac:dyDescent="0.25">
      <c r="A3" s="86"/>
      <c r="B3" s="86"/>
      <c r="C3" s="86"/>
      <c r="D3" s="86"/>
      <c r="G3" s="1328" t="s">
        <v>0</v>
      </c>
      <c r="H3" s="1328"/>
      <c r="I3" s="1328"/>
      <c r="J3" s="1328"/>
      <c r="K3" s="1328"/>
    </row>
    <row r="4" spans="1:11" ht="15" hidden="1" x14ac:dyDescent="0.25">
      <c r="A4" s="87"/>
      <c r="B4" s="87"/>
      <c r="C4" s="87"/>
      <c r="D4" s="87"/>
      <c r="G4" s="87"/>
      <c r="H4" s="87"/>
      <c r="I4" s="87"/>
      <c r="J4" s="87"/>
      <c r="K4" s="87"/>
    </row>
    <row r="5" spans="1:11" ht="15" hidden="1" x14ac:dyDescent="0.25">
      <c r="A5" s="87"/>
      <c r="B5" s="87"/>
      <c r="C5" s="87"/>
      <c r="G5" s="1329" t="s">
        <v>1</v>
      </c>
      <c r="H5" s="1329"/>
      <c r="I5" s="1329"/>
      <c r="J5" s="1329"/>
      <c r="K5" s="1329"/>
    </row>
    <row r="6" spans="1:11" ht="15" hidden="1" x14ac:dyDescent="0.25">
      <c r="A6" s="87"/>
      <c r="B6" s="87"/>
      <c r="C6" s="87"/>
      <c r="D6" s="88"/>
      <c r="G6" s="1329" t="s">
        <v>2</v>
      </c>
      <c r="H6" s="1329"/>
      <c r="I6" s="1329"/>
      <c r="J6" s="1329"/>
      <c r="K6" s="1329"/>
    </row>
    <row r="7" spans="1:11" ht="15" hidden="1" x14ac:dyDescent="0.25">
      <c r="A7" s="87"/>
      <c r="B7" s="87"/>
      <c r="C7" s="87"/>
      <c r="D7" s="89"/>
      <c r="G7" s="90"/>
      <c r="H7" s="90"/>
      <c r="I7" s="90"/>
      <c r="J7" s="90"/>
      <c r="K7" s="90"/>
    </row>
    <row r="8" spans="1:11" ht="18.75" hidden="1" x14ac:dyDescent="0.25">
      <c r="A8" s="91"/>
      <c r="B8" s="86"/>
      <c r="C8" s="86"/>
      <c r="D8" s="86"/>
      <c r="G8" s="1330" t="s">
        <v>3</v>
      </c>
      <c r="H8" s="1330"/>
      <c r="I8" s="1330"/>
      <c r="J8" s="1330"/>
      <c r="K8" s="1330"/>
    </row>
    <row r="9" spans="1:11" ht="1.5" hidden="1" customHeight="1" x14ac:dyDescent="0.25">
      <c r="A9" s="91"/>
      <c r="B9" s="86"/>
      <c r="C9" s="86"/>
      <c r="D9" s="86"/>
      <c r="G9" s="92"/>
      <c r="H9" s="93"/>
      <c r="I9" s="93"/>
      <c r="J9" s="93"/>
      <c r="K9" s="93"/>
    </row>
    <row r="10" spans="1:11" ht="15" hidden="1" x14ac:dyDescent="0.25">
      <c r="A10" s="87"/>
      <c r="B10" s="87"/>
      <c r="C10" s="87"/>
      <c r="D10" s="87"/>
      <c r="G10" s="94"/>
      <c r="H10" s="94"/>
      <c r="I10" s="95" t="s">
        <v>4</v>
      </c>
      <c r="J10" s="96"/>
      <c r="K10" s="96"/>
    </row>
    <row r="11" spans="1:11" ht="18" hidden="1" x14ac:dyDescent="0.25">
      <c r="A11" s="91"/>
      <c r="B11" s="86"/>
      <c r="C11" s="86"/>
      <c r="D11" s="86"/>
      <c r="G11" s="92" t="s">
        <v>27</v>
      </c>
      <c r="H11" s="92"/>
      <c r="I11" s="92"/>
      <c r="J11" s="92"/>
      <c r="K11" s="92"/>
    </row>
    <row r="12" spans="1:11" ht="15" hidden="1" x14ac:dyDescent="0.25">
      <c r="A12" s="87"/>
      <c r="B12" s="87"/>
      <c r="C12" s="87"/>
      <c r="D12" s="87"/>
      <c r="G12" s="87"/>
      <c r="H12" s="87"/>
      <c r="I12" s="87"/>
      <c r="J12" s="87"/>
      <c r="K12" s="87"/>
    </row>
    <row r="13" spans="1:11" ht="15" hidden="1" x14ac:dyDescent="0.25">
      <c r="A13" s="86"/>
      <c r="B13" s="86"/>
      <c r="C13" s="86"/>
      <c r="D13" s="86"/>
      <c r="G13" s="89" t="s">
        <v>28</v>
      </c>
      <c r="H13" s="89" t="s">
        <v>29</v>
      </c>
      <c r="I13" s="97"/>
      <c r="J13" s="97"/>
      <c r="K13" s="89"/>
    </row>
    <row r="14" spans="1:11" ht="15" hidden="1" x14ac:dyDescent="0.25">
      <c r="A14" s="87"/>
      <c r="B14" s="87"/>
      <c r="C14" s="87"/>
      <c r="D14" s="87"/>
      <c r="E14" s="87"/>
      <c r="F14" s="87"/>
      <c r="G14" s="87"/>
      <c r="H14" s="87"/>
      <c r="I14" s="87"/>
    </row>
    <row r="15" spans="1:11" ht="15" hidden="1" x14ac:dyDescent="0.25">
      <c r="A15" s="87"/>
      <c r="B15" s="87"/>
      <c r="C15" s="87"/>
      <c r="D15" s="87"/>
      <c r="E15" s="87"/>
      <c r="F15" s="87"/>
      <c r="G15" s="87"/>
      <c r="H15" s="87"/>
      <c r="I15" s="87"/>
    </row>
    <row r="16" spans="1:11" ht="15" hidden="1" x14ac:dyDescent="0.25">
      <c r="A16" s="87"/>
      <c r="B16" s="87"/>
      <c r="C16" s="87"/>
      <c r="D16" s="87"/>
      <c r="E16" s="87"/>
      <c r="F16" s="87"/>
      <c r="G16" s="87"/>
      <c r="H16" s="87"/>
      <c r="I16" s="87"/>
    </row>
    <row r="17" spans="1:9" ht="15" hidden="1" x14ac:dyDescent="0.25">
      <c r="A17" s="87"/>
      <c r="B17" s="87"/>
      <c r="C17" s="87"/>
      <c r="D17" s="87"/>
      <c r="E17" s="87"/>
      <c r="F17" s="87"/>
      <c r="G17" s="87"/>
      <c r="H17" s="87"/>
      <c r="I17" s="87"/>
    </row>
    <row r="18" spans="1:9" ht="18.75" hidden="1" x14ac:dyDescent="0.3">
      <c r="A18" s="1331" t="s">
        <v>30</v>
      </c>
      <c r="B18" s="1332"/>
      <c r="C18" s="1332"/>
      <c r="D18" s="1332"/>
      <c r="E18" s="1332"/>
      <c r="F18" s="1332"/>
      <c r="G18" s="1332"/>
      <c r="H18" s="1332"/>
      <c r="I18" s="1332"/>
    </row>
    <row r="19" spans="1:9" ht="18.75" hidden="1" x14ac:dyDescent="0.3">
      <c r="A19" s="1331" t="s">
        <v>31</v>
      </c>
      <c r="B19" s="1332"/>
      <c r="C19" s="1332"/>
      <c r="D19" s="1332"/>
      <c r="E19" s="1332"/>
      <c r="F19" s="1332"/>
      <c r="G19" s="1332"/>
      <c r="H19" s="1332"/>
      <c r="I19" s="1332"/>
    </row>
    <row r="20" spans="1:9" ht="15" hidden="1" x14ac:dyDescent="0.25">
      <c r="A20" s="98"/>
      <c r="B20" s="86"/>
      <c r="C20" s="86"/>
      <c r="D20" s="86"/>
      <c r="E20" s="86"/>
      <c r="F20" s="86"/>
      <c r="G20" s="86"/>
      <c r="H20" s="86"/>
      <c r="I20" s="86"/>
    </row>
    <row r="21" spans="1:9" ht="15" hidden="1" x14ac:dyDescent="0.25">
      <c r="A21" s="87"/>
      <c r="B21" s="87"/>
      <c r="C21" s="87"/>
      <c r="D21" s="87"/>
      <c r="E21" s="87"/>
      <c r="F21" s="87"/>
      <c r="G21" s="87"/>
      <c r="H21" s="87"/>
      <c r="I21" s="86" t="s">
        <v>9</v>
      </c>
    </row>
    <row r="22" spans="1:9" ht="15" hidden="1" x14ac:dyDescent="0.25">
      <c r="A22" s="87"/>
      <c r="B22" s="87"/>
      <c r="C22" s="87"/>
      <c r="D22" s="87"/>
      <c r="E22" s="87"/>
      <c r="F22" s="87"/>
      <c r="G22" s="1333" t="s">
        <v>10</v>
      </c>
      <c r="H22" s="1334"/>
      <c r="I22" s="99"/>
    </row>
    <row r="23" spans="1:9" ht="15" hidden="1" x14ac:dyDescent="0.25">
      <c r="C23" s="1335" t="s">
        <v>32</v>
      </c>
      <c r="D23" s="1336"/>
      <c r="E23" s="1336"/>
      <c r="F23" s="1336"/>
      <c r="G23" s="87" t="s">
        <v>12</v>
      </c>
      <c r="H23" s="101"/>
      <c r="I23" s="99"/>
    </row>
    <row r="24" spans="1:9" ht="15" hidden="1" x14ac:dyDescent="0.25">
      <c r="A24" s="87"/>
      <c r="B24" s="87"/>
      <c r="C24" s="87"/>
      <c r="D24" s="87"/>
      <c r="E24" s="87"/>
      <c r="F24" s="87"/>
      <c r="G24" s="87"/>
      <c r="H24" s="87"/>
      <c r="I24" s="99"/>
    </row>
    <row r="25" spans="1:9" ht="15" hidden="1" x14ac:dyDescent="0.25">
      <c r="A25" s="87"/>
      <c r="B25" s="87"/>
      <c r="C25" s="87"/>
      <c r="D25" s="87"/>
      <c r="E25" s="87"/>
      <c r="F25" s="87"/>
      <c r="G25" s="87"/>
      <c r="H25" s="87"/>
      <c r="I25" s="99"/>
    </row>
    <row r="26" spans="1:9" ht="15" hidden="1" x14ac:dyDescent="0.25">
      <c r="A26" s="87"/>
      <c r="B26" s="87"/>
      <c r="C26" s="87"/>
      <c r="D26" s="87"/>
      <c r="E26" s="87"/>
      <c r="F26" s="87"/>
      <c r="G26" s="87"/>
      <c r="H26" s="87"/>
      <c r="I26" s="102"/>
    </row>
    <row r="27" spans="1:9" ht="15" hidden="1" x14ac:dyDescent="0.25">
      <c r="A27" s="87" t="s">
        <v>33</v>
      </c>
      <c r="B27" s="87"/>
      <c r="C27" s="87"/>
      <c r="D27" s="87" t="s">
        <v>34</v>
      </c>
      <c r="E27" s="87"/>
      <c r="F27" s="87"/>
      <c r="G27" s="87"/>
      <c r="H27" s="87" t="s">
        <v>15</v>
      </c>
      <c r="I27" s="102" t="s">
        <v>35</v>
      </c>
    </row>
    <row r="28" spans="1:9" ht="15" hidden="1" x14ac:dyDescent="0.25">
      <c r="A28" s="87" t="s">
        <v>36</v>
      </c>
      <c r="B28" s="87"/>
      <c r="C28" s="87"/>
      <c r="D28" s="87" t="s">
        <v>37</v>
      </c>
      <c r="E28" s="87"/>
      <c r="F28" s="87"/>
      <c r="G28" s="87"/>
      <c r="H28" s="87"/>
      <c r="I28" s="102"/>
    </row>
    <row r="29" spans="1:9" ht="15" hidden="1" x14ac:dyDescent="0.25">
      <c r="A29" s="87"/>
      <c r="B29" s="87"/>
      <c r="C29" s="87" t="s">
        <v>38</v>
      </c>
      <c r="D29" s="87"/>
      <c r="E29" s="87"/>
      <c r="F29" s="87"/>
      <c r="G29" s="87"/>
      <c r="H29" s="87"/>
      <c r="I29" s="102"/>
    </row>
    <row r="30" spans="1:9" ht="15" hidden="1" x14ac:dyDescent="0.25">
      <c r="A30" s="87"/>
      <c r="B30" s="87"/>
      <c r="C30" s="87" t="s">
        <v>39</v>
      </c>
      <c r="D30" s="87"/>
      <c r="E30" s="87"/>
      <c r="F30" s="87"/>
      <c r="G30" s="87"/>
      <c r="H30" s="87"/>
      <c r="I30" s="102"/>
    </row>
    <row r="31" spans="1:9" ht="15" hidden="1" x14ac:dyDescent="0.25">
      <c r="A31" s="87"/>
      <c r="B31" s="87"/>
      <c r="C31" s="87"/>
      <c r="D31" s="87"/>
      <c r="E31" s="87"/>
      <c r="F31" s="87"/>
      <c r="G31" s="87"/>
      <c r="H31" s="87"/>
      <c r="I31" s="102"/>
    </row>
    <row r="32" spans="1:9" ht="15" hidden="1" x14ac:dyDescent="0.25">
      <c r="A32" s="87"/>
      <c r="B32" s="87"/>
      <c r="C32" s="87"/>
      <c r="D32" s="87"/>
      <c r="E32" s="87"/>
      <c r="F32" s="87"/>
      <c r="G32" s="87"/>
      <c r="H32" s="87"/>
      <c r="I32" s="102"/>
    </row>
    <row r="33" spans="1:9" ht="15" hidden="1" x14ac:dyDescent="0.25">
      <c r="A33" s="87" t="s">
        <v>40</v>
      </c>
      <c r="B33" s="87"/>
      <c r="C33" s="87"/>
      <c r="D33" s="87"/>
      <c r="E33" s="87"/>
      <c r="F33" s="87"/>
      <c r="G33" s="87"/>
      <c r="H33" s="87"/>
      <c r="I33" s="102"/>
    </row>
    <row r="34" spans="1:9" ht="15" hidden="1" x14ac:dyDescent="0.25">
      <c r="A34" s="87"/>
      <c r="B34" s="87"/>
      <c r="C34" s="87"/>
      <c r="D34" s="87"/>
      <c r="E34" s="87"/>
      <c r="F34" s="87"/>
      <c r="G34" s="87"/>
      <c r="H34" s="87"/>
      <c r="I34" s="102"/>
    </row>
    <row r="35" spans="1:9" ht="15" hidden="1" x14ac:dyDescent="0.25">
      <c r="A35" s="87" t="s">
        <v>25</v>
      </c>
      <c r="B35" s="87"/>
      <c r="C35" s="87"/>
      <c r="D35" s="87"/>
      <c r="E35" s="87"/>
      <c r="F35" s="87"/>
      <c r="G35" s="87"/>
      <c r="H35" s="87" t="s">
        <v>26</v>
      </c>
      <c r="I35" s="102">
        <v>383</v>
      </c>
    </row>
    <row r="36" spans="1:9" ht="15" hidden="1" x14ac:dyDescent="0.25">
      <c r="A36" s="87"/>
      <c r="B36" s="87"/>
      <c r="C36" s="87"/>
      <c r="D36" s="87"/>
      <c r="E36" s="87"/>
      <c r="F36" s="87"/>
      <c r="G36" s="87"/>
      <c r="H36" s="87"/>
      <c r="I36" s="103"/>
    </row>
    <row r="37" spans="1:9" ht="15" hidden="1" x14ac:dyDescent="0.25">
      <c r="A37" s="87"/>
      <c r="B37" s="87"/>
      <c r="C37" s="87"/>
      <c r="D37" s="87"/>
      <c r="E37" s="87"/>
      <c r="F37" s="87"/>
      <c r="G37" s="87"/>
      <c r="H37" s="87"/>
      <c r="I37" s="87"/>
    </row>
    <row r="38" spans="1:9" ht="15" hidden="1" x14ac:dyDescent="0.25">
      <c r="A38" s="87" t="s">
        <v>41</v>
      </c>
      <c r="B38" s="87"/>
      <c r="C38" s="87"/>
      <c r="D38" s="87"/>
      <c r="E38" s="87" t="s">
        <v>42</v>
      </c>
      <c r="F38" s="87"/>
      <c r="G38" s="87"/>
      <c r="H38" s="87"/>
      <c r="I38" s="87"/>
    </row>
    <row r="39" spans="1:9" ht="15" hidden="1" x14ac:dyDescent="0.25">
      <c r="A39" s="87" t="s">
        <v>43</v>
      </c>
      <c r="B39" s="87"/>
      <c r="C39" s="87"/>
      <c r="D39" s="87"/>
      <c r="E39" s="87" t="s">
        <v>44</v>
      </c>
      <c r="F39" s="87"/>
      <c r="G39" s="87"/>
      <c r="H39" s="87"/>
      <c r="I39" s="87"/>
    </row>
    <row r="40" spans="1:9" ht="15" hidden="1" x14ac:dyDescent="0.25">
      <c r="A40" s="87"/>
      <c r="B40" s="87"/>
      <c r="C40" s="87"/>
      <c r="D40" s="87"/>
      <c r="E40" s="87"/>
      <c r="F40" s="87"/>
      <c r="G40" s="87"/>
      <c r="H40" s="87"/>
      <c r="I40" s="87"/>
    </row>
    <row r="41" spans="1:9" ht="15" hidden="1" x14ac:dyDescent="0.25">
      <c r="A41" s="87"/>
      <c r="B41" s="87"/>
      <c r="C41" s="87"/>
      <c r="D41" s="87"/>
      <c r="E41" s="87"/>
      <c r="F41" s="87"/>
      <c r="G41" s="87"/>
      <c r="H41" s="87"/>
      <c r="I41" s="87"/>
    </row>
    <row r="42" spans="1:9" ht="15" hidden="1" x14ac:dyDescent="0.25">
      <c r="A42" s="87" t="s">
        <v>45</v>
      </c>
      <c r="B42" s="87"/>
      <c r="C42" s="87"/>
      <c r="D42" s="87"/>
      <c r="E42" s="87" t="s">
        <v>46</v>
      </c>
      <c r="F42" s="87"/>
      <c r="G42" s="87"/>
      <c r="H42" s="87"/>
      <c r="I42" s="87"/>
    </row>
    <row r="43" spans="1:9" ht="15" hidden="1" x14ac:dyDescent="0.25">
      <c r="A43" s="87" t="s">
        <v>47</v>
      </c>
      <c r="B43" s="87"/>
      <c r="C43" s="87"/>
      <c r="D43" s="87"/>
      <c r="E43" s="87" t="s">
        <v>48</v>
      </c>
      <c r="F43" s="87"/>
      <c r="G43" s="87"/>
      <c r="H43" s="87"/>
      <c r="I43" s="87"/>
    </row>
    <row r="44" spans="1:9" ht="15" hidden="1" x14ac:dyDescent="0.25">
      <c r="A44" s="87" t="s">
        <v>49</v>
      </c>
      <c r="B44" s="87"/>
      <c r="C44" s="87"/>
      <c r="D44" s="87"/>
      <c r="E44" s="87" t="s">
        <v>50</v>
      </c>
      <c r="F44" s="87"/>
      <c r="G44" s="87"/>
      <c r="H44" s="87"/>
      <c r="I44" s="87"/>
    </row>
    <row r="45" spans="1:9" ht="15" hidden="1" x14ac:dyDescent="0.25">
      <c r="A45" s="87"/>
      <c r="B45" s="87"/>
      <c r="C45" s="87"/>
      <c r="D45" s="87"/>
      <c r="E45" s="87"/>
      <c r="F45" s="87"/>
      <c r="G45" s="87"/>
      <c r="H45" s="87"/>
      <c r="I45" s="87"/>
    </row>
    <row r="46" spans="1:9" ht="15" x14ac:dyDescent="0.25">
      <c r="A46" s="87"/>
      <c r="B46" s="87"/>
      <c r="C46" s="87"/>
      <c r="D46" s="87"/>
      <c r="E46" s="87"/>
      <c r="F46" s="87"/>
      <c r="G46" s="87"/>
      <c r="H46" s="87"/>
      <c r="I46" s="87"/>
    </row>
    <row r="47" spans="1:9" ht="18.75" x14ac:dyDescent="0.3">
      <c r="A47" s="104" t="s">
        <v>51</v>
      </c>
      <c r="B47" s="105"/>
      <c r="C47" s="105"/>
      <c r="D47" s="105"/>
      <c r="E47" s="105"/>
      <c r="F47" s="105"/>
      <c r="G47" s="105"/>
      <c r="H47" s="105"/>
      <c r="I47" s="105"/>
    </row>
    <row r="48" spans="1:9" ht="15" x14ac:dyDescent="0.25">
      <c r="A48" s="87"/>
      <c r="B48" s="87"/>
      <c r="C48" s="87"/>
      <c r="D48" s="87"/>
      <c r="E48" s="87"/>
      <c r="F48" s="87"/>
      <c r="G48" s="87"/>
      <c r="H48" s="87"/>
      <c r="I48" s="87"/>
    </row>
    <row r="49" spans="1:11" ht="15" customHeight="1" x14ac:dyDescent="0.25">
      <c r="A49" s="1337" t="s">
        <v>52</v>
      </c>
      <c r="B49" s="1337"/>
      <c r="C49" s="1337"/>
      <c r="D49" s="1337"/>
      <c r="E49" s="1337"/>
      <c r="F49" s="1337"/>
      <c r="G49" s="1337"/>
      <c r="H49" s="1337"/>
      <c r="I49" s="1337"/>
    </row>
    <row r="50" spans="1:11" ht="15" x14ac:dyDescent="0.25">
      <c r="A50" s="87"/>
      <c r="B50" s="87"/>
      <c r="C50" s="87"/>
      <c r="D50" s="87"/>
      <c r="E50" s="87"/>
      <c r="F50" s="87"/>
      <c r="G50" s="87"/>
      <c r="H50" s="87"/>
      <c r="I50" s="87"/>
    </row>
    <row r="51" spans="1:11" ht="15" x14ac:dyDescent="0.25">
      <c r="A51" s="87" t="s">
        <v>53</v>
      </c>
      <c r="B51" s="100"/>
      <c r="C51" s="100"/>
      <c r="D51" s="100"/>
      <c r="E51" s="100"/>
      <c r="F51" s="100"/>
      <c r="G51" s="100"/>
      <c r="H51" s="100"/>
      <c r="I51" s="100"/>
      <c r="J51" s="100"/>
      <c r="K51" s="100"/>
    </row>
    <row r="52" spans="1:11" ht="15" x14ac:dyDescent="0.25">
      <c r="A52" s="87"/>
      <c r="B52" s="1333" t="s">
        <v>223</v>
      </c>
      <c r="C52" s="1333"/>
      <c r="D52" s="1333"/>
      <c r="E52" s="1333"/>
      <c r="F52" s="1333"/>
      <c r="G52" s="1333"/>
      <c r="H52" s="1333"/>
      <c r="I52" s="1333"/>
      <c r="J52" s="1333"/>
      <c r="K52" s="1333"/>
    </row>
    <row r="53" spans="1:11" ht="15" x14ac:dyDescent="0.25">
      <c r="A53" s="87"/>
      <c r="B53" s="87" t="s">
        <v>224</v>
      </c>
      <c r="C53" s="106"/>
      <c r="D53" s="106"/>
      <c r="E53" s="106"/>
      <c r="F53" s="106"/>
      <c r="G53" s="106"/>
      <c r="H53" s="106"/>
      <c r="I53" s="106"/>
      <c r="J53" s="108"/>
      <c r="K53" s="108"/>
    </row>
    <row r="54" spans="1:11" ht="15" x14ac:dyDescent="0.25">
      <c r="A54" s="87"/>
      <c r="B54" s="1338" t="s">
        <v>225</v>
      </c>
      <c r="C54" s="1338"/>
      <c r="D54" s="1338"/>
      <c r="E54" s="1338"/>
      <c r="F54" s="1338"/>
      <c r="G54" s="1338"/>
      <c r="H54" s="1338"/>
      <c r="I54" s="1338"/>
      <c r="J54" s="1338"/>
      <c r="K54" s="1338"/>
    </row>
    <row r="55" spans="1:11" ht="15" x14ac:dyDescent="0.25">
      <c r="A55" s="87"/>
      <c r="B55" s="1338" t="s">
        <v>226</v>
      </c>
      <c r="C55" s="1338"/>
      <c r="D55" s="1338"/>
      <c r="E55" s="1338"/>
      <c r="F55" s="1338"/>
      <c r="G55" s="1338"/>
      <c r="H55" s="1338"/>
      <c r="I55" s="1338"/>
      <c r="J55" s="1338"/>
      <c r="K55" s="1338"/>
    </row>
    <row r="56" spans="1:11" ht="27.75" customHeight="1" x14ac:dyDescent="0.25">
      <c r="A56" s="109" t="s">
        <v>54</v>
      </c>
      <c r="B56" s="1339" t="s">
        <v>227</v>
      </c>
      <c r="C56" s="1339"/>
      <c r="D56" s="1339"/>
      <c r="E56" s="1339"/>
      <c r="F56" s="1339"/>
      <c r="G56" s="1339"/>
      <c r="H56" s="1339"/>
      <c r="I56" s="1339"/>
      <c r="J56" s="1339"/>
      <c r="K56" s="1339"/>
    </row>
    <row r="57" spans="1:11" ht="15" x14ac:dyDescent="0.25">
      <c r="A57" s="87"/>
      <c r="B57" s="1338" t="s">
        <v>228</v>
      </c>
      <c r="C57" s="1338"/>
      <c r="D57" s="1338"/>
      <c r="E57" s="1338"/>
      <c r="F57" s="1338"/>
      <c r="G57" s="1338"/>
      <c r="H57" s="1338"/>
      <c r="I57" s="1338"/>
      <c r="J57" s="1338"/>
      <c r="K57" s="1338"/>
    </row>
    <row r="58" spans="1:11" ht="15" x14ac:dyDescent="0.25">
      <c r="A58" s="87"/>
      <c r="B58" s="87" t="s">
        <v>229</v>
      </c>
      <c r="C58" s="87"/>
      <c r="D58" s="87"/>
      <c r="E58" s="87"/>
      <c r="F58" s="87"/>
      <c r="G58" s="87"/>
      <c r="H58" s="87"/>
      <c r="I58" s="87"/>
      <c r="J58" s="108"/>
      <c r="K58" s="108"/>
    </row>
    <row r="59" spans="1:11" ht="15" x14ac:dyDescent="0.25">
      <c r="A59" s="87"/>
      <c r="B59" s="87" t="s">
        <v>230</v>
      </c>
      <c r="C59" s="87"/>
      <c r="D59" s="87"/>
      <c r="E59" s="87"/>
      <c r="F59" s="87"/>
      <c r="G59" s="87"/>
      <c r="H59" s="87"/>
      <c r="I59" s="87"/>
      <c r="J59" s="108"/>
      <c r="K59" s="108"/>
    </row>
    <row r="60" spans="1:11" ht="15" x14ac:dyDescent="0.25">
      <c r="A60" s="87"/>
      <c r="B60" s="87" t="s">
        <v>231</v>
      </c>
      <c r="C60" s="87"/>
      <c r="D60" s="87"/>
      <c r="E60" s="87"/>
      <c r="F60" s="87"/>
      <c r="G60" s="87"/>
      <c r="H60" s="87"/>
      <c r="I60" s="87"/>
      <c r="J60" s="108"/>
      <c r="K60" s="108"/>
    </row>
    <row r="61" spans="1:11" ht="15" x14ac:dyDescent="0.25">
      <c r="A61" s="87" t="s">
        <v>55</v>
      </c>
      <c r="B61" s="106"/>
      <c r="C61" s="106"/>
      <c r="D61" s="106"/>
      <c r="E61" s="106"/>
      <c r="F61" s="106"/>
      <c r="G61" s="106"/>
      <c r="H61" s="106"/>
      <c r="I61" s="106"/>
    </row>
    <row r="62" spans="1:11" ht="15" x14ac:dyDescent="0.25">
      <c r="A62" s="87" t="s">
        <v>56</v>
      </c>
      <c r="B62" s="87" t="s">
        <v>57</v>
      </c>
      <c r="C62" s="106"/>
      <c r="D62" s="106"/>
      <c r="E62" s="106"/>
      <c r="F62" s="106"/>
      <c r="G62" s="106"/>
      <c r="H62" s="106"/>
      <c r="I62" s="106"/>
    </row>
    <row r="63" spans="1:11" ht="15" x14ac:dyDescent="0.25">
      <c r="A63" s="87"/>
      <c r="B63" s="87"/>
      <c r="C63" s="87"/>
      <c r="D63" s="87"/>
      <c r="E63" s="87"/>
      <c r="F63" s="87"/>
      <c r="G63" s="87"/>
      <c r="H63" s="87"/>
      <c r="I63" s="87"/>
    </row>
    <row r="64" spans="1:11" ht="15" customHeight="1" x14ac:dyDescent="0.25">
      <c r="A64" s="1337" t="s">
        <v>58</v>
      </c>
      <c r="B64" s="1337"/>
      <c r="C64" s="1337"/>
      <c r="D64" s="1337"/>
      <c r="E64" s="1337"/>
      <c r="F64" s="1337"/>
      <c r="G64" s="1337"/>
      <c r="H64" s="1337"/>
      <c r="I64" s="1337"/>
    </row>
    <row r="65" spans="1:11" ht="15" x14ac:dyDescent="0.25">
      <c r="A65" s="87"/>
      <c r="B65" s="87"/>
      <c r="C65" s="87"/>
      <c r="D65" s="87"/>
      <c r="E65" s="87"/>
      <c r="F65" s="87"/>
      <c r="G65" s="87"/>
      <c r="H65" s="87"/>
      <c r="I65" s="87"/>
    </row>
    <row r="66" spans="1:11" ht="15" x14ac:dyDescent="0.25">
      <c r="A66" s="106" t="s">
        <v>59</v>
      </c>
      <c r="B66" s="87"/>
      <c r="C66" s="87"/>
      <c r="D66" s="87"/>
      <c r="E66" s="87"/>
      <c r="F66" s="87"/>
      <c r="G66" s="87"/>
      <c r="H66" s="87"/>
      <c r="I66" s="87"/>
    </row>
    <row r="67" spans="1:11" ht="15" x14ac:dyDescent="0.25">
      <c r="A67" s="1324" t="s">
        <v>60</v>
      </c>
      <c r="B67" s="1324"/>
      <c r="C67" s="1324"/>
      <c r="D67" s="1324"/>
      <c r="E67" s="1324"/>
      <c r="F67" s="1324"/>
      <c r="G67" s="1324"/>
      <c r="H67" s="1324"/>
      <c r="I67" s="1324"/>
      <c r="J67" s="1324"/>
      <c r="K67" s="1324"/>
    </row>
    <row r="68" spans="1:11" ht="15" x14ac:dyDescent="0.25">
      <c r="A68" s="107"/>
      <c r="B68" s="89" t="s">
        <v>61</v>
      </c>
      <c r="C68" s="107"/>
      <c r="D68" s="107"/>
      <c r="E68" s="107"/>
      <c r="F68" s="107"/>
      <c r="G68" s="107"/>
      <c r="H68" s="107"/>
      <c r="I68" s="107"/>
      <c r="J68" s="107"/>
      <c r="K68" s="107"/>
    </row>
    <row r="69" spans="1:11" ht="15" x14ac:dyDescent="0.25">
      <c r="A69" s="1324" t="s">
        <v>62</v>
      </c>
      <c r="B69" s="1324"/>
      <c r="C69" s="1324"/>
      <c r="D69" s="1324"/>
      <c r="E69" s="1324"/>
      <c r="F69" s="1324"/>
      <c r="G69" s="1324"/>
      <c r="H69" s="1324"/>
      <c r="I69" s="1324"/>
      <c r="J69" s="1324"/>
      <c r="K69" s="1324"/>
    </row>
    <row r="70" spans="1:11" ht="15" x14ac:dyDescent="0.25">
      <c r="A70" s="1324" t="s">
        <v>232</v>
      </c>
      <c r="B70" s="1324"/>
      <c r="C70" s="1324"/>
      <c r="D70" s="1324"/>
      <c r="E70" s="1324"/>
      <c r="F70" s="1324"/>
      <c r="G70" s="1324"/>
      <c r="H70" s="1324"/>
      <c r="I70" s="1324"/>
      <c r="J70" s="1324"/>
      <c r="K70" s="1324"/>
    </row>
    <row r="71" spans="1:11" ht="15" x14ac:dyDescent="0.25">
      <c r="A71" s="1324" t="s">
        <v>63</v>
      </c>
      <c r="B71" s="1324"/>
      <c r="C71" s="1324"/>
      <c r="D71" s="1324"/>
      <c r="E71" s="1324"/>
      <c r="F71" s="1324"/>
      <c r="G71" s="1324"/>
      <c r="H71" s="1324"/>
      <c r="I71" s="1324"/>
      <c r="J71" s="1324"/>
      <c r="K71" s="1324"/>
    </row>
    <row r="72" spans="1:11" ht="15" x14ac:dyDescent="0.25">
      <c r="A72" s="107"/>
      <c r="B72" s="89" t="s">
        <v>64</v>
      </c>
      <c r="C72" s="107"/>
      <c r="D72" s="107"/>
      <c r="E72" s="107"/>
      <c r="F72" s="107"/>
      <c r="G72" s="107"/>
      <c r="H72" s="107"/>
      <c r="I72" s="107"/>
      <c r="J72" s="107"/>
      <c r="K72" s="107"/>
    </row>
    <row r="73" spans="1:11" ht="15" x14ac:dyDescent="0.25">
      <c r="A73" s="1324" t="s">
        <v>65</v>
      </c>
      <c r="B73" s="1324"/>
      <c r="C73" s="1324"/>
      <c r="D73" s="1324"/>
      <c r="E73" s="1324"/>
      <c r="F73" s="1324"/>
      <c r="G73" s="1324"/>
      <c r="H73" s="1324"/>
      <c r="I73" s="1324"/>
      <c r="J73" s="1324"/>
      <c r="K73" s="1324"/>
    </row>
    <row r="74" spans="1:11" ht="15" x14ac:dyDescent="0.25">
      <c r="A74" s="1324" t="s">
        <v>66</v>
      </c>
      <c r="B74" s="1324"/>
      <c r="C74" s="1324"/>
      <c r="D74" s="1324"/>
      <c r="E74" s="1324"/>
      <c r="F74" s="1324"/>
      <c r="G74" s="1324"/>
      <c r="H74" s="1324"/>
      <c r="I74" s="1324"/>
      <c r="J74" s="1324"/>
      <c r="K74" s="1324"/>
    </row>
    <row r="75" spans="1:11" ht="15" x14ac:dyDescent="0.25">
      <c r="A75" s="107"/>
      <c r="B75" s="107"/>
      <c r="C75" s="107"/>
      <c r="D75" s="107"/>
      <c r="E75" s="107"/>
      <c r="F75" s="107"/>
      <c r="G75" s="107"/>
      <c r="H75" s="107"/>
      <c r="I75" s="107"/>
      <c r="J75" s="107"/>
      <c r="K75" s="107"/>
    </row>
    <row r="76" spans="1:11" hidden="1" x14ac:dyDescent="0.2">
      <c r="A76" s="1325" t="s">
        <v>67</v>
      </c>
      <c r="B76" s="1326"/>
      <c r="C76" s="1326"/>
      <c r="D76" s="1326"/>
      <c r="E76" s="1326"/>
      <c r="F76" s="1326"/>
      <c r="G76" s="1326"/>
      <c r="H76" s="1326"/>
      <c r="I76" s="1326"/>
      <c r="J76" s="1326"/>
      <c r="K76" s="1326"/>
    </row>
    <row r="77" spans="1:11" ht="14.25" hidden="1" x14ac:dyDescent="0.2">
      <c r="A77" s="1325" t="s">
        <v>68</v>
      </c>
      <c r="B77" s="1325"/>
      <c r="C77" s="1325"/>
      <c r="D77" s="1325"/>
      <c r="E77" s="1325"/>
      <c r="F77" s="1325"/>
      <c r="G77" s="1325"/>
      <c r="H77" s="1325"/>
      <c r="I77" s="1325"/>
      <c r="J77" s="1325"/>
      <c r="K77" s="1325"/>
    </row>
    <row r="78" spans="1:11" ht="15" hidden="1" x14ac:dyDescent="0.25">
      <c r="A78" s="87"/>
      <c r="B78" s="87"/>
      <c r="C78" s="87"/>
      <c r="D78" s="87"/>
      <c r="E78" s="87"/>
      <c r="F78" s="87"/>
      <c r="G78" s="87"/>
      <c r="H78" s="87"/>
      <c r="I78" s="87"/>
    </row>
    <row r="79" spans="1:11" ht="15" hidden="1" x14ac:dyDescent="0.25">
      <c r="A79" s="106" t="s">
        <v>69</v>
      </c>
      <c r="B79" s="87"/>
      <c r="C79" s="87"/>
      <c r="D79" s="87"/>
      <c r="E79" s="87"/>
      <c r="F79" s="87"/>
      <c r="G79" s="87"/>
      <c r="H79" s="87"/>
      <c r="I79" s="87"/>
    </row>
    <row r="80" spans="1:11" ht="15" hidden="1" x14ac:dyDescent="0.25">
      <c r="A80" s="106"/>
      <c r="B80" s="106" t="s">
        <v>70</v>
      </c>
      <c r="C80" s="87"/>
      <c r="D80" s="87"/>
      <c r="E80" s="87"/>
      <c r="F80" s="87"/>
      <c r="G80" s="87"/>
      <c r="H80" s="87"/>
      <c r="I80" s="87"/>
    </row>
    <row r="81" spans="1:256" ht="15" hidden="1" x14ac:dyDescent="0.25">
      <c r="A81" s="87" t="s">
        <v>71</v>
      </c>
      <c r="B81" s="87"/>
      <c r="C81" s="87"/>
      <c r="D81" s="87"/>
      <c r="E81" s="87"/>
      <c r="F81" s="87"/>
      <c r="G81" s="87"/>
      <c r="H81" s="87"/>
      <c r="I81" s="87"/>
    </row>
    <row r="82" spans="1:256" ht="15" hidden="1" x14ac:dyDescent="0.25">
      <c r="A82" s="87" t="s">
        <v>72</v>
      </c>
      <c r="B82" s="87"/>
      <c r="C82" s="87"/>
      <c r="D82" s="87"/>
      <c r="E82" s="87"/>
      <c r="F82" s="87"/>
      <c r="G82" s="87"/>
      <c r="H82" s="87"/>
      <c r="I82" s="87"/>
    </row>
    <row r="83" spans="1:256" ht="15" hidden="1" x14ac:dyDescent="0.25">
      <c r="A83" s="87" t="s">
        <v>73</v>
      </c>
      <c r="B83" s="87"/>
      <c r="C83" s="87"/>
      <c r="D83" s="87"/>
      <c r="E83" s="87"/>
      <c r="F83" s="87"/>
      <c r="G83" s="87"/>
      <c r="H83" s="87"/>
      <c r="I83" s="87"/>
    </row>
    <row r="84" spans="1:256" ht="15" hidden="1" x14ac:dyDescent="0.25">
      <c r="A84" s="87" t="s">
        <v>74</v>
      </c>
      <c r="B84" s="87"/>
      <c r="C84" s="87"/>
      <c r="D84" s="87"/>
      <c r="E84" s="87"/>
      <c r="F84" s="87"/>
      <c r="G84" s="87"/>
      <c r="H84" s="87"/>
      <c r="I84" s="87"/>
    </row>
    <row r="85" spans="1:256" ht="15" hidden="1" x14ac:dyDescent="0.25">
      <c r="A85" s="87"/>
      <c r="B85" s="87" t="s">
        <v>75</v>
      </c>
      <c r="C85" s="87"/>
      <c r="D85" s="87"/>
      <c r="E85" s="87"/>
      <c r="F85" s="87"/>
      <c r="G85" s="87"/>
      <c r="H85" s="87"/>
      <c r="I85" s="87"/>
    </row>
    <row r="86" spans="1:256" ht="15" hidden="1" x14ac:dyDescent="0.25">
      <c r="A86" s="87" t="s">
        <v>76</v>
      </c>
      <c r="B86" s="87"/>
      <c r="C86" s="87"/>
      <c r="D86" s="87"/>
      <c r="E86" s="87"/>
      <c r="F86" s="87"/>
      <c r="G86" s="87"/>
      <c r="H86" s="87"/>
      <c r="I86" s="87"/>
    </row>
    <row r="87" spans="1:256" ht="15" hidden="1" x14ac:dyDescent="0.25">
      <c r="A87" s="87"/>
      <c r="B87" s="87" t="s">
        <v>77</v>
      </c>
      <c r="C87" s="87"/>
      <c r="D87" s="87"/>
      <c r="E87" s="87"/>
      <c r="F87" s="87"/>
      <c r="G87" s="87"/>
      <c r="H87" s="87"/>
      <c r="I87" s="87"/>
    </row>
    <row r="88" spans="1:256" ht="15" hidden="1" x14ac:dyDescent="0.25">
      <c r="A88" s="87"/>
      <c r="B88" s="87" t="s">
        <v>78</v>
      </c>
      <c r="C88" s="87"/>
      <c r="D88" s="87"/>
      <c r="E88" s="87"/>
      <c r="F88" s="87"/>
      <c r="G88" s="87"/>
      <c r="H88" s="87"/>
      <c r="I88" s="87"/>
    </row>
    <row r="89" spans="1:256" ht="15" hidden="1" x14ac:dyDescent="0.25">
      <c r="A89" s="87"/>
      <c r="B89" s="87"/>
      <c r="C89" s="87"/>
      <c r="D89" s="87"/>
      <c r="E89" s="87"/>
      <c r="F89" s="87"/>
      <c r="G89" s="87"/>
      <c r="H89" s="87"/>
      <c r="I89" s="87"/>
    </row>
    <row r="90" spans="1:256" ht="55.5" customHeight="1" x14ac:dyDescent="0.25">
      <c r="A90" s="1327" t="s">
        <v>79</v>
      </c>
      <c r="B90" s="1327"/>
      <c r="C90" s="1327"/>
      <c r="D90" s="1327"/>
      <c r="E90" s="1327"/>
      <c r="F90" s="1327"/>
      <c r="G90" s="1327"/>
      <c r="H90" s="1327"/>
      <c r="I90" s="1327"/>
    </row>
    <row r="91" spans="1:256" ht="15" x14ac:dyDescent="0.25">
      <c r="A91" s="87"/>
      <c r="B91" s="87"/>
      <c r="C91" s="87"/>
      <c r="D91" s="87"/>
      <c r="E91" s="87"/>
      <c r="F91" s="87"/>
      <c r="G91" s="87"/>
      <c r="H91" s="87"/>
      <c r="I91" s="87"/>
    </row>
    <row r="92" spans="1:256" ht="15" x14ac:dyDescent="0.25">
      <c r="A92" s="106" t="s">
        <v>80</v>
      </c>
      <c r="B92" s="87"/>
      <c r="C92" s="87"/>
      <c r="D92" s="87"/>
      <c r="E92" s="87"/>
      <c r="F92" s="87"/>
      <c r="G92" s="87"/>
      <c r="H92" s="87"/>
      <c r="I92" s="87"/>
    </row>
    <row r="93" spans="1:256" ht="15" x14ac:dyDescent="0.25">
      <c r="A93" s="1324" t="s">
        <v>60</v>
      </c>
      <c r="B93" s="1324"/>
      <c r="C93" s="1324"/>
      <c r="D93" s="1324"/>
      <c r="E93" s="1324"/>
      <c r="F93" s="1324"/>
      <c r="G93" s="1324"/>
      <c r="H93" s="1324"/>
      <c r="I93" s="1324"/>
      <c r="J93" s="1324"/>
      <c r="K93" s="1324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87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87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87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87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87"/>
      <c r="CG93" s="87"/>
      <c r="CH93" s="87"/>
      <c r="CI93" s="87"/>
      <c r="CJ93" s="87"/>
      <c r="CK93" s="87"/>
      <c r="CL93" s="87"/>
      <c r="CM93" s="87"/>
      <c r="CN93" s="87"/>
      <c r="CO93" s="87"/>
      <c r="CP93" s="87"/>
      <c r="CQ93" s="87"/>
      <c r="CR93" s="87"/>
      <c r="CS93" s="87"/>
      <c r="CT93" s="87"/>
      <c r="CU93" s="87"/>
      <c r="CV93" s="87"/>
      <c r="CW93" s="87"/>
      <c r="CX93" s="87"/>
      <c r="CY93" s="87"/>
      <c r="CZ93" s="87"/>
      <c r="DA93" s="87"/>
      <c r="DB93" s="87"/>
      <c r="DC93" s="87"/>
      <c r="DD93" s="87"/>
      <c r="DE93" s="87"/>
      <c r="DF93" s="87"/>
      <c r="DG93" s="87"/>
      <c r="DH93" s="87"/>
      <c r="DI93" s="87"/>
      <c r="DJ93" s="87"/>
      <c r="DK93" s="87"/>
      <c r="DL93" s="87"/>
      <c r="DM93" s="87"/>
      <c r="DN93" s="87"/>
      <c r="DO93" s="87"/>
      <c r="DP93" s="87"/>
      <c r="DQ93" s="87"/>
      <c r="DR93" s="87"/>
      <c r="DS93" s="87"/>
      <c r="DT93" s="87"/>
      <c r="DU93" s="87"/>
      <c r="DV93" s="87"/>
      <c r="DW93" s="87"/>
      <c r="DX93" s="87"/>
      <c r="DY93" s="87"/>
      <c r="DZ93" s="87"/>
      <c r="EA93" s="87"/>
      <c r="EB93" s="87"/>
      <c r="EC93" s="87"/>
      <c r="ED93" s="87"/>
      <c r="EE93" s="87"/>
      <c r="EF93" s="87"/>
      <c r="EG93" s="87"/>
      <c r="EH93" s="87"/>
      <c r="EI93" s="87"/>
      <c r="EJ93" s="87"/>
      <c r="EK93" s="87"/>
      <c r="EL93" s="87"/>
      <c r="EM93" s="87"/>
      <c r="EN93" s="87"/>
      <c r="EO93" s="87"/>
      <c r="EP93" s="87"/>
      <c r="EQ93" s="87"/>
      <c r="ER93" s="87"/>
      <c r="ES93" s="87"/>
      <c r="ET93" s="87"/>
      <c r="EU93" s="87"/>
      <c r="EV93" s="87"/>
      <c r="EW93" s="87"/>
      <c r="EX93" s="87"/>
      <c r="EY93" s="87"/>
      <c r="EZ93" s="87"/>
      <c r="FA93" s="87"/>
      <c r="FB93" s="87"/>
      <c r="FC93" s="87"/>
      <c r="FD93" s="87"/>
      <c r="FE93" s="87"/>
      <c r="FF93" s="87"/>
      <c r="FG93" s="87"/>
      <c r="FH93" s="87"/>
      <c r="FI93" s="87"/>
      <c r="FJ93" s="87"/>
      <c r="FK93" s="87"/>
      <c r="FL93" s="87"/>
      <c r="FM93" s="87"/>
      <c r="FN93" s="87"/>
      <c r="FO93" s="87"/>
      <c r="FP93" s="87"/>
      <c r="FQ93" s="87"/>
      <c r="FR93" s="87"/>
      <c r="FS93" s="87"/>
      <c r="FT93" s="87"/>
      <c r="FU93" s="87"/>
      <c r="FV93" s="87"/>
      <c r="FW93" s="87"/>
      <c r="FX93" s="87"/>
      <c r="FY93" s="87"/>
      <c r="FZ93" s="87"/>
      <c r="GA93" s="87"/>
      <c r="GB93" s="87"/>
      <c r="GC93" s="87"/>
      <c r="GD93" s="87"/>
      <c r="GE93" s="87"/>
      <c r="GF93" s="87"/>
      <c r="GG93" s="87"/>
      <c r="GH93" s="87"/>
      <c r="GI93" s="87"/>
      <c r="GJ93" s="87"/>
      <c r="GK93" s="87"/>
      <c r="GL93" s="87"/>
      <c r="GM93" s="87"/>
      <c r="GN93" s="87"/>
      <c r="GO93" s="87"/>
      <c r="GP93" s="87"/>
      <c r="GQ93" s="87"/>
      <c r="GR93" s="87"/>
      <c r="GS93" s="87"/>
      <c r="GT93" s="87"/>
      <c r="GU93" s="87"/>
      <c r="GV93" s="87"/>
      <c r="GW93" s="87"/>
      <c r="GX93" s="87"/>
      <c r="GY93" s="87"/>
      <c r="GZ93" s="87"/>
      <c r="HA93" s="87"/>
      <c r="HB93" s="87"/>
      <c r="HC93" s="87"/>
      <c r="HD93" s="87"/>
      <c r="HE93" s="87"/>
      <c r="HF93" s="87"/>
      <c r="HG93" s="87"/>
      <c r="HH93" s="87"/>
      <c r="HI93" s="87"/>
      <c r="HJ93" s="87"/>
      <c r="HK93" s="87"/>
      <c r="HL93" s="87"/>
      <c r="HM93" s="87"/>
      <c r="HN93" s="87"/>
      <c r="HO93" s="87"/>
      <c r="HP93" s="87"/>
      <c r="HQ93" s="87"/>
      <c r="HR93" s="87"/>
      <c r="HS93" s="87"/>
      <c r="HT93" s="87"/>
      <c r="HU93" s="87"/>
      <c r="HV93" s="87"/>
      <c r="HW93" s="87"/>
      <c r="HX93" s="87"/>
      <c r="HY93" s="87"/>
      <c r="HZ93" s="87"/>
      <c r="IA93" s="87"/>
      <c r="IB93" s="87"/>
      <c r="IC93" s="87"/>
      <c r="ID93" s="87"/>
      <c r="IE93" s="87"/>
      <c r="IF93" s="87"/>
      <c r="IG93" s="87"/>
      <c r="IH93" s="87"/>
      <c r="II93" s="87"/>
      <c r="IJ93" s="87"/>
      <c r="IK93" s="87"/>
      <c r="IL93" s="87"/>
      <c r="IM93" s="87"/>
      <c r="IN93" s="87"/>
      <c r="IO93" s="87"/>
      <c r="IP93" s="87"/>
      <c r="IQ93" s="87"/>
      <c r="IR93" s="87"/>
      <c r="IS93" s="87"/>
      <c r="IT93" s="87"/>
      <c r="IU93" s="87"/>
      <c r="IV93" s="87"/>
    </row>
    <row r="94" spans="1:256" ht="15" x14ac:dyDescent="0.25">
      <c r="A94" s="107"/>
      <c r="B94" s="89" t="s">
        <v>61</v>
      </c>
      <c r="C94" s="107"/>
      <c r="D94" s="107"/>
      <c r="E94" s="107"/>
      <c r="F94" s="107"/>
      <c r="G94" s="107"/>
      <c r="H94" s="107"/>
      <c r="I94" s="107"/>
      <c r="J94" s="107"/>
      <c r="K94" s="107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87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87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87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87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87"/>
      <c r="CG94" s="87"/>
      <c r="CH94" s="87"/>
      <c r="CI94" s="87"/>
      <c r="CJ94" s="87"/>
      <c r="CK94" s="87"/>
      <c r="CL94" s="87"/>
      <c r="CM94" s="87"/>
      <c r="CN94" s="87"/>
      <c r="CO94" s="87"/>
      <c r="CP94" s="87"/>
      <c r="CQ94" s="87"/>
      <c r="CR94" s="87"/>
      <c r="CS94" s="87"/>
      <c r="CT94" s="87"/>
      <c r="CU94" s="87"/>
      <c r="CV94" s="87"/>
      <c r="CW94" s="87"/>
      <c r="CX94" s="87"/>
      <c r="CY94" s="87"/>
      <c r="CZ94" s="87"/>
      <c r="DA94" s="87"/>
      <c r="DB94" s="87"/>
      <c r="DC94" s="87"/>
      <c r="DD94" s="87"/>
      <c r="DE94" s="87"/>
      <c r="DF94" s="87"/>
      <c r="DG94" s="87"/>
      <c r="DH94" s="87"/>
      <c r="DI94" s="87"/>
      <c r="DJ94" s="87"/>
      <c r="DK94" s="87"/>
      <c r="DL94" s="87"/>
      <c r="DM94" s="87"/>
      <c r="DN94" s="87"/>
      <c r="DO94" s="87"/>
      <c r="DP94" s="87"/>
      <c r="DQ94" s="87"/>
      <c r="DR94" s="87"/>
      <c r="DS94" s="87"/>
      <c r="DT94" s="87"/>
      <c r="DU94" s="87"/>
      <c r="DV94" s="87"/>
      <c r="DW94" s="87"/>
      <c r="DX94" s="87"/>
      <c r="DY94" s="87"/>
      <c r="DZ94" s="87"/>
      <c r="EA94" s="87"/>
      <c r="EB94" s="87"/>
      <c r="EC94" s="87"/>
      <c r="ED94" s="87"/>
      <c r="EE94" s="87"/>
      <c r="EF94" s="87"/>
      <c r="EG94" s="87"/>
      <c r="EH94" s="87"/>
      <c r="EI94" s="87"/>
      <c r="EJ94" s="87"/>
      <c r="EK94" s="87"/>
      <c r="EL94" s="87"/>
      <c r="EM94" s="87"/>
      <c r="EN94" s="87"/>
      <c r="EO94" s="87"/>
      <c r="EP94" s="87"/>
      <c r="EQ94" s="87"/>
      <c r="ER94" s="87"/>
      <c r="ES94" s="87"/>
      <c r="ET94" s="87"/>
      <c r="EU94" s="87"/>
      <c r="EV94" s="87"/>
      <c r="EW94" s="87"/>
      <c r="EX94" s="87"/>
      <c r="EY94" s="87"/>
      <c r="EZ94" s="87"/>
      <c r="FA94" s="87"/>
      <c r="FB94" s="87"/>
      <c r="FC94" s="87"/>
      <c r="FD94" s="87"/>
      <c r="FE94" s="87"/>
      <c r="FF94" s="87"/>
      <c r="FG94" s="87"/>
      <c r="FH94" s="87"/>
      <c r="FI94" s="87"/>
      <c r="FJ94" s="87"/>
      <c r="FK94" s="87"/>
      <c r="FL94" s="87"/>
      <c r="FM94" s="87"/>
      <c r="FN94" s="87"/>
      <c r="FO94" s="87"/>
      <c r="FP94" s="87"/>
      <c r="FQ94" s="87"/>
      <c r="FR94" s="87"/>
      <c r="FS94" s="87"/>
      <c r="FT94" s="87"/>
      <c r="FU94" s="87"/>
      <c r="FV94" s="87"/>
      <c r="FW94" s="87"/>
      <c r="FX94" s="87"/>
      <c r="FY94" s="87"/>
      <c r="FZ94" s="87"/>
      <c r="GA94" s="87"/>
      <c r="GB94" s="87"/>
      <c r="GC94" s="87"/>
      <c r="GD94" s="87"/>
      <c r="GE94" s="87"/>
      <c r="GF94" s="87"/>
      <c r="GG94" s="87"/>
      <c r="GH94" s="87"/>
      <c r="GI94" s="87"/>
      <c r="GJ94" s="87"/>
      <c r="GK94" s="87"/>
      <c r="GL94" s="87"/>
      <c r="GM94" s="87"/>
      <c r="GN94" s="87"/>
      <c r="GO94" s="87"/>
      <c r="GP94" s="87"/>
      <c r="GQ94" s="87"/>
      <c r="GR94" s="87"/>
      <c r="GS94" s="87"/>
      <c r="GT94" s="87"/>
      <c r="GU94" s="87"/>
      <c r="GV94" s="87"/>
      <c r="GW94" s="87"/>
      <c r="GX94" s="87"/>
      <c r="GY94" s="87"/>
      <c r="GZ94" s="87"/>
      <c r="HA94" s="87"/>
      <c r="HB94" s="87"/>
      <c r="HC94" s="87"/>
      <c r="HD94" s="87"/>
      <c r="HE94" s="87"/>
      <c r="HF94" s="87"/>
      <c r="HG94" s="87"/>
      <c r="HH94" s="87"/>
      <c r="HI94" s="87"/>
      <c r="HJ94" s="87"/>
      <c r="HK94" s="87"/>
      <c r="HL94" s="87"/>
      <c r="HM94" s="87"/>
      <c r="HN94" s="87"/>
      <c r="HO94" s="87"/>
      <c r="HP94" s="87"/>
      <c r="HQ94" s="87"/>
      <c r="HR94" s="87"/>
      <c r="HS94" s="87"/>
      <c r="HT94" s="87"/>
      <c r="HU94" s="87"/>
      <c r="HV94" s="87"/>
      <c r="HW94" s="87"/>
      <c r="HX94" s="87"/>
      <c r="HY94" s="87"/>
      <c r="HZ94" s="87"/>
      <c r="IA94" s="87"/>
      <c r="IB94" s="87"/>
      <c r="IC94" s="87"/>
      <c r="ID94" s="87"/>
      <c r="IE94" s="87"/>
      <c r="IF94" s="87"/>
      <c r="IG94" s="87"/>
      <c r="IH94" s="87"/>
      <c r="II94" s="87"/>
      <c r="IJ94" s="87"/>
      <c r="IK94" s="87"/>
      <c r="IL94" s="87"/>
      <c r="IM94" s="87"/>
      <c r="IN94" s="87"/>
      <c r="IO94" s="87"/>
      <c r="IP94" s="87"/>
      <c r="IQ94" s="87"/>
      <c r="IR94" s="87"/>
      <c r="IS94" s="87"/>
      <c r="IT94" s="87"/>
      <c r="IU94" s="87"/>
      <c r="IV94" s="87"/>
    </row>
    <row r="95" spans="1:256" ht="15" x14ac:dyDescent="0.25">
      <c r="A95" s="1324" t="s">
        <v>62</v>
      </c>
      <c r="B95" s="1324"/>
      <c r="C95" s="1324"/>
      <c r="D95" s="1324"/>
      <c r="E95" s="1324"/>
      <c r="F95" s="1324"/>
      <c r="G95" s="1324"/>
      <c r="H95" s="1324"/>
      <c r="I95" s="1324"/>
      <c r="J95" s="1324"/>
      <c r="K95" s="1324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87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87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87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87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87"/>
      <c r="CG95" s="87"/>
      <c r="CH95" s="87"/>
      <c r="CI95" s="87"/>
      <c r="CJ95" s="87"/>
      <c r="CK95" s="87"/>
      <c r="CL95" s="87"/>
      <c r="CM95" s="87"/>
      <c r="CN95" s="87"/>
      <c r="CO95" s="87"/>
      <c r="CP95" s="87"/>
      <c r="CQ95" s="87"/>
      <c r="CR95" s="87"/>
      <c r="CS95" s="87"/>
      <c r="CT95" s="87"/>
      <c r="CU95" s="87"/>
      <c r="CV95" s="87"/>
      <c r="CW95" s="87"/>
      <c r="CX95" s="87"/>
      <c r="CY95" s="87"/>
      <c r="CZ95" s="87"/>
      <c r="DA95" s="87"/>
      <c r="DB95" s="87"/>
      <c r="DC95" s="87"/>
      <c r="DD95" s="87"/>
      <c r="DE95" s="87"/>
      <c r="DF95" s="87"/>
      <c r="DG95" s="87"/>
      <c r="DH95" s="87"/>
      <c r="DI95" s="87"/>
      <c r="DJ95" s="87"/>
      <c r="DK95" s="87"/>
      <c r="DL95" s="87"/>
      <c r="DM95" s="87"/>
      <c r="DN95" s="87"/>
      <c r="DO95" s="87"/>
      <c r="DP95" s="87"/>
      <c r="DQ95" s="87"/>
      <c r="DR95" s="87"/>
      <c r="DS95" s="87"/>
      <c r="DT95" s="87"/>
      <c r="DU95" s="87"/>
      <c r="DV95" s="87"/>
      <c r="DW95" s="87"/>
      <c r="DX95" s="87"/>
      <c r="DY95" s="87"/>
      <c r="DZ95" s="87"/>
      <c r="EA95" s="87"/>
      <c r="EB95" s="87"/>
      <c r="EC95" s="87"/>
      <c r="ED95" s="87"/>
      <c r="EE95" s="87"/>
      <c r="EF95" s="87"/>
      <c r="EG95" s="87"/>
      <c r="EH95" s="87"/>
      <c r="EI95" s="87"/>
      <c r="EJ95" s="87"/>
      <c r="EK95" s="87"/>
      <c r="EL95" s="87"/>
      <c r="EM95" s="87"/>
      <c r="EN95" s="87"/>
      <c r="EO95" s="87"/>
      <c r="EP95" s="87"/>
      <c r="EQ95" s="87"/>
      <c r="ER95" s="87"/>
      <c r="ES95" s="87"/>
      <c r="ET95" s="87"/>
      <c r="EU95" s="87"/>
      <c r="EV95" s="87"/>
      <c r="EW95" s="87"/>
      <c r="EX95" s="87"/>
      <c r="EY95" s="87"/>
      <c r="EZ95" s="87"/>
      <c r="FA95" s="87"/>
      <c r="FB95" s="87"/>
      <c r="FC95" s="87"/>
      <c r="FD95" s="87"/>
      <c r="FE95" s="87"/>
      <c r="FF95" s="87"/>
      <c r="FG95" s="87"/>
      <c r="FH95" s="87"/>
      <c r="FI95" s="87"/>
      <c r="FJ95" s="87"/>
      <c r="FK95" s="87"/>
      <c r="FL95" s="87"/>
      <c r="FM95" s="87"/>
      <c r="FN95" s="87"/>
      <c r="FO95" s="87"/>
      <c r="FP95" s="87"/>
      <c r="FQ95" s="87"/>
      <c r="FR95" s="87"/>
      <c r="FS95" s="87"/>
      <c r="FT95" s="87"/>
      <c r="FU95" s="87"/>
      <c r="FV95" s="87"/>
      <c r="FW95" s="87"/>
      <c r="FX95" s="87"/>
      <c r="FY95" s="87"/>
      <c r="FZ95" s="87"/>
      <c r="GA95" s="87"/>
      <c r="GB95" s="87"/>
      <c r="GC95" s="87"/>
      <c r="GD95" s="87"/>
      <c r="GE95" s="87"/>
      <c r="GF95" s="87"/>
      <c r="GG95" s="87"/>
      <c r="GH95" s="87"/>
      <c r="GI95" s="87"/>
      <c r="GJ95" s="87"/>
      <c r="GK95" s="87"/>
      <c r="GL95" s="87"/>
      <c r="GM95" s="87"/>
      <c r="GN95" s="87"/>
      <c r="GO95" s="87"/>
      <c r="GP95" s="87"/>
      <c r="GQ95" s="87"/>
      <c r="GR95" s="87"/>
      <c r="GS95" s="87"/>
      <c r="GT95" s="87"/>
      <c r="GU95" s="87"/>
      <c r="GV95" s="87"/>
      <c r="GW95" s="87"/>
      <c r="GX95" s="87"/>
      <c r="GY95" s="87"/>
      <c r="GZ95" s="87"/>
      <c r="HA95" s="87"/>
      <c r="HB95" s="87"/>
      <c r="HC95" s="87"/>
      <c r="HD95" s="87"/>
      <c r="HE95" s="87"/>
      <c r="HF95" s="87"/>
      <c r="HG95" s="87"/>
      <c r="HH95" s="87"/>
      <c r="HI95" s="87"/>
      <c r="HJ95" s="87"/>
      <c r="HK95" s="87"/>
      <c r="HL95" s="87"/>
      <c r="HM95" s="87"/>
      <c r="HN95" s="87"/>
      <c r="HO95" s="87"/>
      <c r="HP95" s="87"/>
      <c r="HQ95" s="87"/>
      <c r="HR95" s="87"/>
      <c r="HS95" s="87"/>
      <c r="HT95" s="87"/>
      <c r="HU95" s="87"/>
      <c r="HV95" s="87"/>
      <c r="HW95" s="87"/>
      <c r="HX95" s="87"/>
      <c r="HY95" s="87"/>
      <c r="HZ95" s="87"/>
      <c r="IA95" s="87"/>
      <c r="IB95" s="87"/>
      <c r="IC95" s="87"/>
      <c r="ID95" s="87"/>
      <c r="IE95" s="87"/>
      <c r="IF95" s="87"/>
      <c r="IG95" s="87"/>
      <c r="IH95" s="87"/>
      <c r="II95" s="87"/>
      <c r="IJ95" s="87"/>
      <c r="IK95" s="87"/>
      <c r="IL95" s="87"/>
      <c r="IM95" s="87"/>
      <c r="IN95" s="87"/>
      <c r="IO95" s="87"/>
      <c r="IP95" s="87"/>
      <c r="IQ95" s="87"/>
      <c r="IR95" s="87"/>
      <c r="IS95" s="87"/>
      <c r="IT95" s="87"/>
      <c r="IU95" s="87"/>
      <c r="IV95" s="87"/>
    </row>
    <row r="96" spans="1:256" ht="15" x14ac:dyDescent="0.25">
      <c r="A96" s="1324" t="s">
        <v>232</v>
      </c>
      <c r="B96" s="1324"/>
      <c r="C96" s="1324"/>
      <c r="D96" s="1324"/>
      <c r="E96" s="1324"/>
      <c r="F96" s="1324"/>
      <c r="G96" s="1324"/>
      <c r="H96" s="1324"/>
      <c r="I96" s="1324"/>
      <c r="J96" s="1324"/>
      <c r="K96" s="1324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87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87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87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87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87"/>
      <c r="CG96" s="87"/>
      <c r="CH96" s="87"/>
      <c r="CI96" s="87"/>
      <c r="CJ96" s="87"/>
      <c r="CK96" s="87"/>
      <c r="CL96" s="87"/>
      <c r="CM96" s="87"/>
      <c r="CN96" s="87"/>
      <c r="CO96" s="87"/>
      <c r="CP96" s="87"/>
      <c r="CQ96" s="87"/>
      <c r="CR96" s="87"/>
      <c r="CS96" s="87"/>
      <c r="CT96" s="87"/>
      <c r="CU96" s="87"/>
      <c r="CV96" s="87"/>
      <c r="CW96" s="87"/>
      <c r="CX96" s="87"/>
      <c r="CY96" s="87"/>
      <c r="CZ96" s="87"/>
      <c r="DA96" s="87"/>
      <c r="DB96" s="87"/>
      <c r="DC96" s="87"/>
      <c r="DD96" s="87"/>
      <c r="DE96" s="87"/>
      <c r="DF96" s="87"/>
      <c r="DG96" s="87"/>
      <c r="DH96" s="87"/>
      <c r="DI96" s="87"/>
      <c r="DJ96" s="87"/>
      <c r="DK96" s="87"/>
      <c r="DL96" s="87"/>
      <c r="DM96" s="87"/>
      <c r="DN96" s="87"/>
      <c r="DO96" s="87"/>
      <c r="DP96" s="87"/>
      <c r="DQ96" s="87"/>
      <c r="DR96" s="87"/>
      <c r="DS96" s="87"/>
      <c r="DT96" s="87"/>
      <c r="DU96" s="87"/>
      <c r="DV96" s="87"/>
      <c r="DW96" s="87"/>
      <c r="DX96" s="87"/>
      <c r="DY96" s="87"/>
      <c r="DZ96" s="87"/>
      <c r="EA96" s="87"/>
      <c r="EB96" s="87"/>
      <c r="EC96" s="87"/>
      <c r="ED96" s="87"/>
      <c r="EE96" s="87"/>
      <c r="EF96" s="87"/>
      <c r="EG96" s="87"/>
      <c r="EH96" s="87"/>
      <c r="EI96" s="87"/>
      <c r="EJ96" s="87"/>
      <c r="EK96" s="87"/>
      <c r="EL96" s="87"/>
      <c r="EM96" s="87"/>
      <c r="EN96" s="87"/>
      <c r="EO96" s="87"/>
      <c r="EP96" s="87"/>
      <c r="EQ96" s="87"/>
      <c r="ER96" s="87"/>
      <c r="ES96" s="87"/>
      <c r="ET96" s="87"/>
      <c r="EU96" s="87"/>
      <c r="EV96" s="87"/>
      <c r="EW96" s="87"/>
      <c r="EX96" s="87"/>
      <c r="EY96" s="87"/>
      <c r="EZ96" s="87"/>
      <c r="FA96" s="87"/>
      <c r="FB96" s="87"/>
      <c r="FC96" s="87"/>
      <c r="FD96" s="87"/>
      <c r="FE96" s="87"/>
      <c r="FF96" s="87"/>
      <c r="FG96" s="87"/>
      <c r="FH96" s="87"/>
      <c r="FI96" s="87"/>
      <c r="FJ96" s="87"/>
      <c r="FK96" s="87"/>
      <c r="FL96" s="87"/>
      <c r="FM96" s="87"/>
      <c r="FN96" s="87"/>
      <c r="FO96" s="87"/>
      <c r="FP96" s="87"/>
      <c r="FQ96" s="87"/>
      <c r="FR96" s="87"/>
      <c r="FS96" s="87"/>
      <c r="FT96" s="87"/>
      <c r="FU96" s="87"/>
      <c r="FV96" s="87"/>
      <c r="FW96" s="87"/>
      <c r="FX96" s="87"/>
      <c r="FY96" s="87"/>
      <c r="FZ96" s="87"/>
      <c r="GA96" s="87"/>
      <c r="GB96" s="87"/>
      <c r="GC96" s="87"/>
      <c r="GD96" s="87"/>
      <c r="GE96" s="87"/>
      <c r="GF96" s="87"/>
      <c r="GG96" s="87"/>
      <c r="GH96" s="87"/>
      <c r="GI96" s="87"/>
      <c r="GJ96" s="87"/>
      <c r="GK96" s="87"/>
      <c r="GL96" s="87"/>
      <c r="GM96" s="87"/>
      <c r="GN96" s="87"/>
      <c r="GO96" s="87"/>
      <c r="GP96" s="87"/>
      <c r="GQ96" s="87"/>
      <c r="GR96" s="87"/>
      <c r="GS96" s="87"/>
      <c r="GT96" s="87"/>
      <c r="GU96" s="87"/>
      <c r="GV96" s="87"/>
      <c r="GW96" s="87"/>
      <c r="GX96" s="87"/>
      <c r="GY96" s="87"/>
      <c r="GZ96" s="87"/>
      <c r="HA96" s="87"/>
      <c r="HB96" s="87"/>
      <c r="HC96" s="87"/>
      <c r="HD96" s="87"/>
      <c r="HE96" s="87"/>
      <c r="HF96" s="87"/>
      <c r="HG96" s="87"/>
      <c r="HH96" s="87"/>
      <c r="HI96" s="87"/>
      <c r="HJ96" s="87"/>
      <c r="HK96" s="87"/>
      <c r="HL96" s="87"/>
      <c r="HM96" s="87"/>
      <c r="HN96" s="87"/>
      <c r="HO96" s="87"/>
      <c r="HP96" s="87"/>
      <c r="HQ96" s="87"/>
      <c r="HR96" s="87"/>
      <c r="HS96" s="87"/>
      <c r="HT96" s="87"/>
      <c r="HU96" s="87"/>
      <c r="HV96" s="87"/>
      <c r="HW96" s="87"/>
      <c r="HX96" s="87"/>
      <c r="HY96" s="87"/>
      <c r="HZ96" s="87"/>
      <c r="IA96" s="87"/>
      <c r="IB96" s="87"/>
      <c r="IC96" s="87"/>
      <c r="ID96" s="87"/>
      <c r="IE96" s="87"/>
      <c r="IF96" s="87"/>
      <c r="IG96" s="87"/>
      <c r="IH96" s="87"/>
      <c r="II96" s="87"/>
      <c r="IJ96" s="87"/>
      <c r="IK96" s="87"/>
      <c r="IL96" s="87"/>
      <c r="IM96" s="87"/>
      <c r="IN96" s="87"/>
      <c r="IO96" s="87"/>
      <c r="IP96" s="87"/>
      <c r="IQ96" s="87"/>
      <c r="IR96" s="87"/>
      <c r="IS96" s="87"/>
      <c r="IT96" s="87"/>
      <c r="IU96" s="87"/>
      <c r="IV96" s="87"/>
    </row>
    <row r="97" spans="1:256" ht="15" x14ac:dyDescent="0.25">
      <c r="A97" s="1324" t="s">
        <v>81</v>
      </c>
      <c r="B97" s="1324"/>
      <c r="C97" s="1324"/>
      <c r="D97" s="1324"/>
      <c r="E97" s="1324"/>
      <c r="F97" s="1324"/>
      <c r="G97" s="1324"/>
      <c r="H97" s="1324"/>
      <c r="I97" s="1324"/>
      <c r="J97" s="1324"/>
      <c r="K97" s="1324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87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87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87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87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87"/>
      <c r="CG97" s="87"/>
      <c r="CH97" s="87"/>
      <c r="CI97" s="87"/>
      <c r="CJ97" s="87"/>
      <c r="CK97" s="87"/>
      <c r="CL97" s="87"/>
      <c r="CM97" s="87"/>
      <c r="CN97" s="87"/>
      <c r="CO97" s="87"/>
      <c r="CP97" s="87"/>
      <c r="CQ97" s="87"/>
      <c r="CR97" s="87"/>
      <c r="CS97" s="87"/>
      <c r="CT97" s="87"/>
      <c r="CU97" s="87"/>
      <c r="CV97" s="87"/>
      <c r="CW97" s="87"/>
      <c r="CX97" s="87"/>
      <c r="CY97" s="87"/>
      <c r="CZ97" s="87"/>
      <c r="DA97" s="87"/>
      <c r="DB97" s="87"/>
      <c r="DC97" s="87"/>
      <c r="DD97" s="87"/>
      <c r="DE97" s="87"/>
      <c r="DF97" s="87"/>
      <c r="DG97" s="87"/>
      <c r="DH97" s="87"/>
      <c r="DI97" s="87"/>
      <c r="DJ97" s="87"/>
      <c r="DK97" s="87"/>
      <c r="DL97" s="87"/>
      <c r="DM97" s="87"/>
      <c r="DN97" s="87"/>
      <c r="DO97" s="87"/>
      <c r="DP97" s="87"/>
      <c r="DQ97" s="87"/>
      <c r="DR97" s="87"/>
      <c r="DS97" s="87"/>
      <c r="DT97" s="87"/>
      <c r="DU97" s="87"/>
      <c r="DV97" s="87"/>
      <c r="DW97" s="87"/>
      <c r="DX97" s="87"/>
      <c r="DY97" s="87"/>
      <c r="DZ97" s="87"/>
      <c r="EA97" s="87"/>
      <c r="EB97" s="87"/>
      <c r="EC97" s="87"/>
      <c r="ED97" s="87"/>
      <c r="EE97" s="87"/>
      <c r="EF97" s="87"/>
      <c r="EG97" s="87"/>
      <c r="EH97" s="87"/>
      <c r="EI97" s="87"/>
      <c r="EJ97" s="87"/>
      <c r="EK97" s="87"/>
      <c r="EL97" s="87"/>
      <c r="EM97" s="87"/>
      <c r="EN97" s="87"/>
      <c r="EO97" s="87"/>
      <c r="EP97" s="87"/>
      <c r="EQ97" s="87"/>
      <c r="ER97" s="87"/>
      <c r="ES97" s="87"/>
      <c r="ET97" s="87"/>
      <c r="EU97" s="87"/>
      <c r="EV97" s="87"/>
      <c r="EW97" s="87"/>
      <c r="EX97" s="87"/>
      <c r="EY97" s="87"/>
      <c r="EZ97" s="87"/>
      <c r="FA97" s="87"/>
      <c r="FB97" s="87"/>
      <c r="FC97" s="87"/>
      <c r="FD97" s="87"/>
      <c r="FE97" s="87"/>
      <c r="FF97" s="87"/>
      <c r="FG97" s="87"/>
      <c r="FH97" s="87"/>
      <c r="FI97" s="87"/>
      <c r="FJ97" s="87"/>
      <c r="FK97" s="87"/>
      <c r="FL97" s="87"/>
      <c r="FM97" s="87"/>
      <c r="FN97" s="87"/>
      <c r="FO97" s="87"/>
      <c r="FP97" s="87"/>
      <c r="FQ97" s="87"/>
      <c r="FR97" s="87"/>
      <c r="FS97" s="87"/>
      <c r="FT97" s="87"/>
      <c r="FU97" s="87"/>
      <c r="FV97" s="87"/>
      <c r="FW97" s="87"/>
      <c r="FX97" s="87"/>
      <c r="FY97" s="87"/>
      <c r="FZ97" s="87"/>
      <c r="GA97" s="87"/>
      <c r="GB97" s="87"/>
      <c r="GC97" s="87"/>
      <c r="GD97" s="87"/>
      <c r="GE97" s="87"/>
      <c r="GF97" s="87"/>
      <c r="GG97" s="87"/>
      <c r="GH97" s="87"/>
      <c r="GI97" s="87"/>
      <c r="GJ97" s="87"/>
      <c r="GK97" s="87"/>
      <c r="GL97" s="87"/>
      <c r="GM97" s="87"/>
      <c r="GN97" s="87"/>
      <c r="GO97" s="87"/>
      <c r="GP97" s="87"/>
      <c r="GQ97" s="87"/>
      <c r="GR97" s="87"/>
      <c r="GS97" s="87"/>
      <c r="GT97" s="87"/>
      <c r="GU97" s="87"/>
      <c r="GV97" s="87"/>
      <c r="GW97" s="87"/>
      <c r="GX97" s="87"/>
      <c r="GY97" s="87"/>
      <c r="GZ97" s="87"/>
      <c r="HA97" s="87"/>
      <c r="HB97" s="87"/>
      <c r="HC97" s="87"/>
      <c r="HD97" s="87"/>
      <c r="HE97" s="87"/>
      <c r="HF97" s="87"/>
      <c r="HG97" s="87"/>
      <c r="HH97" s="87"/>
      <c r="HI97" s="87"/>
      <c r="HJ97" s="87"/>
      <c r="HK97" s="87"/>
      <c r="HL97" s="87"/>
      <c r="HM97" s="87"/>
      <c r="HN97" s="87"/>
      <c r="HO97" s="87"/>
      <c r="HP97" s="87"/>
      <c r="HQ97" s="87"/>
      <c r="HR97" s="87"/>
      <c r="HS97" s="87"/>
      <c r="HT97" s="87"/>
      <c r="HU97" s="87"/>
      <c r="HV97" s="87"/>
      <c r="HW97" s="87"/>
      <c r="HX97" s="87"/>
      <c r="HY97" s="87"/>
      <c r="HZ97" s="87"/>
      <c r="IA97" s="87"/>
      <c r="IB97" s="87"/>
      <c r="IC97" s="87"/>
      <c r="ID97" s="87"/>
      <c r="IE97" s="87"/>
      <c r="IF97" s="87"/>
      <c r="IG97" s="87"/>
      <c r="IH97" s="87"/>
      <c r="II97" s="87"/>
      <c r="IJ97" s="87"/>
      <c r="IK97" s="87"/>
      <c r="IL97" s="87"/>
      <c r="IM97" s="87"/>
      <c r="IN97" s="87"/>
      <c r="IO97" s="87"/>
      <c r="IP97" s="87"/>
      <c r="IQ97" s="87"/>
      <c r="IR97" s="87"/>
      <c r="IS97" s="87"/>
      <c r="IT97" s="87"/>
      <c r="IU97" s="87"/>
      <c r="IV97" s="87"/>
    </row>
    <row r="98" spans="1:256" ht="15" x14ac:dyDescent="0.25">
      <c r="A98" s="1324" t="s">
        <v>65</v>
      </c>
      <c r="B98" s="1324"/>
      <c r="C98" s="1324"/>
      <c r="D98" s="1324"/>
      <c r="E98" s="1324"/>
      <c r="F98" s="1324"/>
      <c r="G98" s="1324"/>
      <c r="H98" s="1324"/>
      <c r="I98" s="1324"/>
      <c r="J98" s="1324"/>
      <c r="K98" s="1324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87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87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87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87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87"/>
      <c r="CG98" s="87"/>
      <c r="CH98" s="87"/>
      <c r="CI98" s="87"/>
      <c r="CJ98" s="87"/>
      <c r="CK98" s="87"/>
      <c r="CL98" s="87"/>
      <c r="CM98" s="87"/>
      <c r="CN98" s="87"/>
      <c r="CO98" s="87"/>
      <c r="CP98" s="87"/>
      <c r="CQ98" s="87"/>
      <c r="CR98" s="87"/>
      <c r="CS98" s="87"/>
      <c r="CT98" s="87"/>
      <c r="CU98" s="87"/>
      <c r="CV98" s="87"/>
      <c r="CW98" s="87"/>
      <c r="CX98" s="87"/>
      <c r="CY98" s="87"/>
      <c r="CZ98" s="87"/>
      <c r="DA98" s="87"/>
      <c r="DB98" s="87"/>
      <c r="DC98" s="87"/>
      <c r="DD98" s="87"/>
      <c r="DE98" s="87"/>
      <c r="DF98" s="87"/>
      <c r="DG98" s="87"/>
      <c r="DH98" s="87"/>
      <c r="DI98" s="87"/>
      <c r="DJ98" s="87"/>
      <c r="DK98" s="87"/>
      <c r="DL98" s="87"/>
      <c r="DM98" s="87"/>
      <c r="DN98" s="87"/>
      <c r="DO98" s="87"/>
      <c r="DP98" s="87"/>
      <c r="DQ98" s="87"/>
      <c r="DR98" s="87"/>
      <c r="DS98" s="87"/>
      <c r="DT98" s="87"/>
      <c r="DU98" s="87"/>
      <c r="DV98" s="87"/>
      <c r="DW98" s="87"/>
      <c r="DX98" s="87"/>
      <c r="DY98" s="87"/>
      <c r="DZ98" s="87"/>
      <c r="EA98" s="87"/>
      <c r="EB98" s="87"/>
      <c r="EC98" s="87"/>
      <c r="ED98" s="87"/>
      <c r="EE98" s="87"/>
      <c r="EF98" s="87"/>
      <c r="EG98" s="87"/>
      <c r="EH98" s="87"/>
      <c r="EI98" s="87"/>
      <c r="EJ98" s="87"/>
      <c r="EK98" s="87"/>
      <c r="EL98" s="87"/>
      <c r="EM98" s="87"/>
      <c r="EN98" s="87"/>
      <c r="EO98" s="87"/>
      <c r="EP98" s="87"/>
      <c r="EQ98" s="87"/>
      <c r="ER98" s="87"/>
      <c r="ES98" s="87"/>
      <c r="ET98" s="87"/>
      <c r="EU98" s="87"/>
      <c r="EV98" s="87"/>
      <c r="EW98" s="87"/>
      <c r="EX98" s="87"/>
      <c r="EY98" s="87"/>
      <c r="EZ98" s="87"/>
      <c r="FA98" s="87"/>
      <c r="FB98" s="87"/>
      <c r="FC98" s="87"/>
      <c r="FD98" s="87"/>
      <c r="FE98" s="87"/>
      <c r="FF98" s="87"/>
      <c r="FG98" s="87"/>
      <c r="FH98" s="87"/>
      <c r="FI98" s="87"/>
      <c r="FJ98" s="87"/>
      <c r="FK98" s="87"/>
      <c r="FL98" s="87"/>
      <c r="FM98" s="87"/>
      <c r="FN98" s="87"/>
      <c r="FO98" s="87"/>
      <c r="FP98" s="87"/>
      <c r="FQ98" s="87"/>
      <c r="FR98" s="87"/>
      <c r="FS98" s="87"/>
      <c r="FT98" s="87"/>
      <c r="FU98" s="87"/>
      <c r="FV98" s="87"/>
      <c r="FW98" s="87"/>
      <c r="FX98" s="87"/>
      <c r="FY98" s="87"/>
      <c r="FZ98" s="87"/>
      <c r="GA98" s="87"/>
      <c r="GB98" s="87"/>
      <c r="GC98" s="87"/>
      <c r="GD98" s="87"/>
      <c r="GE98" s="87"/>
      <c r="GF98" s="87"/>
      <c r="GG98" s="87"/>
      <c r="GH98" s="87"/>
      <c r="GI98" s="87"/>
      <c r="GJ98" s="87"/>
      <c r="GK98" s="87"/>
      <c r="GL98" s="87"/>
      <c r="GM98" s="87"/>
      <c r="GN98" s="87"/>
      <c r="GO98" s="87"/>
      <c r="GP98" s="87"/>
      <c r="GQ98" s="87"/>
      <c r="GR98" s="87"/>
      <c r="GS98" s="87"/>
      <c r="GT98" s="87"/>
      <c r="GU98" s="87"/>
      <c r="GV98" s="87"/>
      <c r="GW98" s="87"/>
      <c r="GX98" s="87"/>
      <c r="GY98" s="87"/>
      <c r="GZ98" s="87"/>
      <c r="HA98" s="87"/>
      <c r="HB98" s="87"/>
      <c r="HC98" s="87"/>
      <c r="HD98" s="87"/>
      <c r="HE98" s="87"/>
      <c r="HF98" s="87"/>
      <c r="HG98" s="87"/>
      <c r="HH98" s="87"/>
      <c r="HI98" s="87"/>
      <c r="HJ98" s="87"/>
      <c r="HK98" s="87"/>
      <c r="HL98" s="87"/>
      <c r="HM98" s="87"/>
      <c r="HN98" s="87"/>
      <c r="HO98" s="87"/>
      <c r="HP98" s="87"/>
      <c r="HQ98" s="87"/>
      <c r="HR98" s="87"/>
      <c r="HS98" s="87"/>
      <c r="HT98" s="87"/>
      <c r="HU98" s="87"/>
      <c r="HV98" s="87"/>
      <c r="HW98" s="87"/>
      <c r="HX98" s="87"/>
      <c r="HY98" s="87"/>
      <c r="HZ98" s="87"/>
      <c r="IA98" s="87"/>
      <c r="IB98" s="87"/>
      <c r="IC98" s="87"/>
      <c r="ID98" s="87"/>
      <c r="IE98" s="87"/>
      <c r="IF98" s="87"/>
      <c r="IG98" s="87"/>
      <c r="IH98" s="87"/>
      <c r="II98" s="87"/>
      <c r="IJ98" s="87"/>
      <c r="IK98" s="87"/>
      <c r="IL98" s="87"/>
      <c r="IM98" s="87"/>
      <c r="IN98" s="87"/>
      <c r="IO98" s="87"/>
      <c r="IP98" s="87"/>
      <c r="IQ98" s="87"/>
      <c r="IR98" s="87"/>
      <c r="IS98" s="87"/>
      <c r="IT98" s="87"/>
      <c r="IU98" s="87"/>
      <c r="IV98" s="87"/>
    </row>
    <row r="99" spans="1:256" ht="15" x14ac:dyDescent="0.25">
      <c r="A99" s="1324"/>
      <c r="B99" s="1324"/>
      <c r="C99" s="1324"/>
      <c r="D99" s="1324"/>
      <c r="E99" s="1324"/>
      <c r="F99" s="1324"/>
      <c r="G99" s="1324"/>
      <c r="H99" s="1324"/>
      <c r="I99" s="1324"/>
      <c r="J99" s="1324"/>
      <c r="K99" s="1324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87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87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87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87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87"/>
      <c r="CG99" s="87"/>
      <c r="CH99" s="87"/>
      <c r="CI99" s="87"/>
      <c r="CJ99" s="87"/>
      <c r="CK99" s="87"/>
      <c r="CL99" s="87"/>
      <c r="CM99" s="87"/>
      <c r="CN99" s="87"/>
      <c r="CO99" s="87"/>
      <c r="CP99" s="87"/>
      <c r="CQ99" s="87"/>
      <c r="CR99" s="87"/>
      <c r="CS99" s="87"/>
      <c r="CT99" s="87"/>
      <c r="CU99" s="87"/>
      <c r="CV99" s="87"/>
      <c r="CW99" s="87"/>
      <c r="CX99" s="87"/>
      <c r="CY99" s="87"/>
      <c r="CZ99" s="87"/>
      <c r="DA99" s="87"/>
      <c r="DB99" s="87"/>
      <c r="DC99" s="87"/>
      <c r="DD99" s="87"/>
      <c r="DE99" s="87"/>
      <c r="DF99" s="87"/>
      <c r="DG99" s="87"/>
      <c r="DH99" s="87"/>
      <c r="DI99" s="87"/>
      <c r="DJ99" s="87"/>
      <c r="DK99" s="87"/>
      <c r="DL99" s="87"/>
      <c r="DM99" s="87"/>
      <c r="DN99" s="87"/>
      <c r="DO99" s="87"/>
      <c r="DP99" s="87"/>
      <c r="DQ99" s="87"/>
      <c r="DR99" s="87"/>
      <c r="DS99" s="87"/>
      <c r="DT99" s="87"/>
      <c r="DU99" s="87"/>
      <c r="DV99" s="87"/>
      <c r="DW99" s="87"/>
      <c r="DX99" s="87"/>
      <c r="DY99" s="87"/>
      <c r="DZ99" s="87"/>
      <c r="EA99" s="87"/>
      <c r="EB99" s="87"/>
      <c r="EC99" s="87"/>
      <c r="ED99" s="87"/>
      <c r="EE99" s="87"/>
      <c r="EF99" s="87"/>
      <c r="EG99" s="87"/>
      <c r="EH99" s="87"/>
      <c r="EI99" s="87"/>
      <c r="EJ99" s="87"/>
      <c r="EK99" s="87"/>
      <c r="EL99" s="87"/>
      <c r="EM99" s="87"/>
      <c r="EN99" s="87"/>
      <c r="EO99" s="87"/>
      <c r="EP99" s="87"/>
      <c r="EQ99" s="87"/>
      <c r="ER99" s="87"/>
      <c r="ES99" s="87"/>
      <c r="ET99" s="87"/>
      <c r="EU99" s="87"/>
      <c r="EV99" s="87"/>
      <c r="EW99" s="87"/>
      <c r="EX99" s="87"/>
      <c r="EY99" s="87"/>
      <c r="EZ99" s="87"/>
      <c r="FA99" s="87"/>
      <c r="FB99" s="87"/>
      <c r="FC99" s="87"/>
      <c r="FD99" s="87"/>
      <c r="FE99" s="87"/>
      <c r="FF99" s="87"/>
      <c r="FG99" s="87"/>
      <c r="FH99" s="87"/>
      <c r="FI99" s="87"/>
      <c r="FJ99" s="87"/>
      <c r="FK99" s="87"/>
      <c r="FL99" s="87"/>
      <c r="FM99" s="87"/>
      <c r="FN99" s="87"/>
      <c r="FO99" s="87"/>
      <c r="FP99" s="87"/>
      <c r="FQ99" s="87"/>
      <c r="FR99" s="87"/>
      <c r="FS99" s="87"/>
      <c r="FT99" s="87"/>
      <c r="FU99" s="87"/>
      <c r="FV99" s="87"/>
      <c r="FW99" s="87"/>
      <c r="FX99" s="87"/>
      <c r="FY99" s="87"/>
      <c r="FZ99" s="87"/>
      <c r="GA99" s="87"/>
      <c r="GB99" s="87"/>
      <c r="GC99" s="87"/>
      <c r="GD99" s="87"/>
      <c r="GE99" s="87"/>
      <c r="GF99" s="87"/>
      <c r="GG99" s="87"/>
      <c r="GH99" s="87"/>
      <c r="GI99" s="87"/>
      <c r="GJ99" s="87"/>
      <c r="GK99" s="87"/>
      <c r="GL99" s="87"/>
      <c r="GM99" s="87"/>
      <c r="GN99" s="87"/>
      <c r="GO99" s="87"/>
      <c r="GP99" s="87"/>
      <c r="GQ99" s="87"/>
      <c r="GR99" s="87"/>
      <c r="GS99" s="87"/>
      <c r="GT99" s="87"/>
      <c r="GU99" s="87"/>
      <c r="GV99" s="87"/>
      <c r="GW99" s="87"/>
      <c r="GX99" s="87"/>
      <c r="GY99" s="87"/>
      <c r="GZ99" s="87"/>
      <c r="HA99" s="87"/>
      <c r="HB99" s="87"/>
      <c r="HC99" s="87"/>
      <c r="HD99" s="87"/>
      <c r="HE99" s="87"/>
      <c r="HF99" s="87"/>
      <c r="HG99" s="87"/>
      <c r="HH99" s="87"/>
      <c r="HI99" s="87"/>
      <c r="HJ99" s="87"/>
      <c r="HK99" s="87"/>
      <c r="HL99" s="87"/>
      <c r="HM99" s="87"/>
      <c r="HN99" s="87"/>
      <c r="HO99" s="87"/>
      <c r="HP99" s="87"/>
      <c r="HQ99" s="87"/>
      <c r="HR99" s="87"/>
      <c r="HS99" s="87"/>
      <c r="HT99" s="87"/>
      <c r="HU99" s="87"/>
      <c r="HV99" s="87"/>
      <c r="HW99" s="87"/>
      <c r="HX99" s="87"/>
      <c r="HY99" s="87"/>
      <c r="HZ99" s="87"/>
      <c r="IA99" s="87"/>
      <c r="IB99" s="87"/>
      <c r="IC99" s="87"/>
      <c r="ID99" s="87"/>
      <c r="IE99" s="87"/>
      <c r="IF99" s="87"/>
      <c r="IG99" s="87"/>
      <c r="IH99" s="87"/>
      <c r="II99" s="87"/>
      <c r="IJ99" s="87"/>
      <c r="IK99" s="87"/>
      <c r="IL99" s="87"/>
      <c r="IM99" s="87"/>
      <c r="IN99" s="87"/>
      <c r="IO99" s="87"/>
      <c r="IP99" s="87"/>
      <c r="IQ99" s="87"/>
      <c r="IR99" s="87"/>
      <c r="IS99" s="87"/>
      <c r="IT99" s="87"/>
      <c r="IU99" s="87"/>
      <c r="IV99" s="87"/>
    </row>
    <row r="100" spans="1:256" ht="15" x14ac:dyDescent="0.25">
      <c r="A100" s="87"/>
      <c r="B100" s="87"/>
      <c r="C100" s="87"/>
      <c r="D100" s="87"/>
      <c r="E100" s="87"/>
      <c r="F100" s="87"/>
      <c r="G100" s="87"/>
      <c r="H100" s="87"/>
      <c r="I100" s="87"/>
    </row>
    <row r="101" spans="1:256" ht="15" x14ac:dyDescent="0.25">
      <c r="A101" s="106" t="s">
        <v>82</v>
      </c>
      <c r="B101" s="87"/>
      <c r="C101" s="87"/>
      <c r="D101" s="87"/>
      <c r="E101" s="87"/>
      <c r="F101" s="87"/>
      <c r="G101" s="87"/>
      <c r="H101" s="87"/>
      <c r="I101" s="87"/>
    </row>
    <row r="102" spans="1:256" ht="15" x14ac:dyDescent="0.25">
      <c r="A102" s="87" t="s">
        <v>71</v>
      </c>
      <c r="B102" s="87"/>
      <c r="C102" s="87"/>
      <c r="D102" s="87"/>
      <c r="E102" s="87"/>
      <c r="F102" s="87"/>
      <c r="G102" s="87"/>
      <c r="H102" s="87"/>
      <c r="I102" s="87"/>
    </row>
    <row r="103" spans="1:256" ht="15" x14ac:dyDescent="0.25">
      <c r="A103" s="87" t="s">
        <v>83</v>
      </c>
      <c r="B103" s="87"/>
      <c r="C103" s="87"/>
      <c r="D103" s="87"/>
      <c r="E103" s="87"/>
      <c r="F103" s="87"/>
      <c r="G103" s="87"/>
      <c r="H103" s="87"/>
      <c r="I103" s="87"/>
    </row>
    <row r="104" spans="1:256" ht="15" x14ac:dyDescent="0.25">
      <c r="A104" s="87" t="s">
        <v>84</v>
      </c>
      <c r="B104" s="87"/>
      <c r="C104" s="87"/>
      <c r="D104" s="87"/>
      <c r="E104" s="87"/>
      <c r="F104" s="87"/>
      <c r="G104" s="87"/>
      <c r="H104" s="87"/>
      <c r="I104" s="87"/>
    </row>
    <row r="105" spans="1:256" ht="15" x14ac:dyDescent="0.25">
      <c r="A105" s="87" t="s">
        <v>76</v>
      </c>
      <c r="B105" s="87"/>
      <c r="C105" s="87"/>
      <c r="D105" s="87"/>
      <c r="E105" s="87"/>
      <c r="F105" s="87"/>
      <c r="G105" s="87"/>
      <c r="H105" s="87"/>
      <c r="I105" s="87"/>
    </row>
    <row r="106" spans="1:256" ht="15" x14ac:dyDescent="0.25">
      <c r="A106" s="87"/>
      <c r="B106" s="87" t="s">
        <v>77</v>
      </c>
      <c r="C106" s="87"/>
      <c r="D106" s="87"/>
      <c r="E106" s="87"/>
      <c r="F106" s="87"/>
      <c r="G106" s="87"/>
      <c r="H106" s="87"/>
      <c r="I106" s="87"/>
    </row>
    <row r="107" spans="1:256" ht="15" x14ac:dyDescent="0.25">
      <c r="A107" s="87"/>
      <c r="B107" s="87" t="s">
        <v>78</v>
      </c>
      <c r="C107" s="87"/>
      <c r="D107" s="87"/>
      <c r="E107" s="87"/>
      <c r="F107" s="87"/>
      <c r="G107" s="87"/>
      <c r="H107" s="87"/>
      <c r="I107" s="87"/>
    </row>
    <row r="108" spans="1:256" ht="15" x14ac:dyDescent="0.25">
      <c r="A108" s="87" t="s">
        <v>85</v>
      </c>
      <c r="B108" s="87"/>
      <c r="C108" s="87"/>
      <c r="D108" s="87"/>
      <c r="E108" s="87"/>
      <c r="F108" s="87"/>
      <c r="G108" s="87"/>
      <c r="H108" s="87"/>
      <c r="I108" s="87"/>
    </row>
    <row r="109" spans="1:256" x14ac:dyDescent="0.2">
      <c r="A109" s="1325" t="s">
        <v>86</v>
      </c>
      <c r="B109" s="1326"/>
      <c r="C109" s="1326"/>
      <c r="D109" s="1326"/>
      <c r="E109" s="1326"/>
      <c r="F109" s="1326"/>
      <c r="G109" s="1326"/>
      <c r="H109" s="1326"/>
      <c r="I109" s="1326"/>
      <c r="J109" s="1326"/>
      <c r="K109" s="1326"/>
    </row>
    <row r="110" spans="1:256" ht="14.25" x14ac:dyDescent="0.2">
      <c r="A110" s="1325"/>
      <c r="B110" s="1325"/>
      <c r="C110" s="1325"/>
      <c r="D110" s="1325"/>
      <c r="E110" s="1325"/>
      <c r="F110" s="1325"/>
      <c r="G110" s="1325"/>
      <c r="H110" s="1325"/>
      <c r="I110" s="1325"/>
      <c r="J110" s="1325"/>
      <c r="K110" s="1325"/>
    </row>
  </sheetData>
  <mergeCells count="32">
    <mergeCell ref="A109:K109"/>
    <mergeCell ref="G3:K3"/>
    <mergeCell ref="G5:K5"/>
    <mergeCell ref="G6:K6"/>
    <mergeCell ref="G8:K8"/>
    <mergeCell ref="A18:I18"/>
    <mergeCell ref="A19:I19"/>
    <mergeCell ref="G22:H22"/>
    <mergeCell ref="C23:F23"/>
    <mergeCell ref="A49:I49"/>
    <mergeCell ref="A64:I64"/>
    <mergeCell ref="B52:K52"/>
    <mergeCell ref="B54:K54"/>
    <mergeCell ref="B55:K55"/>
    <mergeCell ref="B56:K56"/>
    <mergeCell ref="B57:K57"/>
    <mergeCell ref="A69:K69"/>
    <mergeCell ref="A67:K67"/>
    <mergeCell ref="A110:K110"/>
    <mergeCell ref="A97:K97"/>
    <mergeCell ref="A70:K70"/>
    <mergeCell ref="A71:K71"/>
    <mergeCell ref="A73:K73"/>
    <mergeCell ref="A74:K74"/>
    <mergeCell ref="A76:K76"/>
    <mergeCell ref="A77:K77"/>
    <mergeCell ref="A90:I90"/>
    <mergeCell ref="A93:K93"/>
    <mergeCell ref="A95:K95"/>
    <mergeCell ref="A96:K96"/>
    <mergeCell ref="A98:K98"/>
    <mergeCell ref="A99:K99"/>
  </mergeCells>
  <printOptions horizontalCentered="1"/>
  <pageMargins left="0.25" right="0.25" top="0.75" bottom="0.75" header="0.3" footer="0.3"/>
  <pageSetup paperSize="9" scale="92" orientation="portrait" r:id="rId1"/>
  <headerFooter alignWithMargins="0"/>
  <rowBreaks count="1" manualBreakCount="1">
    <brk id="45" max="16383" man="1"/>
  </rowBreaks>
  <colBreaks count="1" manualBreakCount="1">
    <brk id="11" max="1048575" man="1"/>
  </colBreaks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7030A0"/>
    <pageSetUpPr fitToPage="1"/>
  </sheetPr>
  <dimension ref="A1:CD155"/>
  <sheetViews>
    <sheetView showZeros="0" zoomScale="70" zoomScaleNormal="70" zoomScaleSheetLayoutView="100" workbookViewId="0">
      <pane xSplit="3" ySplit="17" topLeftCell="G66" activePane="bottomRight" state="frozen"/>
      <selection pane="topRight" activeCell="D1" sqref="D1"/>
      <selection pane="bottomLeft" activeCell="A10" sqref="A10"/>
      <selection pane="bottomRight" activeCell="N70" sqref="N70"/>
    </sheetView>
  </sheetViews>
  <sheetFormatPr defaultColWidth="9.140625" defaultRowHeight="18.75" x14ac:dyDescent="0.3"/>
  <cols>
    <col min="1" max="1" width="45" style="117" customWidth="1"/>
    <col min="2" max="2" width="9" style="117" customWidth="1"/>
    <col min="3" max="3" width="17.85546875" style="124" customWidth="1"/>
    <col min="4" max="5" width="18.42578125" style="117" customWidth="1"/>
    <col min="6" max="6" width="24.28515625" style="117" customWidth="1"/>
    <col min="7" max="8" width="18.85546875" style="155" customWidth="1"/>
    <col min="9" max="9" width="23.5703125" style="155" customWidth="1"/>
    <col min="10" max="12" width="18.85546875" style="155" customWidth="1"/>
    <col min="13" max="21" width="18.28515625" style="155" customWidth="1"/>
    <col min="22" max="22" width="20.28515625" style="152" customWidth="1"/>
    <col min="23" max="24" width="24.140625" style="152" customWidth="1"/>
    <col min="25" max="40" width="20.28515625" style="152" customWidth="1"/>
    <col min="41" max="41" width="16.7109375" style="117" customWidth="1"/>
    <col min="42" max="42" width="16.7109375" style="125" customWidth="1"/>
    <col min="43" max="43" width="18.7109375" style="125" customWidth="1"/>
    <col min="44" max="44" width="23.5703125" style="125" customWidth="1"/>
    <col min="45" max="45" width="21.28515625" style="125" customWidth="1"/>
    <col min="46" max="51" width="17.5703125" style="117" customWidth="1"/>
    <col min="52" max="55" width="18" style="117" customWidth="1"/>
    <col min="56" max="56" width="9.5703125" style="117" hidden="1" customWidth="1"/>
    <col min="57" max="57" width="22.42578125" style="117" hidden="1" customWidth="1"/>
    <col min="58" max="58" width="17.140625" style="117" hidden="1" customWidth="1"/>
    <col min="59" max="59" width="15.140625" style="117" hidden="1" customWidth="1"/>
    <col min="60" max="60" width="18.140625" style="117" hidden="1" customWidth="1"/>
    <col min="61" max="61" width="18.85546875" style="117" hidden="1" customWidth="1"/>
    <col min="62" max="62" width="19.85546875" style="117" hidden="1" customWidth="1"/>
    <col min="63" max="63" width="15.140625" style="117" hidden="1" customWidth="1"/>
    <col min="64" max="64" width="22.85546875" style="117" hidden="1" customWidth="1"/>
    <col min="65" max="65" width="20.28515625" style="117" hidden="1" customWidth="1"/>
    <col min="66" max="67" width="21" style="117" hidden="1" customWidth="1"/>
    <col min="68" max="69" width="15.140625" style="117" hidden="1" customWidth="1"/>
    <col min="70" max="72" width="22" style="531" hidden="1" customWidth="1"/>
    <col min="73" max="73" width="21.140625" style="531" hidden="1" customWidth="1"/>
    <col min="74" max="74" width="21.140625" style="602" hidden="1" customWidth="1"/>
    <col min="75" max="75" width="20" style="117" hidden="1" customWidth="1"/>
    <col min="76" max="76" width="18" style="117" hidden="1" customWidth="1"/>
    <col min="77" max="77" width="21.7109375" style="117" hidden="1" customWidth="1"/>
    <col min="78" max="78" width="14.42578125" style="117" hidden="1" customWidth="1"/>
    <col min="79" max="79" width="13.5703125" style="117" hidden="1" customWidth="1"/>
    <col min="80" max="80" width="15" style="117" hidden="1" customWidth="1"/>
    <col min="81" max="82" width="9.140625" style="117" hidden="1" customWidth="1"/>
    <col min="83" max="16384" width="9.140625" style="117"/>
  </cols>
  <sheetData>
    <row r="1" spans="1:77" x14ac:dyDescent="0.3">
      <c r="A1" s="123" t="s">
        <v>131</v>
      </c>
      <c r="G1" s="117"/>
      <c r="H1" s="117">
        <v>307066119.22016066</v>
      </c>
      <c r="I1" s="111">
        <f>H22-H1</f>
        <v>-19.224745869636536</v>
      </c>
      <c r="J1" s="117"/>
      <c r="K1" s="117"/>
      <c r="L1" s="111">
        <f>K22+N22+Q22+T22</f>
        <v>307066099.99541479</v>
      </c>
      <c r="M1" s="117"/>
      <c r="N1" s="111">
        <f>N18+Q18+T18</f>
        <v>160399260.04041484</v>
      </c>
      <c r="O1" s="117">
        <f>N1/55150</f>
        <v>2908.4181330990905</v>
      </c>
      <c r="P1" s="115">
        <v>2687.8769000000002</v>
      </c>
      <c r="Q1" s="115">
        <f>2908.41813309909-Q2</f>
        <v>2810.7849000029137</v>
      </c>
      <c r="R1" s="115">
        <v>55150</v>
      </c>
      <c r="S1" s="117">
        <f>41150*Q10</f>
        <v>119681406.17702757</v>
      </c>
      <c r="T1" s="117"/>
      <c r="U1" s="117"/>
      <c r="V1" s="111"/>
      <c r="W1" s="111"/>
      <c r="X1" s="111"/>
      <c r="Y1" s="111"/>
      <c r="Z1" s="111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</row>
    <row r="2" spans="1:77" x14ac:dyDescent="0.3">
      <c r="A2" s="123"/>
      <c r="G2" s="117"/>
      <c r="H2" s="117"/>
      <c r="I2" s="111"/>
      <c r="J2" s="117"/>
      <c r="K2" s="117"/>
      <c r="L2" s="111"/>
      <c r="M2" s="117"/>
      <c r="N2" s="111"/>
      <c r="O2" s="117"/>
      <c r="P2" s="115"/>
      <c r="Q2" s="115">
        <v>97.633233096176497</v>
      </c>
      <c r="R2" s="115"/>
      <c r="S2" s="117"/>
      <c r="T2" s="117"/>
      <c r="U2" s="117"/>
      <c r="V2" s="111"/>
      <c r="W2" s="111"/>
      <c r="X2" s="111"/>
      <c r="Y2" s="111"/>
      <c r="Z2" s="111"/>
      <c r="AA2" s="117"/>
      <c r="AB2" s="117"/>
      <c r="AC2" s="117"/>
      <c r="AD2" s="117"/>
      <c r="AE2" s="117"/>
      <c r="AF2" s="117"/>
      <c r="AG2" s="117"/>
      <c r="AH2" s="117"/>
      <c r="AI2" s="117"/>
      <c r="AJ2" s="117">
        <v>6484832.3303290457</v>
      </c>
      <c r="AK2" s="117"/>
      <c r="AL2" s="117"/>
      <c r="AM2" s="117"/>
      <c r="AN2" s="117"/>
      <c r="BC2" s="117">
        <v>12585632.873636365</v>
      </c>
    </row>
    <row r="3" spans="1:77" x14ac:dyDescent="0.3">
      <c r="A3" s="126" t="s">
        <v>132</v>
      </c>
      <c r="E3" s="111">
        <f>'ПФХД 2019 с разбивкой  (4)'!E11</f>
        <v>2885172104.5799999</v>
      </c>
      <c r="F3" s="135">
        <v>88396500</v>
      </c>
      <c r="G3" s="111">
        <f>F21-I21</f>
        <v>15152790.090000093</v>
      </c>
      <c r="H3" s="117">
        <f>H22/55150</f>
        <v>5567.8349953837678</v>
      </c>
      <c r="I3" s="117">
        <v>307066119.2202</v>
      </c>
      <c r="J3" s="111">
        <f>I3-H18</f>
        <v>19.224785208702087</v>
      </c>
      <c r="K3" s="117">
        <v>88396500</v>
      </c>
      <c r="L3" s="115">
        <f>L1/55150</f>
        <v>5567.8349953837678</v>
      </c>
      <c r="M3" s="117">
        <f>(N22+Q22+T22)/55150</f>
        <v>2908.4181330990905</v>
      </c>
      <c r="N3" s="117">
        <v>42348127.649999999</v>
      </c>
      <c r="O3" s="111">
        <f>N33-N3</f>
        <v>12026743.620000005</v>
      </c>
      <c r="P3" s="117"/>
      <c r="Q3" s="117">
        <f>Q18/12000</f>
        <v>2908.4181330990905</v>
      </c>
      <c r="R3" s="117"/>
      <c r="S3" s="117"/>
      <c r="T3" s="117">
        <f>T30/2000</f>
        <v>2908.4181330990896</v>
      </c>
      <c r="U3" s="117"/>
      <c r="V3" s="111"/>
      <c r="W3" s="111"/>
      <c r="X3" s="111"/>
      <c r="Y3" s="111"/>
      <c r="Z3" s="111"/>
      <c r="AA3" s="117"/>
      <c r="AB3" s="117"/>
      <c r="AC3" s="117"/>
      <c r="AD3" s="117"/>
      <c r="AE3" s="117"/>
      <c r="AF3" s="117"/>
      <c r="AG3" s="117"/>
      <c r="AH3" s="117"/>
      <c r="AI3" s="117"/>
      <c r="AJ3" s="117">
        <v>1958419.3637593717</v>
      </c>
      <c r="AK3" s="117"/>
      <c r="AL3" s="117"/>
      <c r="AM3" s="117"/>
      <c r="AN3" s="117"/>
      <c r="BC3" s="111">
        <f>BC2-BB18</f>
        <v>3.6363638937473297E-3</v>
      </c>
      <c r="BE3" s="127" t="s">
        <v>240</v>
      </c>
      <c r="BF3" s="127" t="s">
        <v>241</v>
      </c>
    </row>
    <row r="4" spans="1:77" s="1286" customFormat="1" x14ac:dyDescent="0.3">
      <c r="A4" s="1285"/>
      <c r="C4" s="1287"/>
      <c r="E4" s="1288"/>
      <c r="F4" s="1289"/>
      <c r="G4" s="1288"/>
      <c r="J4" s="1288"/>
      <c r="L4" s="1290"/>
      <c r="O4" s="1288"/>
      <c r="V4" s="1288"/>
      <c r="W4" s="1288"/>
      <c r="X4" s="1288"/>
      <c r="Y4" s="1288"/>
      <c r="Z4" s="1288"/>
      <c r="AP4" s="1291"/>
      <c r="AQ4" s="1291"/>
      <c r="AR4" s="1291"/>
      <c r="AS4" s="1291"/>
      <c r="BC4" s="1288"/>
      <c r="BE4" s="1292"/>
      <c r="BF4" s="1292"/>
      <c r="BR4" s="1293"/>
      <c r="BS4" s="1293"/>
      <c r="BT4" s="1293"/>
      <c r="BU4" s="1293"/>
      <c r="BV4" s="1294"/>
    </row>
    <row r="5" spans="1:77" s="1286" customFormat="1" x14ac:dyDescent="0.3">
      <c r="A5" s="1285"/>
      <c r="C5" s="1287"/>
      <c r="E5" s="1288"/>
      <c r="F5" s="1289"/>
      <c r="G5" s="1288"/>
      <c r="J5" s="1288"/>
      <c r="L5" s="1290"/>
      <c r="O5" s="1288"/>
      <c r="V5" s="1288"/>
      <c r="W5" s="1288"/>
      <c r="X5" s="1288"/>
      <c r="Y5" s="1288"/>
      <c r="Z5" s="1288"/>
      <c r="AP5" s="1291"/>
      <c r="AQ5" s="1291"/>
      <c r="AR5" s="1291"/>
      <c r="AS5" s="1291"/>
      <c r="BC5" s="1288"/>
      <c r="BE5" s="1292"/>
      <c r="BF5" s="1292"/>
      <c r="BR5" s="1293"/>
      <c r="BS5" s="1293"/>
      <c r="BT5" s="1293"/>
      <c r="BU5" s="1293"/>
      <c r="BV5" s="1294"/>
    </row>
    <row r="6" spans="1:77" s="1286" customFormat="1" x14ac:dyDescent="0.3">
      <c r="A6" s="1285"/>
      <c r="C6" s="1287"/>
      <c r="E6" s="1288"/>
      <c r="F6" s="1289"/>
      <c r="G6" s="1288"/>
      <c r="J6" s="1288"/>
      <c r="L6" s="1290"/>
      <c r="O6" s="1288"/>
      <c r="V6" s="1288"/>
      <c r="W6" s="1288"/>
      <c r="X6" s="1288"/>
      <c r="Y6" s="1288"/>
      <c r="Z6" s="1288"/>
      <c r="AP6" s="1291"/>
      <c r="AQ6" s="1291"/>
      <c r="AR6" s="1291"/>
      <c r="AS6" s="1291"/>
      <c r="BC6" s="1288"/>
      <c r="BE6" s="1292"/>
      <c r="BF6" s="1292"/>
      <c r="BR6" s="1293"/>
      <c r="BS6" s="1293"/>
      <c r="BT6" s="1293"/>
      <c r="BU6" s="1293"/>
      <c r="BV6" s="1294"/>
    </row>
    <row r="7" spans="1:77" s="1286" customFormat="1" x14ac:dyDescent="0.3">
      <c r="A7" s="1285"/>
      <c r="C7" s="1287"/>
      <c r="E7" s="1288"/>
      <c r="F7" s="1289"/>
      <c r="G7" s="1288"/>
      <c r="J7" s="1288"/>
      <c r="L7" s="1290"/>
      <c r="O7" s="1288"/>
      <c r="V7" s="1288"/>
      <c r="W7" s="1288"/>
      <c r="X7" s="1288"/>
      <c r="Y7" s="1288"/>
      <c r="Z7" s="1288"/>
      <c r="AP7" s="1291"/>
      <c r="AQ7" s="1291"/>
      <c r="AR7" s="1291"/>
      <c r="AS7" s="1291"/>
      <c r="BC7" s="1288"/>
      <c r="BE7" s="1292"/>
      <c r="BF7" s="1292"/>
      <c r="BR7" s="1293"/>
      <c r="BS7" s="1293"/>
      <c r="BT7" s="1293"/>
      <c r="BU7" s="1293"/>
      <c r="BV7" s="1294"/>
    </row>
    <row r="8" spans="1:77" s="1286" customFormat="1" x14ac:dyDescent="0.3">
      <c r="A8" s="1285"/>
      <c r="C8" s="1287"/>
      <c r="E8" s="1288"/>
      <c r="F8" s="1289"/>
      <c r="G8" s="1288"/>
      <c r="J8" s="1288"/>
      <c r="L8" s="1290"/>
      <c r="O8" s="1288"/>
      <c r="V8" s="1288"/>
      <c r="W8" s="1288"/>
      <c r="X8" s="1288"/>
      <c r="Y8" s="1288"/>
      <c r="Z8" s="1288"/>
      <c r="AP8" s="1291"/>
      <c r="AQ8" s="1291"/>
      <c r="AR8" s="1291"/>
      <c r="AS8" s="1291"/>
      <c r="BC8" s="1288"/>
      <c r="BE8" s="1292"/>
      <c r="BF8" s="1292"/>
      <c r="BR8" s="1293"/>
      <c r="BS8" s="1293"/>
      <c r="BT8" s="1293"/>
      <c r="BU8" s="1293"/>
      <c r="BV8" s="1294"/>
    </row>
    <row r="9" spans="1:77" s="1286" customFormat="1" x14ac:dyDescent="0.3">
      <c r="A9" s="1285"/>
      <c r="C9" s="1287"/>
      <c r="E9" s="1288"/>
      <c r="F9" s="1289"/>
      <c r="G9" s="1288"/>
      <c r="J9" s="1288"/>
      <c r="L9" s="1290"/>
      <c r="O9" s="1288"/>
      <c r="V9" s="1288"/>
      <c r="W9" s="1288"/>
      <c r="X9" s="1288"/>
      <c r="Y9" s="1288"/>
      <c r="Z9" s="1288"/>
      <c r="AP9" s="1291"/>
      <c r="AQ9" s="1291"/>
      <c r="AR9" s="1291"/>
      <c r="AS9" s="1291"/>
      <c r="BC9" s="1288"/>
      <c r="BE9" s="1292"/>
      <c r="BF9" s="1292"/>
      <c r="BR9" s="1293"/>
      <c r="BS9" s="1293"/>
      <c r="BT9" s="1293"/>
      <c r="BU9" s="1293"/>
      <c r="BV9" s="1294"/>
    </row>
    <row r="10" spans="1:77" ht="19.5" thickBot="1" x14ac:dyDescent="0.35">
      <c r="A10" s="126"/>
      <c r="E10" s="111">
        <f>E18-E3</f>
        <v>15466625.525414944</v>
      </c>
      <c r="F10" s="111">
        <f>F18-'ПФХД 2019 с разбивкой  (4)'!F11</f>
        <v>-989533374.46458459</v>
      </c>
      <c r="G10" s="117"/>
      <c r="H10" s="117"/>
      <c r="I10" s="117"/>
      <c r="J10" s="117"/>
      <c r="K10" s="111">
        <f>K3-I22</f>
        <v>4.5852065086364746E-3</v>
      </c>
      <c r="L10" s="117"/>
      <c r="M10" s="117">
        <f>K22/55150</f>
        <v>2659.4168622846778</v>
      </c>
      <c r="N10" s="117">
        <f>N22/41150</f>
        <v>2908.4181330990905</v>
      </c>
      <c r="O10" s="117"/>
      <c r="P10" s="117"/>
      <c r="Q10" s="117">
        <f>Q22/12000</f>
        <v>2908.4181330990905</v>
      </c>
      <c r="R10" s="117"/>
      <c r="S10" s="117"/>
      <c r="T10" s="117">
        <f>T22/2000</f>
        <v>2908.41813309909</v>
      </c>
      <c r="U10" s="117">
        <f>Q10*2000</f>
        <v>5816836.2661981806</v>
      </c>
      <c r="V10" s="111"/>
      <c r="W10" s="111"/>
      <c r="X10" s="111"/>
      <c r="Y10" s="111"/>
      <c r="Z10" s="111"/>
      <c r="AA10" s="117"/>
      <c r="AB10" s="117"/>
      <c r="AC10" s="117"/>
      <c r="AD10" s="117"/>
      <c r="AE10" s="117"/>
      <c r="AF10" s="117"/>
      <c r="AG10" s="117"/>
      <c r="AH10" s="117"/>
      <c r="AI10" s="117"/>
      <c r="AJ10" s="117"/>
      <c r="AK10" s="117"/>
      <c r="AL10" s="117"/>
      <c r="AM10" s="117"/>
      <c r="AN10" s="117"/>
      <c r="BE10" s="1055"/>
      <c r="BF10" s="1055"/>
    </row>
    <row r="11" spans="1:77" ht="19.5" hidden="1" thickBot="1" x14ac:dyDescent="0.35">
      <c r="A11" s="126"/>
      <c r="E11" s="111">
        <f>E30-E18+E83</f>
        <v>419446106.57342517</v>
      </c>
      <c r="F11" s="111"/>
      <c r="G11" s="117"/>
      <c r="H11" s="111">
        <f>'расчет норматив'!J32</f>
        <v>218669599.31117821</v>
      </c>
      <c r="I11" s="111">
        <f>H18-H30</f>
        <v>-21072590.983425558</v>
      </c>
      <c r="J11" s="117"/>
      <c r="K11" s="117"/>
      <c r="L11" s="117"/>
      <c r="M11" s="117"/>
      <c r="N11" s="111">
        <f>'расчет норматив'!Z6+'ПФХД 2019 с разбивк55150 под со'!N82</f>
        <v>73111481.352986082</v>
      </c>
      <c r="O11" s="117"/>
      <c r="P11" s="117"/>
      <c r="Q11" s="117" t="b">
        <f>Q18='расчет норматив'!AA6</f>
        <v>0</v>
      </c>
      <c r="R11" s="117"/>
      <c r="S11" s="117"/>
      <c r="T11" s="117"/>
      <c r="U11" s="117"/>
      <c r="V11" s="111">
        <f>V18-V30</f>
        <v>-388193676.14999962</v>
      </c>
      <c r="W11" s="111">
        <f>V11+V82</f>
        <v>205614792.37</v>
      </c>
      <c r="X11" s="111"/>
      <c r="Y11" s="111"/>
      <c r="Z11" s="111"/>
      <c r="AA11" s="128"/>
      <c r="AB11" s="128"/>
      <c r="AC11" s="117"/>
      <c r="AD11" s="128"/>
      <c r="AE11" s="128"/>
      <c r="AF11" s="117"/>
      <c r="AG11" s="117"/>
      <c r="AH11" s="117"/>
      <c r="AI11" s="117"/>
      <c r="AJ11" s="117"/>
      <c r="AK11" s="117"/>
      <c r="AL11" s="117"/>
      <c r="AM11" s="117"/>
      <c r="AN11" s="117"/>
      <c r="AT11" s="111"/>
      <c r="AU11" s="111"/>
      <c r="AV11" s="111"/>
    </row>
    <row r="12" spans="1:77" ht="19.5" hidden="1" thickBot="1" x14ac:dyDescent="0.35">
      <c r="A12" s="129"/>
      <c r="G12" s="117"/>
      <c r="H12" s="117"/>
      <c r="I12" s="117"/>
      <c r="J12" s="117"/>
      <c r="K12" s="117"/>
      <c r="L12" s="117"/>
      <c r="M12" s="117"/>
      <c r="N12" s="117"/>
      <c r="O12" s="111">
        <f>M18+P18</f>
        <v>113643500</v>
      </c>
      <c r="P12" s="117">
        <f>O12/2906.41</f>
        <v>39100.987128450564</v>
      </c>
      <c r="Q12" s="111">
        <f>N18+Q18</f>
        <v>154582423.77421665</v>
      </c>
      <c r="R12" s="117"/>
      <c r="S12" s="117"/>
      <c r="T12" s="117"/>
      <c r="U12" s="117"/>
      <c r="V12" s="117"/>
      <c r="W12" s="117"/>
      <c r="X12" s="117"/>
      <c r="Y12" s="117"/>
      <c r="Z12" s="117"/>
      <c r="AA12" s="117"/>
      <c r="AB12" s="117"/>
      <c r="AC12" s="117"/>
      <c r="AD12" s="117"/>
      <c r="AE12" s="117"/>
      <c r="AF12" s="117"/>
      <c r="AG12" s="117"/>
      <c r="AH12" s="117"/>
      <c r="AI12" s="117"/>
      <c r="AJ12" s="117"/>
      <c r="AK12" s="117"/>
      <c r="AL12" s="117"/>
      <c r="AM12" s="117"/>
      <c r="AN12" s="117"/>
      <c r="AT12" s="111"/>
      <c r="AU12" s="111"/>
      <c r="AV12" s="111"/>
    </row>
    <row r="13" spans="1:77" ht="19.5" customHeight="1" thickBot="1" x14ac:dyDescent="0.35">
      <c r="A13" s="1453" t="s">
        <v>88</v>
      </c>
      <c r="B13" s="1439" t="s">
        <v>133</v>
      </c>
      <c r="C13" s="1440" t="s">
        <v>134</v>
      </c>
      <c r="D13" s="1460" t="s">
        <v>135</v>
      </c>
      <c r="E13" s="1461"/>
      <c r="F13" s="1461"/>
      <c r="G13" s="1461"/>
      <c r="H13" s="1461"/>
      <c r="I13" s="1461"/>
      <c r="J13" s="1461"/>
      <c r="K13" s="1461"/>
      <c r="L13" s="1461"/>
      <c r="M13" s="1461"/>
      <c r="N13" s="1461"/>
      <c r="O13" s="1461"/>
      <c r="P13" s="1461"/>
      <c r="Q13" s="1461"/>
      <c r="R13" s="1461"/>
      <c r="S13" s="1461"/>
      <c r="T13" s="1461"/>
      <c r="U13" s="1461"/>
      <c r="V13" s="1461"/>
      <c r="W13" s="1461"/>
      <c r="X13" s="1461"/>
      <c r="Y13" s="1461"/>
      <c r="Z13" s="1461"/>
      <c r="AA13" s="1461"/>
      <c r="AB13" s="1461"/>
      <c r="AC13" s="1461"/>
      <c r="AD13" s="1461"/>
      <c r="AE13" s="1461"/>
      <c r="AF13" s="1461"/>
      <c r="AG13" s="1461"/>
      <c r="AH13" s="1461"/>
      <c r="AI13" s="1461"/>
      <c r="AJ13" s="1461"/>
      <c r="AK13" s="1461"/>
      <c r="AL13" s="1461"/>
      <c r="AM13" s="1461"/>
      <c r="AN13" s="1461"/>
      <c r="AO13" s="1461"/>
      <c r="AP13" s="1461"/>
      <c r="AQ13" s="1461"/>
      <c r="AR13" s="1461"/>
      <c r="AS13" s="1461"/>
      <c r="AT13" s="1461"/>
      <c r="AU13" s="1461"/>
      <c r="AV13" s="1461"/>
      <c r="AW13" s="1461"/>
      <c r="AX13" s="1461"/>
      <c r="AY13" s="1461"/>
      <c r="AZ13" s="1461"/>
      <c r="BA13" s="1461"/>
      <c r="BB13" s="1461"/>
      <c r="BC13" s="1462"/>
    </row>
    <row r="14" spans="1:77" ht="15.75" customHeight="1" thickBot="1" x14ac:dyDescent="0.35">
      <c r="A14" s="1454"/>
      <c r="B14" s="1383"/>
      <c r="C14" s="1441"/>
      <c r="D14" s="1506" t="s">
        <v>136</v>
      </c>
      <c r="E14" s="1439" t="s">
        <v>402</v>
      </c>
      <c r="F14" s="1440" t="s">
        <v>395</v>
      </c>
      <c r="G14" s="1460" t="s">
        <v>137</v>
      </c>
      <c r="H14" s="1461"/>
      <c r="I14" s="1461"/>
      <c r="J14" s="1461"/>
      <c r="K14" s="1461"/>
      <c r="L14" s="1461"/>
      <c r="M14" s="1461"/>
      <c r="N14" s="1461"/>
      <c r="O14" s="1461"/>
      <c r="P14" s="1461"/>
      <c r="Q14" s="1461"/>
      <c r="R14" s="1461"/>
      <c r="S14" s="1461"/>
      <c r="T14" s="1461"/>
      <c r="U14" s="1461"/>
      <c r="V14" s="1461"/>
      <c r="W14" s="1461"/>
      <c r="X14" s="1461"/>
      <c r="Y14" s="1461"/>
      <c r="Z14" s="1461"/>
      <c r="AA14" s="1461"/>
      <c r="AB14" s="1461"/>
      <c r="AC14" s="1461"/>
      <c r="AD14" s="1461"/>
      <c r="AE14" s="1461"/>
      <c r="AF14" s="1461"/>
      <c r="AG14" s="1461"/>
      <c r="AH14" s="1461"/>
      <c r="AI14" s="1461"/>
      <c r="AJ14" s="1461"/>
      <c r="AK14" s="1461"/>
      <c r="AL14" s="1461"/>
      <c r="AM14" s="1461"/>
      <c r="AN14" s="1461"/>
      <c r="AO14" s="1461"/>
      <c r="AP14" s="1461"/>
      <c r="AQ14" s="1461"/>
      <c r="AR14" s="1461"/>
      <c r="AS14" s="1461"/>
      <c r="AT14" s="1461"/>
      <c r="AU14" s="1461"/>
      <c r="AV14" s="1461"/>
      <c r="AW14" s="1461"/>
      <c r="AX14" s="1461"/>
      <c r="AY14" s="1461"/>
      <c r="AZ14" s="1461"/>
      <c r="BA14" s="1461"/>
      <c r="BB14" s="1461"/>
      <c r="BC14" s="1462"/>
    </row>
    <row r="15" spans="1:77" ht="96" customHeight="1" thickBot="1" x14ac:dyDescent="0.35">
      <c r="A15" s="1454"/>
      <c r="B15" s="1383"/>
      <c r="C15" s="1441"/>
      <c r="D15" s="1507"/>
      <c r="E15" s="1383"/>
      <c r="F15" s="1441"/>
      <c r="G15" s="1508" t="s">
        <v>138</v>
      </c>
      <c r="H15" s="1510" t="s">
        <v>397</v>
      </c>
      <c r="I15" s="1511" t="s">
        <v>395</v>
      </c>
      <c r="J15" s="1433" t="s">
        <v>363</v>
      </c>
      <c r="K15" s="1433"/>
      <c r="L15" s="1433"/>
      <c r="M15" s="1433"/>
      <c r="N15" s="1433"/>
      <c r="O15" s="1433"/>
      <c r="P15" s="1433"/>
      <c r="Q15" s="1433"/>
      <c r="R15" s="1433"/>
      <c r="S15" s="1254"/>
      <c r="T15" s="1254"/>
      <c r="U15" s="1254"/>
      <c r="V15" s="1429" t="s">
        <v>140</v>
      </c>
      <c r="W15" s="1436" t="s">
        <v>403</v>
      </c>
      <c r="X15" s="1444" t="s">
        <v>395</v>
      </c>
      <c r="Y15" s="1431" t="s">
        <v>360</v>
      </c>
      <c r="Z15" s="1425" t="s">
        <v>359</v>
      </c>
      <c r="AA15" s="1449" t="s">
        <v>405</v>
      </c>
      <c r="AB15" s="1451" t="s">
        <v>395</v>
      </c>
      <c r="AC15" s="1455" t="s">
        <v>253</v>
      </c>
      <c r="AD15" s="1449" t="s">
        <v>965</v>
      </c>
      <c r="AE15" s="1451" t="s">
        <v>966</v>
      </c>
      <c r="AF15" s="1425" t="s">
        <v>142</v>
      </c>
      <c r="AG15" s="1449" t="s">
        <v>404</v>
      </c>
      <c r="AH15" s="1451" t="s">
        <v>395</v>
      </c>
      <c r="AI15" s="1448" t="s">
        <v>488</v>
      </c>
      <c r="AJ15" s="1449" t="s">
        <v>489</v>
      </c>
      <c r="AK15" s="1451" t="s">
        <v>395</v>
      </c>
      <c r="AL15" s="1448" t="s">
        <v>490</v>
      </c>
      <c r="AM15" s="1449" t="s">
        <v>645</v>
      </c>
      <c r="AN15" s="1451" t="s">
        <v>395</v>
      </c>
      <c r="AO15" s="1465" t="s">
        <v>143</v>
      </c>
      <c r="AP15" s="1467" t="s">
        <v>144</v>
      </c>
      <c r="AQ15" s="1457" t="s">
        <v>145</v>
      </c>
      <c r="AR15" s="1458"/>
      <c r="AS15" s="1458"/>
      <c r="AT15" s="1458"/>
      <c r="AU15" s="1458"/>
      <c r="AV15" s="1458"/>
      <c r="AW15" s="1458"/>
      <c r="AX15" s="1458"/>
      <c r="AY15" s="1458"/>
      <c r="AZ15" s="1458"/>
      <c r="BA15" s="1458"/>
      <c r="BB15" s="1458"/>
      <c r="BC15" s="1459"/>
      <c r="BL15" s="1463" t="s">
        <v>506</v>
      </c>
      <c r="BM15" s="1464"/>
      <c r="BN15" s="1463" t="s">
        <v>197</v>
      </c>
      <c r="BO15" s="1464"/>
      <c r="BV15" s="1463" t="s">
        <v>506</v>
      </c>
      <c r="BW15" s="1464"/>
      <c r="BX15" s="1463" t="s">
        <v>197</v>
      </c>
      <c r="BY15" s="1464"/>
    </row>
    <row r="16" spans="1:77" ht="114.75" customHeight="1" x14ac:dyDescent="0.3">
      <c r="A16" s="1454"/>
      <c r="B16" s="1383"/>
      <c r="C16" s="1441"/>
      <c r="D16" s="1507"/>
      <c r="E16" s="1383"/>
      <c r="F16" s="1441"/>
      <c r="G16" s="1509"/>
      <c r="H16" s="1435"/>
      <c r="I16" s="1512"/>
      <c r="J16" s="288" t="s">
        <v>235</v>
      </c>
      <c r="K16" s="289" t="s">
        <v>993</v>
      </c>
      <c r="L16" s="290" t="s">
        <v>395</v>
      </c>
      <c r="M16" s="288" t="s">
        <v>365</v>
      </c>
      <c r="N16" s="289" t="s">
        <v>398</v>
      </c>
      <c r="O16" s="290" t="s">
        <v>395</v>
      </c>
      <c r="P16" s="288" t="s">
        <v>366</v>
      </c>
      <c r="Q16" s="311" t="s">
        <v>399</v>
      </c>
      <c r="R16" s="312" t="s">
        <v>396</v>
      </c>
      <c r="S16" s="288" t="s">
        <v>984</v>
      </c>
      <c r="T16" s="311" t="s">
        <v>992</v>
      </c>
      <c r="U16" s="312" t="s">
        <v>396</v>
      </c>
      <c r="V16" s="1430"/>
      <c r="W16" s="1426"/>
      <c r="X16" s="1445"/>
      <c r="Y16" s="1432"/>
      <c r="Z16" s="1426"/>
      <c r="AA16" s="1450"/>
      <c r="AB16" s="1452"/>
      <c r="AC16" s="1456"/>
      <c r="AD16" s="1450"/>
      <c r="AE16" s="1452"/>
      <c r="AF16" s="1426"/>
      <c r="AG16" s="1450"/>
      <c r="AH16" s="1452"/>
      <c r="AI16" s="1430"/>
      <c r="AJ16" s="1450"/>
      <c r="AK16" s="1452"/>
      <c r="AL16" s="1430"/>
      <c r="AM16" s="1450"/>
      <c r="AN16" s="1452"/>
      <c r="AO16" s="1466"/>
      <c r="AP16" s="1468"/>
      <c r="AQ16" s="329" t="s">
        <v>364</v>
      </c>
      <c r="AR16" s="330" t="s">
        <v>406</v>
      </c>
      <c r="AS16" s="331" t="s">
        <v>395</v>
      </c>
      <c r="AT16" s="329" t="s">
        <v>139</v>
      </c>
      <c r="AU16" s="330" t="s">
        <v>401</v>
      </c>
      <c r="AV16" s="1015" t="s">
        <v>395</v>
      </c>
      <c r="AW16" s="329" t="s">
        <v>146</v>
      </c>
      <c r="AX16" s="330" t="s">
        <v>400</v>
      </c>
      <c r="AY16" s="331" t="s">
        <v>395</v>
      </c>
      <c r="AZ16" s="537" t="s">
        <v>147</v>
      </c>
      <c r="BA16" s="329" t="s">
        <v>915</v>
      </c>
      <c r="BB16" s="330" t="s">
        <v>916</v>
      </c>
      <c r="BC16" s="331" t="s">
        <v>395</v>
      </c>
      <c r="BH16" s="608" t="s">
        <v>507</v>
      </c>
      <c r="BI16" s="627" t="s">
        <v>508</v>
      </c>
      <c r="BJ16" s="627" t="s">
        <v>395</v>
      </c>
      <c r="BK16" s="627" t="s">
        <v>509</v>
      </c>
      <c r="BL16" s="612" t="s">
        <v>505</v>
      </c>
      <c r="BM16" s="613" t="s">
        <v>395</v>
      </c>
      <c r="BN16" s="612" t="s">
        <v>505</v>
      </c>
      <c r="BO16" s="613" t="s">
        <v>395</v>
      </c>
      <c r="BR16" s="608" t="s">
        <v>507</v>
      </c>
      <c r="BS16" s="627" t="s">
        <v>508</v>
      </c>
      <c r="BT16" s="627" t="s">
        <v>395</v>
      </c>
      <c r="BU16" s="627" t="s">
        <v>509</v>
      </c>
      <c r="BV16" s="612" t="s">
        <v>505</v>
      </c>
      <c r="BW16" s="613" t="s">
        <v>395</v>
      </c>
      <c r="BX16" s="612" t="s">
        <v>505</v>
      </c>
      <c r="BY16" s="613" t="s">
        <v>395</v>
      </c>
    </row>
    <row r="17" spans="1:80" x14ac:dyDescent="0.3">
      <c r="A17" s="408">
        <v>1</v>
      </c>
      <c r="B17" s="1251">
        <v>2</v>
      </c>
      <c r="C17" s="1255">
        <v>3</v>
      </c>
      <c r="D17" s="408">
        <v>4</v>
      </c>
      <c r="E17" s="1251"/>
      <c r="F17" s="409"/>
      <c r="G17" s="291">
        <v>5</v>
      </c>
      <c r="H17" s="156"/>
      <c r="I17" s="292"/>
      <c r="J17" s="291"/>
      <c r="K17" s="156"/>
      <c r="L17" s="292"/>
      <c r="M17" s="291"/>
      <c r="N17" s="156"/>
      <c r="O17" s="292"/>
      <c r="P17" s="291"/>
      <c r="Q17" s="282"/>
      <c r="R17" s="313"/>
      <c r="S17" s="291"/>
      <c r="T17" s="282"/>
      <c r="U17" s="313"/>
      <c r="V17" s="275">
        <v>6</v>
      </c>
      <c r="W17" s="306"/>
      <c r="X17" s="371"/>
      <c r="Y17" s="524"/>
      <c r="Z17" s="522"/>
      <c r="AA17" s="385"/>
      <c r="AB17" s="387"/>
      <c r="AC17" s="378"/>
      <c r="AD17" s="385"/>
      <c r="AE17" s="387"/>
      <c r="AF17" s="522"/>
      <c r="AG17" s="385"/>
      <c r="AH17" s="387"/>
      <c r="AI17" s="386"/>
      <c r="AJ17" s="385"/>
      <c r="AK17" s="387"/>
      <c r="AL17" s="386"/>
      <c r="AM17" s="385"/>
      <c r="AN17" s="387"/>
      <c r="AO17" s="421">
        <v>7</v>
      </c>
      <c r="AP17" s="391">
        <v>8</v>
      </c>
      <c r="AQ17" s="403">
        <v>9</v>
      </c>
      <c r="AR17" s="1058"/>
      <c r="AS17" s="404"/>
      <c r="AT17" s="1016"/>
      <c r="AU17" s="350"/>
      <c r="AV17" s="1017"/>
      <c r="AW17" s="332"/>
      <c r="AX17" s="160"/>
      <c r="AY17" s="333"/>
      <c r="AZ17" s="538">
        <v>10</v>
      </c>
      <c r="BA17" s="332"/>
      <c r="BB17" s="160"/>
      <c r="BC17" s="333"/>
      <c r="BL17" s="612"/>
      <c r="BM17" s="614"/>
      <c r="BN17" s="625"/>
      <c r="BO17" s="614"/>
      <c r="BV17" s="612"/>
      <c r="BW17" s="614"/>
      <c r="BX17" s="625"/>
      <c r="BY17" s="614"/>
    </row>
    <row r="18" spans="1:80" s="115" customFormat="1" x14ac:dyDescent="0.3">
      <c r="A18" s="435" t="s">
        <v>148</v>
      </c>
      <c r="B18" s="1252">
        <v>100</v>
      </c>
      <c r="C18" s="436" t="s">
        <v>149</v>
      </c>
      <c r="D18" s="1274">
        <f>D21+D27+D28</f>
        <v>2885172104.5699997</v>
      </c>
      <c r="E18" s="59">
        <f>H18+W18+AR18+AP18</f>
        <v>2900638730.1054149</v>
      </c>
      <c r="F18" s="410">
        <f>E18-D18</f>
        <v>15466625.535415173</v>
      </c>
      <c r="G18" s="293">
        <f>SUM(G21)</f>
        <v>218669600</v>
      </c>
      <c r="H18" s="157">
        <f>H21</f>
        <v>307066099.99541479</v>
      </c>
      <c r="I18" s="294">
        <f>H18-G18</f>
        <v>88396499.995414793</v>
      </c>
      <c r="J18" s="293">
        <f>SUM(J21)</f>
        <v>105026100</v>
      </c>
      <c r="K18" s="283">
        <f>SUM(K21)</f>
        <v>146666839.95499998</v>
      </c>
      <c r="L18" s="294">
        <f>K18-J18</f>
        <v>41640739.954999983</v>
      </c>
      <c r="M18" s="293">
        <f>M21</f>
        <v>68563030.900000006</v>
      </c>
      <c r="N18" s="157">
        <f>N21</f>
        <v>119681406.17702757</v>
      </c>
      <c r="O18" s="294">
        <f>N18-M18</f>
        <v>51118375.277027562</v>
      </c>
      <c r="P18" s="293">
        <f>SUM(P21)</f>
        <v>45080469.100000001</v>
      </c>
      <c r="Q18" s="283">
        <f>SUM(Q21)</f>
        <v>34901017.597189084</v>
      </c>
      <c r="R18" s="314">
        <f>Q18-P18</f>
        <v>-10179451.502810918</v>
      </c>
      <c r="S18" s="293"/>
      <c r="T18" s="283">
        <f>SUM(T21)</f>
        <v>5816836.2661981797</v>
      </c>
      <c r="U18" s="314"/>
      <c r="V18" s="276">
        <f>V27</f>
        <v>2275135000</v>
      </c>
      <c r="W18" s="307">
        <f>W27</f>
        <v>2186738500</v>
      </c>
      <c r="X18" s="372">
        <f>W18-V18</f>
        <v>-88396500</v>
      </c>
      <c r="Y18" s="525">
        <f t="shared" ref="Y18:AM18" si="0">Y27</f>
        <v>0</v>
      </c>
      <c r="Z18" s="307">
        <f>Z27</f>
        <v>2221891000</v>
      </c>
      <c r="AA18" s="153">
        <f>AA27</f>
        <v>2133494500</v>
      </c>
      <c r="AB18" s="357">
        <f>AA18-Z18</f>
        <v>-88396500</v>
      </c>
      <c r="AC18" s="379">
        <f>AC27</f>
        <v>22131000</v>
      </c>
      <c r="AD18" s="153">
        <f>AD27</f>
        <v>22131000</v>
      </c>
      <c r="AE18" s="357">
        <f>AE27</f>
        <v>0</v>
      </c>
      <c r="AF18" s="307">
        <v>6878578.4699999997</v>
      </c>
      <c r="AG18" s="153">
        <f t="shared" si="0"/>
        <v>6878578.4699999997</v>
      </c>
      <c r="AH18" s="357">
        <f>AG18-AF18</f>
        <v>0</v>
      </c>
      <c r="AI18" s="153">
        <v>15071900</v>
      </c>
      <c r="AJ18" s="153">
        <f>AJ27</f>
        <v>15071900</v>
      </c>
      <c r="AK18" s="357">
        <f>AJ18-AI18</f>
        <v>0</v>
      </c>
      <c r="AL18" s="153">
        <v>9162521.5199999996</v>
      </c>
      <c r="AM18" s="153">
        <f t="shared" si="0"/>
        <v>9162521.5299999993</v>
      </c>
      <c r="AN18" s="357">
        <f>AM18-AL18</f>
        <v>9.9999997764825821E-3</v>
      </c>
      <c r="AO18" s="422">
        <v>0</v>
      </c>
      <c r="AP18" s="392">
        <f>AP20+AP21</f>
        <v>1908800</v>
      </c>
      <c r="AQ18" s="334">
        <v>389458704.57999998</v>
      </c>
      <c r="AR18" s="161">
        <f>AU18+AX18+BB18</f>
        <v>404925330.11000001</v>
      </c>
      <c r="AS18" s="335">
        <f>AR18-AQ18</f>
        <v>15466625.530000031</v>
      </c>
      <c r="AT18" s="334">
        <f>AT21+AT28</f>
        <v>321604870.63999999</v>
      </c>
      <c r="AU18" s="161">
        <f>AU21+AU28</f>
        <v>321604870.63999999</v>
      </c>
      <c r="AV18" s="406">
        <f>AU18-AT18</f>
        <v>0</v>
      </c>
      <c r="AW18" s="334">
        <f>AW21+AW28+AW29</f>
        <v>55582036.509999998</v>
      </c>
      <c r="AX18" s="161">
        <f>AX21+AX28+AX29</f>
        <v>70734826.599999994</v>
      </c>
      <c r="AY18" s="335">
        <f>AX18-AW18</f>
        <v>15152790.089999996</v>
      </c>
      <c r="AZ18" s="539">
        <v>0</v>
      </c>
      <c r="BA18" s="334">
        <f>BA21+BA28+BA29</f>
        <v>12271797.43</v>
      </c>
      <c r="BB18" s="161">
        <f>BB21+BB28+BB29</f>
        <v>12585632.870000001</v>
      </c>
      <c r="BC18" s="335">
        <f>BB18-BA18</f>
        <v>313835.44000000134</v>
      </c>
      <c r="BE18" s="131">
        <v>343352551.449</v>
      </c>
      <c r="BF18" s="131">
        <v>275145687.99900001</v>
      </c>
      <c r="BG18" s="609">
        <v>68206863.450000003</v>
      </c>
      <c r="BH18" s="634"/>
      <c r="BI18" s="634"/>
      <c r="BJ18" s="634"/>
      <c r="BK18" s="634"/>
      <c r="BL18" s="615"/>
      <c r="BM18" s="616">
        <f>AK18-BL18</f>
        <v>0</v>
      </c>
      <c r="BN18" s="615">
        <f>BN22+BN28+BN29</f>
        <v>68215561.770000011</v>
      </c>
      <c r="BO18" s="626">
        <f>AN18-BN18</f>
        <v>-68215561.760000005</v>
      </c>
      <c r="BP18" s="634"/>
      <c r="BQ18" s="634"/>
      <c r="BR18" s="628">
        <f>AQ18</f>
        <v>389458704.57999998</v>
      </c>
      <c r="BS18" s="628">
        <v>344453050.41000003</v>
      </c>
      <c r="BT18" s="628">
        <f>BR18-BS18</f>
        <v>45005654.169999957</v>
      </c>
      <c r="BU18" s="629">
        <f>BS18</f>
        <v>344453050.41000003</v>
      </c>
      <c r="BV18" s="615">
        <v>251139175</v>
      </c>
      <c r="BW18" s="616">
        <f>AU18-BV18</f>
        <v>70465695.639999986</v>
      </c>
      <c r="BX18" s="615">
        <f>BX22+BX28+BX29</f>
        <v>68215561.770000011</v>
      </c>
      <c r="BY18" s="626">
        <f>AX18-BX18</f>
        <v>2519264.8299999833</v>
      </c>
      <c r="BZ18" s="135">
        <v>1076466.1000000001</v>
      </c>
      <c r="CA18" s="135">
        <v>146019.47000000626</v>
      </c>
      <c r="CB18" s="135">
        <f>BZ18+CA18</f>
        <v>1222485.5700000064</v>
      </c>
    </row>
    <row r="19" spans="1:80" x14ac:dyDescent="0.3">
      <c r="A19" s="437" t="s">
        <v>137</v>
      </c>
      <c r="B19" s="133"/>
      <c r="C19" s="438"/>
      <c r="D19" s="1275"/>
      <c r="E19" s="59">
        <f>H19+W19+AQ19+AP19</f>
        <v>0</v>
      </c>
      <c r="F19" s="410">
        <f t="shared" ref="F19:F81" si="1">E19-D19</f>
        <v>0</v>
      </c>
      <c r="G19" s="295"/>
      <c r="H19" s="159"/>
      <c r="I19" s="296"/>
      <c r="J19" s="295"/>
      <c r="K19" s="159"/>
      <c r="L19" s="296"/>
      <c r="M19" s="295"/>
      <c r="N19" s="159"/>
      <c r="O19" s="296"/>
      <c r="P19" s="295"/>
      <c r="Q19" s="284"/>
      <c r="R19" s="315"/>
      <c r="S19" s="295"/>
      <c r="T19" s="284"/>
      <c r="U19" s="315"/>
      <c r="V19" s="277"/>
      <c r="W19" s="308"/>
      <c r="X19" s="373"/>
      <c r="Y19" s="526"/>
      <c r="Z19" s="308"/>
      <c r="AA19" s="154"/>
      <c r="AB19" s="357">
        <f t="shared" ref="AB19:AB81" si="2">AA19-Z19</f>
        <v>0</v>
      </c>
      <c r="AC19" s="380"/>
      <c r="AD19" s="153">
        <f t="shared" ref="AD19:AD26" si="3">AC19-AB19</f>
        <v>0</v>
      </c>
      <c r="AE19" s="357">
        <f t="shared" ref="AE19:AE26" si="4">AC19-AB19</f>
        <v>0</v>
      </c>
      <c r="AF19" s="308"/>
      <c r="AG19" s="154"/>
      <c r="AH19" s="358"/>
      <c r="AI19" s="277"/>
      <c r="AJ19" s="154"/>
      <c r="AK19" s="358"/>
      <c r="AL19" s="277"/>
      <c r="AM19" s="154"/>
      <c r="AN19" s="358"/>
      <c r="AO19" s="423"/>
      <c r="AP19" s="393"/>
      <c r="AQ19" s="334"/>
      <c r="AR19" s="161"/>
      <c r="AS19" s="335">
        <f t="shared" ref="AS19:AS81" si="5">AR19-AQ19</f>
        <v>0</v>
      </c>
      <c r="AT19" s="336"/>
      <c r="AU19" s="260"/>
      <c r="AV19" s="1018"/>
      <c r="AW19" s="336"/>
      <c r="AX19" s="260"/>
      <c r="AY19" s="337"/>
      <c r="AZ19" s="540"/>
      <c r="BA19" s="336"/>
      <c r="BB19" s="260"/>
      <c r="BC19" s="337"/>
      <c r="BL19" s="617"/>
      <c r="BM19" s="614"/>
      <c r="BN19" s="625"/>
      <c r="BO19" s="614"/>
      <c r="BR19" s="628"/>
      <c r="BS19" s="628"/>
      <c r="BV19" s="617">
        <f>AU18-BV18</f>
        <v>70465695.639999986</v>
      </c>
      <c r="BW19" s="614"/>
      <c r="BX19" s="625"/>
      <c r="BY19" s="614"/>
      <c r="BZ19" s="111">
        <f>BX18+CB18</f>
        <v>69438047.340000018</v>
      </c>
    </row>
    <row r="20" spans="1:80" x14ac:dyDescent="0.3">
      <c r="A20" s="437" t="s">
        <v>150</v>
      </c>
      <c r="B20" s="1251">
        <v>110</v>
      </c>
      <c r="C20" s="438"/>
      <c r="D20" s="1275"/>
      <c r="E20" s="59">
        <f>H20+W20+AQ20+AP20</f>
        <v>0</v>
      </c>
      <c r="F20" s="410">
        <f t="shared" si="1"/>
        <v>0</v>
      </c>
      <c r="G20" s="297"/>
      <c r="H20" s="158"/>
      <c r="I20" s="298"/>
      <c r="J20" s="297"/>
      <c r="K20" s="158"/>
      <c r="L20" s="298"/>
      <c r="M20" s="297"/>
      <c r="N20" s="158"/>
      <c r="O20" s="298"/>
      <c r="P20" s="297"/>
      <c r="Q20" s="285"/>
      <c r="R20" s="316"/>
      <c r="S20" s="297"/>
      <c r="T20" s="285"/>
      <c r="U20" s="316"/>
      <c r="V20" s="278"/>
      <c r="W20" s="309"/>
      <c r="X20" s="374"/>
      <c r="Y20" s="527"/>
      <c r="Z20" s="309"/>
      <c r="AA20" s="261"/>
      <c r="AB20" s="357">
        <f t="shared" si="2"/>
        <v>0</v>
      </c>
      <c r="AC20" s="381"/>
      <c r="AD20" s="153">
        <f t="shared" si="3"/>
        <v>0</v>
      </c>
      <c r="AE20" s="357">
        <f t="shared" si="4"/>
        <v>0</v>
      </c>
      <c r="AF20" s="309"/>
      <c r="AG20" s="261"/>
      <c r="AH20" s="359"/>
      <c r="AI20" s="278"/>
      <c r="AJ20" s="261"/>
      <c r="AK20" s="359"/>
      <c r="AL20" s="278"/>
      <c r="AM20" s="261"/>
      <c r="AN20" s="359"/>
      <c r="AO20" s="424"/>
      <c r="AP20" s="393"/>
      <c r="AQ20" s="334"/>
      <c r="AR20" s="161"/>
      <c r="AS20" s="335">
        <f t="shared" si="5"/>
        <v>0</v>
      </c>
      <c r="AT20" s="336"/>
      <c r="AU20" s="260"/>
      <c r="AV20" s="1018"/>
      <c r="AW20" s="336"/>
      <c r="AX20" s="260"/>
      <c r="AY20" s="337"/>
      <c r="AZ20" s="541"/>
      <c r="BA20" s="336"/>
      <c r="BB20" s="260"/>
      <c r="BC20" s="337"/>
      <c r="BE20" s="111"/>
      <c r="BF20" s="111">
        <f>BF18-AT18</f>
        <v>-46459182.640999973</v>
      </c>
      <c r="BG20" s="111">
        <f>BG18-AW18</f>
        <v>12624826.940000005</v>
      </c>
      <c r="BH20" s="111"/>
      <c r="BI20" s="111"/>
      <c r="BJ20" s="111"/>
      <c r="BK20" s="111"/>
      <c r="BL20" s="615"/>
      <c r="BM20" s="614"/>
      <c r="BN20" s="625"/>
      <c r="BO20" s="614"/>
      <c r="BP20" s="111"/>
      <c r="BQ20" s="111"/>
      <c r="BR20" s="628"/>
      <c r="BS20" s="628"/>
      <c r="BT20" s="533"/>
      <c r="BU20" s="533"/>
      <c r="BV20" s="615"/>
      <c r="BW20" s="614"/>
      <c r="BX20" s="625"/>
      <c r="BY20" s="614"/>
    </row>
    <row r="21" spans="1:80" x14ac:dyDescent="0.3">
      <c r="A21" s="437" t="s">
        <v>151</v>
      </c>
      <c r="B21" s="1251">
        <v>120</v>
      </c>
      <c r="C21" s="438"/>
      <c r="D21" s="1275">
        <f>G21+V21+AQ21+AP21</f>
        <v>575137879.06999993</v>
      </c>
      <c r="E21" s="64">
        <f>H21+W21+AR21+AP21</f>
        <v>678687169.15541482</v>
      </c>
      <c r="F21" s="411">
        <f t="shared" si="1"/>
        <v>103549290.08541489</v>
      </c>
      <c r="G21" s="295">
        <v>218669600</v>
      </c>
      <c r="H21" s="159">
        <f>H22</f>
        <v>307066099.99541479</v>
      </c>
      <c r="I21" s="296">
        <f>H21-G21</f>
        <v>88396499.995414793</v>
      </c>
      <c r="J21" s="295">
        <f>J22</f>
        <v>105026100</v>
      </c>
      <c r="K21" s="159">
        <f>K22</f>
        <v>146666839.95499998</v>
      </c>
      <c r="L21" s="298">
        <f>K21-J21</f>
        <v>41640739.954999983</v>
      </c>
      <c r="M21" s="295">
        <f>M22</f>
        <v>68563030.900000006</v>
      </c>
      <c r="N21" s="159">
        <f>N22</f>
        <v>119681406.17702757</v>
      </c>
      <c r="O21" s="298">
        <f>N21-M21</f>
        <v>51118375.277027562</v>
      </c>
      <c r="P21" s="297">
        <f>P22</f>
        <v>45080469.100000001</v>
      </c>
      <c r="Q21" s="285">
        <f>Q22</f>
        <v>34901017.597189084</v>
      </c>
      <c r="R21" s="316">
        <f>Q21-P21</f>
        <v>-10179451.502810918</v>
      </c>
      <c r="S21" s="297"/>
      <c r="T21" s="285">
        <f>T22</f>
        <v>5816836.2661981797</v>
      </c>
      <c r="U21" s="316"/>
      <c r="V21" s="277"/>
      <c r="W21" s="308"/>
      <c r="X21" s="373"/>
      <c r="Y21" s="526"/>
      <c r="Z21" s="308"/>
      <c r="AA21" s="154"/>
      <c r="AB21" s="357">
        <f t="shared" si="2"/>
        <v>0</v>
      </c>
      <c r="AC21" s="380"/>
      <c r="AD21" s="153">
        <f t="shared" si="3"/>
        <v>0</v>
      </c>
      <c r="AE21" s="357">
        <f t="shared" si="4"/>
        <v>0</v>
      </c>
      <c r="AF21" s="308"/>
      <c r="AG21" s="154"/>
      <c r="AH21" s="358"/>
      <c r="AI21" s="277"/>
      <c r="AJ21" s="154"/>
      <c r="AK21" s="358"/>
      <c r="AL21" s="277"/>
      <c r="AM21" s="154"/>
      <c r="AN21" s="358"/>
      <c r="AO21" s="423"/>
      <c r="AP21" s="393">
        <f>SUM(AP22:AP24)</f>
        <v>1908800</v>
      </c>
      <c r="AQ21" s="334">
        <v>354559479.06999999</v>
      </c>
      <c r="AR21" s="161">
        <f>AU21+AX21+BB21</f>
        <v>369712269.15999997</v>
      </c>
      <c r="AS21" s="335">
        <f t="shared" si="5"/>
        <v>15152790.089999974</v>
      </c>
      <c r="AT21" s="338">
        <v>306981817.18000001</v>
      </c>
      <c r="AU21" s="162">
        <f>AU22+AU24</f>
        <v>306981817.18000001</v>
      </c>
      <c r="AV21" s="1019">
        <f>AU21-AT21</f>
        <v>0</v>
      </c>
      <c r="AW21" s="338">
        <v>44423842.689999998</v>
      </c>
      <c r="AX21" s="162">
        <f>AX22+AX24</f>
        <v>59576632.779999994</v>
      </c>
      <c r="AY21" s="339">
        <f>AX21-AW21</f>
        <v>15152790.089999996</v>
      </c>
      <c r="AZ21" s="541"/>
      <c r="BA21" s="338">
        <v>3153819.2</v>
      </c>
      <c r="BB21" s="162">
        <f>BB22</f>
        <v>3153819.2</v>
      </c>
      <c r="BC21" s="339">
        <f>BB21-BA21</f>
        <v>0</v>
      </c>
      <c r="BL21" s="618"/>
      <c r="BM21" s="614"/>
      <c r="BN21" s="625"/>
      <c r="BO21" s="614"/>
      <c r="BR21" s="628"/>
      <c r="BS21" s="628"/>
      <c r="BV21" s="618">
        <f>13676010.29-8000000</f>
        <v>5676010.2899999991</v>
      </c>
      <c r="BW21" s="614"/>
      <c r="BX21" s="625"/>
      <c r="BY21" s="614"/>
    </row>
    <row r="22" spans="1:80" x14ac:dyDescent="0.3">
      <c r="A22" s="437" t="s">
        <v>152</v>
      </c>
      <c r="B22" s="133"/>
      <c r="C22" s="438"/>
      <c r="D22" s="1275">
        <f>G22+V22+AQ22+AP22</f>
        <v>558934308.76999998</v>
      </c>
      <c r="E22" s="64">
        <f>H22+W22+AR22+AP22</f>
        <v>662483598.85541475</v>
      </c>
      <c r="F22" s="411">
        <f t="shared" si="1"/>
        <v>103549290.08541477</v>
      </c>
      <c r="G22" s="295">
        <v>218669600</v>
      </c>
      <c r="H22" s="159">
        <f>K22+N22+Q22+T22</f>
        <v>307066099.99541479</v>
      </c>
      <c r="I22" s="296">
        <f>H22-G22</f>
        <v>88396499.995414793</v>
      </c>
      <c r="J22" s="295">
        <f>42610100+6071200+19709100+1786600+10488200+12868200+1833500+5952100+539600+3167500</f>
        <v>105026100</v>
      </c>
      <c r="K22" s="159">
        <f>P1*R1-1159618.02-409933.84-19.22</f>
        <v>146666839.95499998</v>
      </c>
      <c r="L22" s="296">
        <f>K22-J22</f>
        <v>41640739.954999983</v>
      </c>
      <c r="M22" s="295">
        <v>68563030.900000006</v>
      </c>
      <c r="N22" s="159">
        <f>Q10*(55150-12000-2000)</f>
        <v>119681406.17702757</v>
      </c>
      <c r="O22" s="296">
        <f>N22-M22</f>
        <v>51118375.277027562</v>
      </c>
      <c r="P22" s="295">
        <v>45080469.100000001</v>
      </c>
      <c r="Q22" s="284">
        <f>12000*Q1+(Q2*12000)</f>
        <v>34901017.597189084</v>
      </c>
      <c r="R22" s="315">
        <f>Q22-P22</f>
        <v>-10179451.502810918</v>
      </c>
      <c r="S22" s="295"/>
      <c r="T22" s="284">
        <f>2000*Q1+(Q2*2000)</f>
        <v>5816836.2661981797</v>
      </c>
      <c r="U22" s="315"/>
      <c r="V22" s="277"/>
      <c r="W22" s="308"/>
      <c r="X22" s="373"/>
      <c r="Y22" s="526"/>
      <c r="Z22" s="308"/>
      <c r="AA22" s="154"/>
      <c r="AB22" s="357">
        <f t="shared" si="2"/>
        <v>0</v>
      </c>
      <c r="AC22" s="380"/>
      <c r="AD22" s="153">
        <f t="shared" si="3"/>
        <v>0</v>
      </c>
      <c r="AE22" s="357">
        <f t="shared" si="4"/>
        <v>0</v>
      </c>
      <c r="AF22" s="308"/>
      <c r="AG22" s="154"/>
      <c r="AH22" s="358"/>
      <c r="AI22" s="277"/>
      <c r="AJ22" s="154"/>
      <c r="AK22" s="358"/>
      <c r="AL22" s="277"/>
      <c r="AM22" s="154"/>
      <c r="AN22" s="358"/>
      <c r="AO22" s="423"/>
      <c r="AP22" s="394">
        <v>1908800</v>
      </c>
      <c r="AQ22" s="334">
        <v>338355908.76999998</v>
      </c>
      <c r="AR22" s="161">
        <f>AU22+AX22+BB22</f>
        <v>353508698.85999995</v>
      </c>
      <c r="AS22" s="335">
        <f t="shared" si="5"/>
        <v>15152790.089999974</v>
      </c>
      <c r="AT22" s="338">
        <v>290778246.88</v>
      </c>
      <c r="AU22" s="162">
        <v>290778246.88</v>
      </c>
      <c r="AV22" s="1019">
        <f>AU22-AT22</f>
        <v>0</v>
      </c>
      <c r="AW22" s="338">
        <v>44423842.689999998</v>
      </c>
      <c r="AX22" s="162">
        <f>70734826.6-AX28</f>
        <v>59576632.779999994</v>
      </c>
      <c r="AY22" s="339">
        <f>AX22-AW22</f>
        <v>15152790.089999996</v>
      </c>
      <c r="AZ22" s="541"/>
      <c r="BA22" s="338">
        <v>3153819.2</v>
      </c>
      <c r="BB22" s="162">
        <v>3153819.2</v>
      </c>
      <c r="BC22" s="339">
        <f>BB22-BA22</f>
        <v>0</v>
      </c>
      <c r="BL22" s="618"/>
      <c r="BM22" s="614"/>
      <c r="BN22" s="618">
        <v>67613872.370000005</v>
      </c>
      <c r="BO22" s="614"/>
      <c r="BR22" s="628"/>
      <c r="BS22" s="628"/>
      <c r="BV22" s="618">
        <f>5100000</f>
        <v>5100000</v>
      </c>
      <c r="BW22" s="614"/>
      <c r="BX22" s="618">
        <v>67613872.370000005</v>
      </c>
      <c r="BY22" s="614"/>
    </row>
    <row r="23" spans="1:80" x14ac:dyDescent="0.3">
      <c r="A23" s="437" t="s">
        <v>153</v>
      </c>
      <c r="B23" s="133"/>
      <c r="C23" s="438"/>
      <c r="D23" s="1275">
        <f t="shared" ref="D23:D28" si="6">G23+V23+AQ23+AP23</f>
        <v>0</v>
      </c>
      <c r="E23" s="64">
        <f>H23+W23+AQ23+AP23</f>
        <v>0</v>
      </c>
      <c r="F23" s="410">
        <f t="shared" si="1"/>
        <v>0</v>
      </c>
      <c r="G23" s="295"/>
      <c r="H23" s="159"/>
      <c r="I23" s="296">
        <f t="shared" ref="I23:I29" si="7">H23-G23</f>
        <v>0</v>
      </c>
      <c r="J23" s="295"/>
      <c r="K23" s="159"/>
      <c r="L23" s="296"/>
      <c r="M23" s="295"/>
      <c r="N23" s="159"/>
      <c r="O23" s="296"/>
      <c r="P23" s="295"/>
      <c r="Q23" s="284"/>
      <c r="R23" s="315"/>
      <c r="S23" s="295"/>
      <c r="T23" s="284"/>
      <c r="U23" s="315"/>
      <c r="V23" s="277"/>
      <c r="W23" s="308"/>
      <c r="X23" s="373"/>
      <c r="Y23" s="526"/>
      <c r="Z23" s="308"/>
      <c r="AA23" s="154"/>
      <c r="AB23" s="357">
        <f t="shared" si="2"/>
        <v>0</v>
      </c>
      <c r="AC23" s="380"/>
      <c r="AD23" s="153">
        <f t="shared" si="3"/>
        <v>0</v>
      </c>
      <c r="AE23" s="357">
        <f t="shared" si="4"/>
        <v>0</v>
      </c>
      <c r="AF23" s="308"/>
      <c r="AG23" s="154"/>
      <c r="AH23" s="358"/>
      <c r="AI23" s="277"/>
      <c r="AJ23" s="154"/>
      <c r="AK23" s="358"/>
      <c r="AL23" s="277"/>
      <c r="AM23" s="154"/>
      <c r="AN23" s="358"/>
      <c r="AO23" s="423"/>
      <c r="AP23" s="394"/>
      <c r="AQ23" s="334">
        <v>0</v>
      </c>
      <c r="AR23" s="161">
        <f t="shared" ref="AR23:AR81" si="8">AU23+AX23</f>
        <v>0</v>
      </c>
      <c r="AS23" s="335">
        <f t="shared" si="5"/>
        <v>0</v>
      </c>
      <c r="AT23" s="336"/>
      <c r="AU23" s="162">
        <f t="shared" ref="AU23:AU24" si="9">AQ23-AX23-BB23</f>
        <v>0</v>
      </c>
      <c r="AV23" s="1018"/>
      <c r="AW23" s="336"/>
      <c r="AX23" s="260"/>
      <c r="AY23" s="337"/>
      <c r="AZ23" s="541"/>
      <c r="BA23" s="336"/>
      <c r="BB23" s="260"/>
      <c r="BC23" s="337"/>
      <c r="BL23" s="619"/>
      <c r="BM23" s="614"/>
      <c r="BN23" s="625"/>
      <c r="BO23" s="614"/>
      <c r="BR23" s="628"/>
      <c r="BS23" s="628"/>
      <c r="BV23" s="619">
        <f>SUM(BV21:BV22)</f>
        <v>10776010.289999999</v>
      </c>
      <c r="BW23" s="614"/>
      <c r="BX23" s="625"/>
      <c r="BY23" s="614"/>
    </row>
    <row r="24" spans="1:80" x14ac:dyDescent="0.3">
      <c r="A24" s="437" t="s">
        <v>154</v>
      </c>
      <c r="B24" s="133"/>
      <c r="C24" s="438"/>
      <c r="D24" s="1275">
        <f t="shared" si="6"/>
        <v>16203570.300000001</v>
      </c>
      <c r="E24" s="64">
        <f>H24+W24+AR24+AP24</f>
        <v>16203570.300000001</v>
      </c>
      <c r="F24" s="410">
        <f t="shared" si="1"/>
        <v>0</v>
      </c>
      <c r="G24" s="295"/>
      <c r="H24" s="159"/>
      <c r="I24" s="296">
        <f t="shared" si="7"/>
        <v>0</v>
      </c>
      <c r="J24" s="295"/>
      <c r="K24" s="159"/>
      <c r="L24" s="296"/>
      <c r="M24" s="295"/>
      <c r="N24" s="159"/>
      <c r="O24" s="296"/>
      <c r="P24" s="295"/>
      <c r="Q24" s="284"/>
      <c r="R24" s="315"/>
      <c r="S24" s="295"/>
      <c r="T24" s="284"/>
      <c r="U24" s="315"/>
      <c r="V24" s="277"/>
      <c r="W24" s="308"/>
      <c r="X24" s="373"/>
      <c r="Y24" s="526"/>
      <c r="Z24" s="308"/>
      <c r="AA24" s="154"/>
      <c r="AB24" s="357">
        <f t="shared" si="2"/>
        <v>0</v>
      </c>
      <c r="AC24" s="380"/>
      <c r="AD24" s="153">
        <f t="shared" si="3"/>
        <v>0</v>
      </c>
      <c r="AE24" s="357">
        <f t="shared" si="4"/>
        <v>0</v>
      </c>
      <c r="AF24" s="308"/>
      <c r="AG24" s="154"/>
      <c r="AH24" s="358"/>
      <c r="AI24" s="277"/>
      <c r="AJ24" s="154"/>
      <c r="AK24" s="358"/>
      <c r="AL24" s="277"/>
      <c r="AM24" s="154"/>
      <c r="AN24" s="358"/>
      <c r="AO24" s="423"/>
      <c r="AP24" s="393"/>
      <c r="AQ24" s="334">
        <v>16203570.300000001</v>
      </c>
      <c r="AR24" s="161">
        <f>AU24+AX24+BB24</f>
        <v>16203570.300000001</v>
      </c>
      <c r="AS24" s="335">
        <f t="shared" si="5"/>
        <v>0</v>
      </c>
      <c r="AT24" s="338">
        <v>16203570.300000001</v>
      </c>
      <c r="AU24" s="162">
        <f t="shared" si="9"/>
        <v>16203570.300000001</v>
      </c>
      <c r="AV24" s="1019">
        <f>AU24-AT24</f>
        <v>0</v>
      </c>
      <c r="AW24" s="338"/>
      <c r="AX24" s="162"/>
      <c r="AY24" s="339"/>
      <c r="AZ24" s="541"/>
      <c r="BA24" s="338"/>
      <c r="BB24" s="162"/>
      <c r="BC24" s="339"/>
      <c r="BL24" s="618"/>
      <c r="BM24" s="614"/>
      <c r="BN24" s="625"/>
      <c r="BO24" s="614"/>
      <c r="BR24" s="628"/>
      <c r="BS24" s="628"/>
      <c r="BV24" s="618">
        <f>BV19-BV23</f>
        <v>59689685.349999987</v>
      </c>
      <c r="BW24" s="614"/>
      <c r="BX24" s="625"/>
      <c r="BY24" s="614"/>
    </row>
    <row r="25" spans="1:80" ht="31.5" x14ac:dyDescent="0.3">
      <c r="A25" s="437" t="s">
        <v>155</v>
      </c>
      <c r="B25" s="1251">
        <v>130</v>
      </c>
      <c r="C25" s="438"/>
      <c r="D25" s="1275">
        <f t="shared" si="6"/>
        <v>0</v>
      </c>
      <c r="E25" s="59">
        <f>H25+W25+AQ25+AP25</f>
        <v>0</v>
      </c>
      <c r="F25" s="410">
        <f t="shared" si="1"/>
        <v>0</v>
      </c>
      <c r="G25" s="297"/>
      <c r="H25" s="158"/>
      <c r="I25" s="296">
        <f t="shared" si="7"/>
        <v>0</v>
      </c>
      <c r="J25" s="297"/>
      <c r="K25" s="158"/>
      <c r="L25" s="298"/>
      <c r="M25" s="297"/>
      <c r="N25" s="158"/>
      <c r="O25" s="298"/>
      <c r="P25" s="297"/>
      <c r="Q25" s="285"/>
      <c r="R25" s="316"/>
      <c r="S25" s="297"/>
      <c r="T25" s="285"/>
      <c r="U25" s="316"/>
      <c r="V25" s="279"/>
      <c r="W25" s="310"/>
      <c r="X25" s="375"/>
      <c r="Y25" s="528"/>
      <c r="Z25" s="310"/>
      <c r="AA25" s="63"/>
      <c r="AB25" s="357">
        <f t="shared" si="2"/>
        <v>0</v>
      </c>
      <c r="AC25" s="382"/>
      <c r="AD25" s="153">
        <f t="shared" si="3"/>
        <v>0</v>
      </c>
      <c r="AE25" s="357">
        <f t="shared" si="4"/>
        <v>0</v>
      </c>
      <c r="AF25" s="310"/>
      <c r="AG25" s="63"/>
      <c r="AH25" s="360"/>
      <c r="AI25" s="279"/>
      <c r="AJ25" s="63"/>
      <c r="AK25" s="360"/>
      <c r="AL25" s="279"/>
      <c r="AM25" s="63"/>
      <c r="AN25" s="360"/>
      <c r="AO25" s="425"/>
      <c r="AP25" s="395"/>
      <c r="AQ25" s="334">
        <v>0</v>
      </c>
      <c r="AR25" s="161">
        <f t="shared" si="8"/>
        <v>0</v>
      </c>
      <c r="AS25" s="335">
        <f t="shared" si="5"/>
        <v>0</v>
      </c>
      <c r="AT25" s="336"/>
      <c r="AU25" s="260"/>
      <c r="AV25" s="1018"/>
      <c r="AW25" s="336"/>
      <c r="AX25" s="260"/>
      <c r="AY25" s="337"/>
      <c r="AZ25" s="540" t="s">
        <v>149</v>
      </c>
      <c r="BA25" s="336"/>
      <c r="BB25" s="260"/>
      <c r="BC25" s="337"/>
      <c r="BL25" s="617"/>
      <c r="BM25" s="614"/>
      <c r="BN25" s="625"/>
      <c r="BO25" s="614"/>
      <c r="BR25" s="628"/>
      <c r="BS25" s="628"/>
      <c r="BV25" s="617"/>
      <c r="BW25" s="614"/>
      <c r="BX25" s="625"/>
      <c r="BY25" s="614"/>
    </row>
    <row r="26" spans="1:80" ht="63.75" customHeight="1" x14ac:dyDescent="0.3">
      <c r="A26" s="437" t="s">
        <v>156</v>
      </c>
      <c r="B26" s="1251">
        <v>140</v>
      </c>
      <c r="C26" s="438"/>
      <c r="D26" s="1275">
        <f t="shared" si="6"/>
        <v>0</v>
      </c>
      <c r="E26" s="59">
        <f>H26+W26+AQ26+AP26</f>
        <v>0</v>
      </c>
      <c r="F26" s="410">
        <f t="shared" si="1"/>
        <v>0</v>
      </c>
      <c r="G26" s="297"/>
      <c r="H26" s="158"/>
      <c r="I26" s="296">
        <f t="shared" si="7"/>
        <v>0</v>
      </c>
      <c r="J26" s="297"/>
      <c r="K26" s="158"/>
      <c r="L26" s="298"/>
      <c r="M26" s="297"/>
      <c r="N26" s="158"/>
      <c r="O26" s="298"/>
      <c r="P26" s="297"/>
      <c r="Q26" s="285"/>
      <c r="R26" s="316"/>
      <c r="S26" s="297"/>
      <c r="T26" s="285"/>
      <c r="U26" s="316"/>
      <c r="V26" s="279"/>
      <c r="W26" s="310"/>
      <c r="X26" s="375"/>
      <c r="Y26" s="528"/>
      <c r="Z26" s="310"/>
      <c r="AA26" s="63"/>
      <c r="AB26" s="357">
        <f t="shared" si="2"/>
        <v>0</v>
      </c>
      <c r="AC26" s="382"/>
      <c r="AD26" s="153">
        <f t="shared" si="3"/>
        <v>0</v>
      </c>
      <c r="AE26" s="357">
        <f t="shared" si="4"/>
        <v>0</v>
      </c>
      <c r="AF26" s="310"/>
      <c r="AG26" s="63"/>
      <c r="AH26" s="360"/>
      <c r="AI26" s="279"/>
      <c r="AJ26" s="63"/>
      <c r="AK26" s="360"/>
      <c r="AL26" s="279"/>
      <c r="AM26" s="63"/>
      <c r="AN26" s="360"/>
      <c r="AO26" s="425"/>
      <c r="AP26" s="395"/>
      <c r="AQ26" s="334">
        <v>0</v>
      </c>
      <c r="AR26" s="161">
        <f t="shared" si="8"/>
        <v>0</v>
      </c>
      <c r="AS26" s="335">
        <f t="shared" si="5"/>
        <v>0</v>
      </c>
      <c r="AT26" s="336"/>
      <c r="AU26" s="260"/>
      <c r="AV26" s="1018"/>
      <c r="AW26" s="336"/>
      <c r="AX26" s="260"/>
      <c r="AY26" s="337"/>
      <c r="AZ26" s="540" t="s">
        <v>149</v>
      </c>
      <c r="BA26" s="336"/>
      <c r="BB26" s="260"/>
      <c r="BC26" s="337"/>
      <c r="BL26" s="617"/>
      <c r="BM26" s="614"/>
      <c r="BN26" s="625"/>
      <c r="BO26" s="614"/>
      <c r="BR26" s="628"/>
      <c r="BS26" s="628"/>
      <c r="BV26" s="617"/>
      <c r="BW26" s="614"/>
      <c r="BX26" s="625"/>
      <c r="BY26" s="614"/>
    </row>
    <row r="27" spans="1:80" ht="38.25" customHeight="1" x14ac:dyDescent="0.3">
      <c r="A27" s="437" t="s">
        <v>157</v>
      </c>
      <c r="B27" s="1251">
        <v>150</v>
      </c>
      <c r="C27" s="438"/>
      <c r="D27" s="1275">
        <f t="shared" si="6"/>
        <v>2275135000</v>
      </c>
      <c r="E27" s="64">
        <f t="shared" ref="D27:E29" si="10">H27+W27+AR27+AP27</f>
        <v>2186738500</v>
      </c>
      <c r="F27" s="411">
        <f t="shared" si="1"/>
        <v>-88396500</v>
      </c>
      <c r="G27" s="297"/>
      <c r="H27" s="158"/>
      <c r="I27" s="296">
        <f t="shared" si="7"/>
        <v>0</v>
      </c>
      <c r="J27" s="297"/>
      <c r="K27" s="158"/>
      <c r="L27" s="298"/>
      <c r="M27" s="297"/>
      <c r="N27" s="158"/>
      <c r="O27" s="298"/>
      <c r="P27" s="297"/>
      <c r="Q27" s="285"/>
      <c r="R27" s="316"/>
      <c r="S27" s="297"/>
      <c r="T27" s="285"/>
      <c r="U27" s="316"/>
      <c r="V27" s="279">
        <v>2275135000</v>
      </c>
      <c r="W27" s="310">
        <f>AA27+AD27+AG27+AJ27+AM27</f>
        <v>2186738500</v>
      </c>
      <c r="X27" s="375">
        <f>W27-V27</f>
        <v>-88396500</v>
      </c>
      <c r="Y27" s="528"/>
      <c r="Z27" s="310">
        <v>2221891000</v>
      </c>
      <c r="AA27" s="63">
        <v>2133494500</v>
      </c>
      <c r="AB27" s="360">
        <f t="shared" si="2"/>
        <v>-88396500</v>
      </c>
      <c r="AC27" s="382">
        <v>22131000</v>
      </c>
      <c r="AD27" s="63">
        <f>22131000</f>
        <v>22131000</v>
      </c>
      <c r="AE27" s="360"/>
      <c r="AF27" s="310">
        <v>6878578.4699999997</v>
      </c>
      <c r="AG27" s="63">
        <v>6878578.4699999997</v>
      </c>
      <c r="AH27" s="360">
        <f>AG27-AF27</f>
        <v>0</v>
      </c>
      <c r="AI27" s="63">
        <v>15071900</v>
      </c>
      <c r="AJ27" s="63">
        <v>15071900</v>
      </c>
      <c r="AK27" s="360">
        <f>AJ27-AI27</f>
        <v>0</v>
      </c>
      <c r="AL27" s="63">
        <v>9162521.5199999996</v>
      </c>
      <c r="AM27" s="63">
        <v>9162521.5299999993</v>
      </c>
      <c r="AN27" s="360">
        <f>AM27-AL27</f>
        <v>9.9999997764825821E-3</v>
      </c>
      <c r="AO27" s="426"/>
      <c r="AP27" s="395"/>
      <c r="AQ27" s="334">
        <v>0</v>
      </c>
      <c r="AR27" s="161">
        <f t="shared" si="8"/>
        <v>0</v>
      </c>
      <c r="AS27" s="335">
        <f t="shared" si="5"/>
        <v>0</v>
      </c>
      <c r="AT27" s="338"/>
      <c r="AU27" s="162"/>
      <c r="AV27" s="1019"/>
      <c r="AW27" s="338"/>
      <c r="AX27" s="162"/>
      <c r="AY27" s="339"/>
      <c r="AZ27" s="540" t="s">
        <v>149</v>
      </c>
      <c r="BA27" s="338"/>
      <c r="BB27" s="162"/>
      <c r="BC27" s="339"/>
      <c r="BL27" s="617"/>
      <c r="BM27" s="614"/>
      <c r="BN27" s="625"/>
      <c r="BO27" s="614"/>
      <c r="BR27" s="628"/>
      <c r="BS27" s="628"/>
      <c r="BV27" s="617"/>
      <c r="BW27" s="614"/>
      <c r="BX27" s="625"/>
      <c r="BY27" s="614"/>
    </row>
    <row r="28" spans="1:80" ht="19.5" customHeight="1" x14ac:dyDescent="0.3">
      <c r="A28" s="437" t="s">
        <v>158</v>
      </c>
      <c r="B28" s="1251">
        <v>160</v>
      </c>
      <c r="C28" s="438"/>
      <c r="D28" s="1275">
        <f t="shared" si="6"/>
        <v>34899225.5</v>
      </c>
      <c r="E28" s="64">
        <f t="shared" si="10"/>
        <v>35213060.950000003</v>
      </c>
      <c r="F28" s="411">
        <f t="shared" si="1"/>
        <v>313835.45000000298</v>
      </c>
      <c r="G28" s="297"/>
      <c r="H28" s="158"/>
      <c r="I28" s="296">
        <f t="shared" si="7"/>
        <v>0</v>
      </c>
      <c r="J28" s="297"/>
      <c r="K28" s="158"/>
      <c r="L28" s="298"/>
      <c r="M28" s="297"/>
      <c r="N28" s="158"/>
      <c r="O28" s="298"/>
      <c r="P28" s="297"/>
      <c r="Q28" s="285"/>
      <c r="R28" s="316"/>
      <c r="S28" s="297"/>
      <c r="T28" s="285"/>
      <c r="U28" s="316"/>
      <c r="V28" s="279"/>
      <c r="W28" s="310"/>
      <c r="X28" s="375"/>
      <c r="Y28" s="528"/>
      <c r="Z28" s="310"/>
      <c r="AA28" s="63"/>
      <c r="AB28" s="357"/>
      <c r="AC28" s="382"/>
      <c r="AD28" s="153">
        <f>AC28-AB28</f>
        <v>0</v>
      </c>
      <c r="AE28" s="357">
        <f>AC28-AB28</f>
        <v>0</v>
      </c>
      <c r="AF28" s="310"/>
      <c r="AG28" s="63"/>
      <c r="AH28" s="360"/>
      <c r="AI28" s="279"/>
      <c r="AJ28" s="63"/>
      <c r="AK28" s="360"/>
      <c r="AL28" s="279"/>
      <c r="AM28" s="63"/>
      <c r="AN28" s="360"/>
      <c r="AO28" s="425"/>
      <c r="AP28" s="395"/>
      <c r="AQ28" s="334">
        <f>34899225.51-0.01</f>
        <v>34899225.5</v>
      </c>
      <c r="AR28" s="161">
        <f>AU28+AX28+BB28</f>
        <v>35213060.950000003</v>
      </c>
      <c r="AS28" s="335">
        <f t="shared" si="5"/>
        <v>313835.45000000298</v>
      </c>
      <c r="AT28" s="338">
        <v>14623053.460000001</v>
      </c>
      <c r="AU28" s="162">
        <f>14623053.46</f>
        <v>14623053.460000001</v>
      </c>
      <c r="AV28" s="1019">
        <f>AU28-AT28</f>
        <v>0</v>
      </c>
      <c r="AW28" s="338">
        <v>11158193.82</v>
      </c>
      <c r="AX28" s="162">
        <v>11158193.82</v>
      </c>
      <c r="AY28" s="339">
        <f>AX28-AW28</f>
        <v>0</v>
      </c>
      <c r="AZ28" s="542"/>
      <c r="BA28" s="338">
        <v>9117978.2300000004</v>
      </c>
      <c r="BB28" s="162">
        <f>9117978.23+313835.44</f>
        <v>9431813.6699999999</v>
      </c>
      <c r="BC28" s="339">
        <f>BB28-BA28</f>
        <v>313835.43999999948</v>
      </c>
      <c r="BL28" s="617"/>
      <c r="BM28" s="614"/>
      <c r="BN28" s="618">
        <v>106376.9</v>
      </c>
      <c r="BO28" s="614"/>
      <c r="BR28" s="628"/>
      <c r="BS28" s="628"/>
      <c r="BV28" s="617"/>
      <c r="BW28" s="614"/>
      <c r="BX28" s="618">
        <v>106376.9</v>
      </c>
      <c r="BY28" s="614"/>
    </row>
    <row r="29" spans="1:80" ht="22.5" customHeight="1" x14ac:dyDescent="0.3">
      <c r="A29" s="437" t="s">
        <v>159</v>
      </c>
      <c r="B29" s="1251">
        <v>180</v>
      </c>
      <c r="C29" s="1255" t="s">
        <v>149</v>
      </c>
      <c r="D29" s="1275">
        <f t="shared" si="10"/>
        <v>0</v>
      </c>
      <c r="E29" s="64">
        <f t="shared" si="10"/>
        <v>0</v>
      </c>
      <c r="F29" s="411">
        <f t="shared" si="1"/>
        <v>0</v>
      </c>
      <c r="G29" s="295"/>
      <c r="H29" s="159"/>
      <c r="I29" s="296">
        <f t="shared" si="7"/>
        <v>0</v>
      </c>
      <c r="J29" s="295"/>
      <c r="K29" s="159"/>
      <c r="L29" s="296"/>
      <c r="M29" s="295"/>
      <c r="N29" s="159"/>
      <c r="O29" s="296"/>
      <c r="P29" s="295"/>
      <c r="Q29" s="284"/>
      <c r="R29" s="315"/>
      <c r="S29" s="295"/>
      <c r="T29" s="284"/>
      <c r="U29" s="315"/>
      <c r="V29" s="277"/>
      <c r="W29" s="308"/>
      <c r="X29" s="373"/>
      <c r="Y29" s="526"/>
      <c r="Z29" s="308"/>
      <c r="AA29" s="154"/>
      <c r="AB29" s="357">
        <f t="shared" si="2"/>
        <v>0</v>
      </c>
      <c r="AC29" s="380"/>
      <c r="AD29" s="153">
        <f>AC29-AB29</f>
        <v>0</v>
      </c>
      <c r="AE29" s="357">
        <f>AC29-AB29</f>
        <v>0</v>
      </c>
      <c r="AF29" s="308"/>
      <c r="AG29" s="154"/>
      <c r="AH29" s="358"/>
      <c r="AI29" s="277"/>
      <c r="AJ29" s="154"/>
      <c r="AK29" s="358"/>
      <c r="AL29" s="277"/>
      <c r="AM29" s="154"/>
      <c r="AN29" s="358"/>
      <c r="AO29" s="423"/>
      <c r="AP29" s="393"/>
      <c r="AQ29" s="334">
        <v>0</v>
      </c>
      <c r="AR29" s="161">
        <f t="shared" si="8"/>
        <v>0</v>
      </c>
      <c r="AS29" s="335">
        <f t="shared" si="5"/>
        <v>0</v>
      </c>
      <c r="AT29" s="336"/>
      <c r="AU29" s="260"/>
      <c r="AV29" s="1018"/>
      <c r="AW29" s="338"/>
      <c r="AX29" s="162"/>
      <c r="AY29" s="339">
        <f>AX29-AW29</f>
        <v>0</v>
      </c>
      <c r="AZ29" s="543" t="s">
        <v>149</v>
      </c>
      <c r="BA29" s="338"/>
      <c r="BB29" s="162"/>
      <c r="BC29" s="339">
        <f>BB29-BA29</f>
        <v>0</v>
      </c>
      <c r="BL29" s="617"/>
      <c r="BM29" s="614"/>
      <c r="BN29" s="618">
        <v>495312.5</v>
      </c>
      <c r="BO29" s="614"/>
      <c r="BR29" s="628"/>
      <c r="BS29" s="628"/>
      <c r="BU29" s="533">
        <f>BR30-BU30</f>
        <v>60175149.48999995</v>
      </c>
      <c r="BV29" s="617"/>
      <c r="BW29" s="614"/>
      <c r="BX29" s="618">
        <v>495312.5</v>
      </c>
      <c r="BY29" s="614"/>
    </row>
    <row r="30" spans="1:80" s="115" customFormat="1" x14ac:dyDescent="0.3">
      <c r="A30" s="435" t="s">
        <v>160</v>
      </c>
      <c r="B30" s="1252">
        <v>200</v>
      </c>
      <c r="C30" s="436" t="s">
        <v>149</v>
      </c>
      <c r="D30" s="1276">
        <f>D31+D52+D40</f>
        <v>3304618211.145</v>
      </c>
      <c r="E30" s="59">
        <f>H30+W30+AR30+AP30</f>
        <v>3320084836.6788397</v>
      </c>
      <c r="F30" s="410">
        <f t="shared" si="1"/>
        <v>15466625.533839703</v>
      </c>
      <c r="G30" s="293">
        <f>G31+G36+G40+G49+G52+G74+G78</f>
        <v>239742190.98000002</v>
      </c>
      <c r="H30" s="157">
        <f>H31+H43+H52</f>
        <v>328138690.97884035</v>
      </c>
      <c r="I30" s="294">
        <f>H30-G30</f>
        <v>88396499.998840332</v>
      </c>
      <c r="J30" s="293">
        <f>J31+J40+J52</f>
        <v>121550240.51000001</v>
      </c>
      <c r="K30" s="283">
        <f t="shared" ref="K30:L30" si="11">K31+K40+K52</f>
        <v>163190980.46499997</v>
      </c>
      <c r="L30" s="314">
        <f t="shared" si="11"/>
        <v>41640739.954999983</v>
      </c>
      <c r="M30" s="293">
        <f>M31+M36+M40+M49+M52+M74+M78</f>
        <v>73111481.360000014</v>
      </c>
      <c r="N30" s="157">
        <f>N31+N36+N40+N49+N52+N74+N78</f>
        <v>124229856.63702758</v>
      </c>
      <c r="O30" s="294">
        <f>N30-M30</f>
        <v>51118375.277027562</v>
      </c>
      <c r="P30" s="293">
        <f>P31+P36+P40+P49+P52+P74+P78</f>
        <v>45080469.100000001</v>
      </c>
      <c r="Q30" s="283">
        <f>Q31+Q36+Q40+Q49+Q52+Q74+Q78</f>
        <v>34901017.597189084</v>
      </c>
      <c r="R30" s="314">
        <f>Q30-P30</f>
        <v>-10179451.502810918</v>
      </c>
      <c r="S30" s="293"/>
      <c r="T30" s="283">
        <f>T31+T36+T40+T49+T52+T74+T78</f>
        <v>5816836.2661981788</v>
      </c>
      <c r="U30" s="314"/>
      <c r="V30" s="276">
        <f>V31+V36+V48+V49+V74+V52+V40</f>
        <v>2663328676.1499996</v>
      </c>
      <c r="W30" s="307">
        <f>W31+W36+W48+W49+W74+W52+W40</f>
        <v>2574932176.1499996</v>
      </c>
      <c r="X30" s="372">
        <f>W30-V30</f>
        <v>-88396500</v>
      </c>
      <c r="Y30" s="525">
        <f>Y31+Y40+Y52</f>
        <v>388193676.14999998</v>
      </c>
      <c r="Z30" s="307">
        <f>Z31+Z40+Z52</f>
        <v>2221891000</v>
      </c>
      <c r="AA30" s="153">
        <f>AA31+AA40+AA52</f>
        <v>2133494500</v>
      </c>
      <c r="AB30" s="357">
        <f t="shared" si="2"/>
        <v>-88396500</v>
      </c>
      <c r="AC30" s="379">
        <f>AC31+AC36+AC48+AC49+AC74+AC52+AC40</f>
        <v>22131000</v>
      </c>
      <c r="AD30" s="153">
        <f>AD31+AD36+AD48+AD49+AD74+AD52+AD40</f>
        <v>22130999.999999881</v>
      </c>
      <c r="AE30" s="357">
        <f>AE31+AE36+AE48+AE49+AE74+AE52+AE40</f>
        <v>0</v>
      </c>
      <c r="AF30" s="307">
        <v>6878578.4699999997</v>
      </c>
      <c r="AG30" s="153">
        <f t="shared" ref="AG30:AJ30" si="12">AG31+AG36+AG48+AG49+AG74+AG52+AG40</f>
        <v>6878578.4699999997</v>
      </c>
      <c r="AH30" s="357">
        <f>AG30-AF30</f>
        <v>0</v>
      </c>
      <c r="AI30" s="153">
        <v>15071900</v>
      </c>
      <c r="AJ30" s="153">
        <f t="shared" si="12"/>
        <v>15071900</v>
      </c>
      <c r="AK30" s="357">
        <f>AJ30-AI30</f>
        <v>0</v>
      </c>
      <c r="AL30" s="153">
        <v>9162521.5199999996</v>
      </c>
      <c r="AM30" s="153">
        <f t="shared" ref="AM30" si="13">AM31+AM36+AM48+AM49+AM74+AM52+AM40</f>
        <v>9162521.5199999996</v>
      </c>
      <c r="AN30" s="357">
        <f>AM30-AL30</f>
        <v>0</v>
      </c>
      <c r="AO30" s="422">
        <f>AO31+AO36+AO43+AO48+AO49+AO74+AO52</f>
        <v>0</v>
      </c>
      <c r="AP30" s="396">
        <f>AP31+AP36+AP48+AP49+AP52+AP74+AP40</f>
        <v>1908800</v>
      </c>
      <c r="AQ30" s="334">
        <v>399638544.01499999</v>
      </c>
      <c r="AR30" s="161">
        <f>AU30+AX30+BB30</f>
        <v>415105169.54999995</v>
      </c>
      <c r="AS30" s="335">
        <f t="shared" si="5"/>
        <v>15466625.534999967</v>
      </c>
      <c r="AT30" s="334">
        <f>AT31+AT36+AT48+AT49+AT74+AT52+AT40</f>
        <v>331413056.08999997</v>
      </c>
      <c r="AU30" s="161">
        <f>AU31+AU36+AU48+AU49+AU74+AU52+AU40</f>
        <v>331413056.08999997</v>
      </c>
      <c r="AV30" s="406">
        <f>AU30-AT30</f>
        <v>0</v>
      </c>
      <c r="AW30" s="334">
        <f>AW31+AW36+AW48+AW49+AW52+AW74+AW40</f>
        <v>55953690.5</v>
      </c>
      <c r="AX30" s="161">
        <f>AX31+AX36+AX48+AX49+AX52+AX74+AX40</f>
        <v>71106480.590000004</v>
      </c>
      <c r="AY30" s="335">
        <f>AX30-AW30</f>
        <v>15152790.090000004</v>
      </c>
      <c r="AZ30" s="539">
        <f>AZ31+AZ36+AZ43+AZ48+AZ49+AZ74+AZ52</f>
        <v>0</v>
      </c>
      <c r="BA30" s="334">
        <f>BA31+BA36+BA48+BA49+BA52+BA74+BA40</f>
        <v>12271797.430000002</v>
      </c>
      <c r="BB30" s="161">
        <f>BB31+BB36+BB48+BB49+BB52+BB74+BB40</f>
        <v>12585632.870000003</v>
      </c>
      <c r="BC30" s="335">
        <f>BB30-BA30</f>
        <v>313835.44000000134</v>
      </c>
      <c r="BE30" s="969">
        <v>315793818.93169999</v>
      </c>
      <c r="BF30" s="135">
        <f>BE30-AU30</f>
        <v>-15619237.158299983</v>
      </c>
      <c r="BL30" s="334">
        <f>BL31+BL36+BL48+BL49+BL52+BL74+BL40</f>
        <v>0</v>
      </c>
      <c r="BM30" s="539">
        <f>BM31+BM36+BM48+BM49+BM52+BM74+BM40</f>
        <v>15071900</v>
      </c>
      <c r="BN30" s="334">
        <f t="shared" ref="BN30:BO30" si="14">BN31+BN36+BN48+BN49+BN52+BN74+BN40</f>
        <v>69438047.340000004</v>
      </c>
      <c r="BO30" s="539">
        <f t="shared" si="14"/>
        <v>-60275525.819999993</v>
      </c>
      <c r="BR30" s="628">
        <f>AQ30</f>
        <v>399638544.01499999</v>
      </c>
      <c r="BS30" s="628">
        <f t="shared" ref="BS30:BS81" si="15">BV30+BX30</f>
        <v>331661665.28999996</v>
      </c>
      <c r="BT30" s="535">
        <f>BR30-BS30</f>
        <v>67976878.725000024</v>
      </c>
      <c r="BU30" s="334">
        <f>BU31+BU36+BU48+BU49+BU52+BU74+BU40</f>
        <v>339463394.52500004</v>
      </c>
      <c r="BV30" s="334">
        <f>BV31+BV36+BV48+BV49+BV52+BV74+BV40</f>
        <v>262223617.94999999</v>
      </c>
      <c r="BW30" s="539">
        <f>BW31+BW36+BW48+BW49+BW52+BW74+BW40</f>
        <v>69189438.140000001</v>
      </c>
      <c r="BX30" s="334">
        <f t="shared" ref="BX30:BY30" si="16">BX31+BX36+BX48+BX49+BX52+BX74+BX40</f>
        <v>69438047.340000004</v>
      </c>
      <c r="BY30" s="539">
        <f t="shared" si="16"/>
        <v>-13484356.840000002</v>
      </c>
    </row>
    <row r="31" spans="1:80" s="115" customFormat="1" ht="18.75" customHeight="1" x14ac:dyDescent="0.3">
      <c r="A31" s="435" t="s">
        <v>161</v>
      </c>
      <c r="B31" s="1252">
        <v>210</v>
      </c>
      <c r="C31" s="436">
        <v>110</v>
      </c>
      <c r="D31" s="1274">
        <f>D33+D34+D35</f>
        <v>424149150.20999998</v>
      </c>
      <c r="E31" s="59">
        <f>H31+W31+AR31+AP31</f>
        <v>505639926.57939994</v>
      </c>
      <c r="F31" s="410">
        <f t="shared" si="1"/>
        <v>81490776.369399965</v>
      </c>
      <c r="G31" s="293">
        <f>G33+G34+G35</f>
        <v>187885462.61000001</v>
      </c>
      <c r="H31" s="157">
        <f>H33+H34+H35</f>
        <v>259869525.55939999</v>
      </c>
      <c r="I31" s="294">
        <f>H31-G31</f>
        <v>71984062.949399978</v>
      </c>
      <c r="J31" s="293">
        <f>J33+J34+J35</f>
        <v>121550240.51000001</v>
      </c>
      <c r="K31" s="283">
        <f t="shared" ref="K31:L31" si="17">K33+K34+K35</f>
        <v>163190980.46499997</v>
      </c>
      <c r="L31" s="314">
        <f t="shared" si="17"/>
        <v>41640739.954999983</v>
      </c>
      <c r="M31" s="293">
        <f>M33+M34+M35</f>
        <v>40250801.520000003</v>
      </c>
      <c r="N31" s="157">
        <f>N33+N34+N35</f>
        <v>75343213.274399996</v>
      </c>
      <c r="O31" s="294">
        <f>N31-M31</f>
        <v>35092411.754399993</v>
      </c>
      <c r="P31" s="293">
        <f>P33+P34+P35</f>
        <v>26084420.580000002</v>
      </c>
      <c r="Q31" s="283">
        <f>Q33+Q34+Q35</f>
        <v>17969600</v>
      </c>
      <c r="R31" s="314">
        <f>Q31-P31</f>
        <v>-8114820.5800000019</v>
      </c>
      <c r="S31" s="293"/>
      <c r="T31" s="283">
        <f>T33+T34+T35</f>
        <v>3365731.82</v>
      </c>
      <c r="U31" s="314"/>
      <c r="V31" s="276">
        <f>V33+V34+V35</f>
        <v>24940779.410000004</v>
      </c>
      <c r="W31" s="307">
        <f>W33+W34+W35</f>
        <v>24940779.41</v>
      </c>
      <c r="X31" s="372">
        <f>W31-V31</f>
        <v>0</v>
      </c>
      <c r="Y31" s="525">
        <f>Y33+Y34</f>
        <v>0</v>
      </c>
      <c r="Z31" s="307">
        <v>0</v>
      </c>
      <c r="AA31" s="153">
        <f>AA33+AA34+AA35</f>
        <v>0</v>
      </c>
      <c r="AB31" s="357">
        <f t="shared" si="2"/>
        <v>0</v>
      </c>
      <c r="AC31" s="379">
        <f>AC33+AC34+AC35</f>
        <v>9868879.4100000001</v>
      </c>
      <c r="AD31" s="153">
        <f>AD33+AD34+AD35</f>
        <v>9868879.4100000001</v>
      </c>
      <c r="AE31" s="357">
        <f>AE33+AE34+AE35</f>
        <v>0</v>
      </c>
      <c r="AF31" s="307">
        <v>0</v>
      </c>
      <c r="AG31" s="153">
        <f>AG33+AG34</f>
        <v>0</v>
      </c>
      <c r="AH31" s="357">
        <f>AG31-AF31</f>
        <v>0</v>
      </c>
      <c r="AI31" s="153">
        <v>15071900</v>
      </c>
      <c r="AJ31" s="153">
        <f>AJ33+AJ34</f>
        <v>15071900</v>
      </c>
      <c r="AK31" s="357">
        <f>AJ31-AI31</f>
        <v>0</v>
      </c>
      <c r="AL31" s="153">
        <v>0</v>
      </c>
      <c r="AM31" s="153">
        <f>AM33+AM34</f>
        <v>0</v>
      </c>
      <c r="AN31" s="357">
        <f>AM31-AL31</f>
        <v>0</v>
      </c>
      <c r="AO31" s="422">
        <f>AO33+AO34+AO35</f>
        <v>0</v>
      </c>
      <c r="AP31" s="396">
        <f>AP33+AP34+AP35</f>
        <v>1858800</v>
      </c>
      <c r="AQ31" s="334">
        <v>209464108.19</v>
      </c>
      <c r="AR31" s="161">
        <f>AU31+AX31+BB31</f>
        <v>218970821.60999998</v>
      </c>
      <c r="AS31" s="335">
        <f t="shared" si="5"/>
        <v>9506713.4199999869</v>
      </c>
      <c r="AT31" s="334">
        <f>AT33+AT34+AT35</f>
        <v>170310396.47</v>
      </c>
      <c r="AU31" s="161">
        <f>AU33+AU34+AU35</f>
        <v>170310396.47</v>
      </c>
      <c r="AV31" s="406">
        <f>AU31-AT31</f>
        <v>0</v>
      </c>
      <c r="AW31" s="334">
        <f>AW33+AW34+AW35</f>
        <v>32053015.510000002</v>
      </c>
      <c r="AX31" s="161">
        <f>AX33+AX34+AX35</f>
        <v>41245893.489999995</v>
      </c>
      <c r="AY31" s="335">
        <f>AX31-AW31</f>
        <v>9192877.979999993</v>
      </c>
      <c r="AZ31" s="539">
        <f>AZ33+AZ34+AZ35</f>
        <v>0</v>
      </c>
      <c r="BA31" s="334">
        <f>BA33+BA34+BA35</f>
        <v>7100696.21</v>
      </c>
      <c r="BB31" s="161">
        <f>BB33+BB34+BB35</f>
        <v>7414531.6499999994</v>
      </c>
      <c r="BC31" s="335">
        <f>BB31-BA31</f>
        <v>313835.43999999948</v>
      </c>
      <c r="BL31" s="334">
        <f>BL33+BL34+BL35</f>
        <v>0</v>
      </c>
      <c r="BM31" s="539">
        <f>BM33+BM34+BM35</f>
        <v>15071900</v>
      </c>
      <c r="BN31" s="334">
        <f t="shared" ref="BN31:BO31" si="18">BN33+BN34+BN35</f>
        <v>43280242.210000001</v>
      </c>
      <c r="BO31" s="539">
        <f t="shared" si="18"/>
        <v>-43280242.210000001</v>
      </c>
      <c r="BR31" s="628">
        <f>AQ31</f>
        <v>209464108.19</v>
      </c>
      <c r="BS31" s="628">
        <f t="shared" si="15"/>
        <v>198794090.73000002</v>
      </c>
      <c r="BT31" s="535">
        <f t="shared" ref="BT31:BT81" si="19">BR31-BS31</f>
        <v>10670017.459999979</v>
      </c>
      <c r="BU31" s="334">
        <f>BU33+BU34+BU35</f>
        <v>207156438.47000003</v>
      </c>
      <c r="BV31" s="334">
        <f>BV33+BV34+BV35</f>
        <v>155513848.52000001</v>
      </c>
      <c r="BW31" s="539">
        <f>BW33+BW34+BW35</f>
        <v>14796547.949999996</v>
      </c>
      <c r="BX31" s="334">
        <f t="shared" ref="BX31:BY31" si="20">BX33+BX34+BX35</f>
        <v>43280242.210000001</v>
      </c>
      <c r="BY31" s="539">
        <f t="shared" si="20"/>
        <v>-11227226.700000003</v>
      </c>
    </row>
    <row r="32" spans="1:80" x14ac:dyDescent="0.3">
      <c r="A32" s="437" t="s">
        <v>92</v>
      </c>
      <c r="B32" s="133"/>
      <c r="C32" s="438"/>
      <c r="D32" s="1275"/>
      <c r="E32" s="59">
        <f>H32+W32+AQ32+AP32</f>
        <v>0</v>
      </c>
      <c r="F32" s="410">
        <f t="shared" si="1"/>
        <v>0</v>
      </c>
      <c r="G32" s="297"/>
      <c r="H32" s="158"/>
      <c r="I32" s="294">
        <f t="shared" ref="I32:I81" si="21">H32-G32</f>
        <v>0</v>
      </c>
      <c r="J32" s="297"/>
      <c r="K32" s="158"/>
      <c r="L32" s="298"/>
      <c r="M32" s="297"/>
      <c r="N32" s="158"/>
      <c r="O32" s="298"/>
      <c r="P32" s="297"/>
      <c r="Q32" s="285"/>
      <c r="R32" s="316"/>
      <c r="S32" s="297"/>
      <c r="T32" s="285"/>
      <c r="U32" s="316"/>
      <c r="V32" s="279"/>
      <c r="W32" s="310"/>
      <c r="X32" s="375"/>
      <c r="Y32" s="528"/>
      <c r="Z32" s="310"/>
      <c r="AA32" s="63"/>
      <c r="AB32" s="357">
        <f t="shared" si="2"/>
        <v>0</v>
      </c>
      <c r="AC32" s="382"/>
      <c r="AD32" s="153">
        <f>AC32-AB32</f>
        <v>0</v>
      </c>
      <c r="AE32" s="357">
        <f>AC32-AB32</f>
        <v>0</v>
      </c>
      <c r="AF32" s="310"/>
      <c r="AG32" s="63"/>
      <c r="AH32" s="360"/>
      <c r="AI32" s="279"/>
      <c r="AJ32" s="63"/>
      <c r="AK32" s="360"/>
      <c r="AL32" s="279"/>
      <c r="AM32" s="63"/>
      <c r="AN32" s="360"/>
      <c r="AO32" s="425"/>
      <c r="AP32" s="395"/>
      <c r="AQ32" s="334">
        <v>0</v>
      </c>
      <c r="AR32" s="161">
        <f t="shared" ref="AR32:AR80" si="22">AU32+AX32+BB32</f>
        <v>0</v>
      </c>
      <c r="AS32" s="335">
        <f t="shared" si="5"/>
        <v>0</v>
      </c>
      <c r="AT32" s="338"/>
      <c r="AU32" s="162"/>
      <c r="AV32" s="1019"/>
      <c r="AW32" s="338"/>
      <c r="AX32" s="162"/>
      <c r="AY32" s="339"/>
      <c r="AZ32" s="540"/>
      <c r="BA32" s="338"/>
      <c r="BB32" s="162"/>
      <c r="BC32" s="339"/>
      <c r="BL32" s="617"/>
      <c r="BM32" s="614"/>
      <c r="BN32" s="625"/>
      <c r="BO32" s="614"/>
      <c r="BR32" s="628">
        <f t="shared" ref="BR32:BR83" si="23">AQ32</f>
        <v>0</v>
      </c>
      <c r="BS32" s="628">
        <f t="shared" si="15"/>
        <v>0</v>
      </c>
      <c r="BT32" s="535">
        <f t="shared" si="19"/>
        <v>0</v>
      </c>
      <c r="BU32" s="533"/>
      <c r="BV32" s="617"/>
      <c r="BW32" s="614"/>
      <c r="BX32" s="625"/>
      <c r="BY32" s="614"/>
    </row>
    <row r="33" spans="1:77" ht="18.75" customHeight="1" x14ac:dyDescent="0.3">
      <c r="A33" s="437" t="s">
        <v>162</v>
      </c>
      <c r="B33" s="1385">
        <v>211</v>
      </c>
      <c r="C33" s="1255">
        <v>111</v>
      </c>
      <c r="D33" s="1275">
        <f t="shared" ref="D33:D35" si="24">G33+V33+AQ33+AP33</f>
        <v>324309100.47144389</v>
      </c>
      <c r="E33" s="64">
        <f>H33+W33+AR33+AP33</f>
        <v>384206962.12144393</v>
      </c>
      <c r="F33" s="1248">
        <f t="shared" si="1"/>
        <v>59897861.650000036</v>
      </c>
      <c r="G33" s="297">
        <v>143436558.53</v>
      </c>
      <c r="H33" s="158">
        <f>K33+N33+Q33+T33</f>
        <v>196098609.77000001</v>
      </c>
      <c r="I33" s="298">
        <f t="shared" si="21"/>
        <v>52662051.24000001</v>
      </c>
      <c r="J33" s="297">
        <v>93378135.340000004</v>
      </c>
      <c r="K33" s="158">
        <v>125338694.68000001</v>
      </c>
      <c r="L33" s="298">
        <f>K33-J33</f>
        <v>31960559.340000004</v>
      </c>
      <c r="M33" s="297">
        <v>30201086.870000001</v>
      </c>
      <c r="N33" s="158">
        <f>71282583.43-Q33-T33-522668.34</f>
        <v>54374871.270000003</v>
      </c>
      <c r="O33" s="298">
        <f>N33-M33</f>
        <v>24173784.400000002</v>
      </c>
      <c r="P33" s="297">
        <v>19857336.32</v>
      </c>
      <c r="Q33" s="285">
        <v>13800000</v>
      </c>
      <c r="R33" s="316">
        <f>Q33-P33</f>
        <v>-6057336.3200000003</v>
      </c>
      <c r="S33" s="297"/>
      <c r="T33" s="285">
        <f>2585043.82</f>
        <v>2585043.8199999998</v>
      </c>
      <c r="U33" s="316"/>
      <c r="V33" s="279">
        <v>19155752.181443933</v>
      </c>
      <c r="W33" s="310">
        <f>Y33+AA33+AD33+AG33+AJ33+AM33</f>
        <v>19155752.181443933</v>
      </c>
      <c r="X33" s="1075">
        <f>W33-V33</f>
        <v>0</v>
      </c>
      <c r="Y33" s="528"/>
      <c r="Z33" s="310"/>
      <c r="AA33" s="63"/>
      <c r="AB33" s="357">
        <f t="shared" si="2"/>
        <v>0</v>
      </c>
      <c r="AC33" s="382">
        <v>7579792.1200000001</v>
      </c>
      <c r="AD33" s="63">
        <v>7579792.1200000001</v>
      </c>
      <c r="AE33" s="360"/>
      <c r="AF33" s="310"/>
      <c r="AG33" s="63"/>
      <c r="AH33" s="360">
        <f>AG33-AF33</f>
        <v>0</v>
      </c>
      <c r="AI33" s="63">
        <v>11575960.061443932</v>
      </c>
      <c r="AJ33" s="63">
        <f>15071900/1.302</f>
        <v>11575960.061443932</v>
      </c>
      <c r="AK33" s="360">
        <f>AJ33-AI33</f>
        <v>0</v>
      </c>
      <c r="AL33" s="279"/>
      <c r="AM33" s="63"/>
      <c r="AN33" s="360">
        <f>AM33-AL33</f>
        <v>0</v>
      </c>
      <c r="AO33" s="425"/>
      <c r="AP33" s="395">
        <v>1427649.77</v>
      </c>
      <c r="AQ33" s="334">
        <v>160289139.99000001</v>
      </c>
      <c r="AR33" s="161">
        <f t="shared" si="22"/>
        <v>167524950.40000001</v>
      </c>
      <c r="AS33" s="335">
        <f t="shared" si="5"/>
        <v>7235810.4099999964</v>
      </c>
      <c r="AT33" s="338">
        <v>130433900.66</v>
      </c>
      <c r="AU33" s="162">
        <v>130433900.66</v>
      </c>
      <c r="AV33" s="1019">
        <f>AU33-AT33</f>
        <v>0</v>
      </c>
      <c r="AW33" s="338">
        <v>24449679.02</v>
      </c>
      <c r="AX33" s="162">
        <v>31371653.989999998</v>
      </c>
      <c r="AY33" s="339">
        <f>AX33-AW33</f>
        <v>6921974.9699999988</v>
      </c>
      <c r="AZ33" s="540"/>
      <c r="BA33" s="338">
        <v>5405560.3099999996</v>
      </c>
      <c r="BB33" s="162">
        <f>5405560.31+313835.44</f>
        <v>5719395.75</v>
      </c>
      <c r="BC33" s="339">
        <f>BB33-BA33</f>
        <v>313835.44000000041</v>
      </c>
      <c r="BL33" s="617"/>
      <c r="BM33" s="621">
        <f>AJ33-BL33</f>
        <v>11575960.061443932</v>
      </c>
      <c r="BN33" s="617">
        <v>33573582.210000001</v>
      </c>
      <c r="BO33" s="621">
        <f>AM33-BN33</f>
        <v>-33573582.210000001</v>
      </c>
      <c r="BR33" s="629">
        <f t="shared" si="23"/>
        <v>160289139.99000001</v>
      </c>
      <c r="BS33" s="629">
        <f t="shared" si="15"/>
        <v>151333957.74000001</v>
      </c>
      <c r="BT33" s="533">
        <f t="shared" si="19"/>
        <v>8955182.25</v>
      </c>
      <c r="BU33" s="533">
        <f>BR33</f>
        <v>160289139.99000001</v>
      </c>
      <c r="BV33" s="617">
        <v>117760375.53</v>
      </c>
      <c r="BW33" s="621">
        <f>AT33-BV33</f>
        <v>12673525.129999995</v>
      </c>
      <c r="BX33" s="617">
        <v>33573582.210000001</v>
      </c>
      <c r="BY33" s="621">
        <f>AW33-BX33</f>
        <v>-9123903.1900000013</v>
      </c>
    </row>
    <row r="34" spans="1:77" ht="18.75" customHeight="1" x14ac:dyDescent="0.3">
      <c r="A34" s="437" t="s">
        <v>163</v>
      </c>
      <c r="B34" s="1385"/>
      <c r="C34" s="1255">
        <v>119</v>
      </c>
      <c r="D34" s="1275">
        <f t="shared" si="24"/>
        <v>98547733.468556091</v>
      </c>
      <c r="E34" s="64">
        <f>H34+W34+AR34+AP34</f>
        <v>119960180.48795606</v>
      </c>
      <c r="F34" s="1073">
        <f t="shared" si="1"/>
        <v>21412447.019399971</v>
      </c>
      <c r="G34" s="297">
        <v>43924235.740000002</v>
      </c>
      <c r="H34" s="158">
        <f>K34+N34+Q34+T34</f>
        <v>63246247.44939997</v>
      </c>
      <c r="I34" s="298">
        <f t="shared" si="21"/>
        <v>19322011.709399968</v>
      </c>
      <c r="J34" s="297">
        <v>28172105.169999998</v>
      </c>
      <c r="K34" s="158">
        <f>37852285.79-0.00500001-0.000000015</f>
        <v>37852285.784999974</v>
      </c>
      <c r="L34" s="298">
        <f>K34-J34</f>
        <v>9680180.614999976</v>
      </c>
      <c r="M34" s="297">
        <v>9701799.1500000004</v>
      </c>
      <c r="N34" s="158">
        <v>20445673.664399996</v>
      </c>
      <c r="O34" s="298">
        <f>N34-M34</f>
        <v>10743874.514399996</v>
      </c>
      <c r="P34" s="297">
        <v>6050331.4199999999</v>
      </c>
      <c r="Q34" s="285">
        <v>4167600</v>
      </c>
      <c r="R34" s="316">
        <f>Q34-P34</f>
        <v>-1882731.42</v>
      </c>
      <c r="S34" s="297"/>
      <c r="T34" s="285">
        <v>780688</v>
      </c>
      <c r="U34" s="316"/>
      <c r="V34" s="279">
        <v>5785027.2285560705</v>
      </c>
      <c r="W34" s="310">
        <f>Y34+AA34+AD34+AG34+AJ34+AM34</f>
        <v>5785027.2285560677</v>
      </c>
      <c r="X34" s="1074">
        <f>W34-V34</f>
        <v>0</v>
      </c>
      <c r="Y34" s="528"/>
      <c r="Z34" s="310"/>
      <c r="AA34" s="63"/>
      <c r="AB34" s="357">
        <f t="shared" si="2"/>
        <v>0</v>
      </c>
      <c r="AC34" s="382">
        <v>2289087.29</v>
      </c>
      <c r="AD34" s="63">
        <v>2289087.29</v>
      </c>
      <c r="AE34" s="360"/>
      <c r="AF34" s="310"/>
      <c r="AG34" s="63"/>
      <c r="AH34" s="360">
        <f>AG34-AF34</f>
        <v>0</v>
      </c>
      <c r="AI34" s="63">
        <v>3495939.9385560676</v>
      </c>
      <c r="AJ34" s="63">
        <f>15071900-AJ33</f>
        <v>3495939.9385560676</v>
      </c>
      <c r="AK34" s="360">
        <f>AJ34-AI34</f>
        <v>0</v>
      </c>
      <c r="AL34" s="279"/>
      <c r="AM34" s="63"/>
      <c r="AN34" s="360">
        <f>AM34-AL34</f>
        <v>0</v>
      </c>
      <c r="AO34" s="425"/>
      <c r="AP34" s="395">
        <v>431150.23</v>
      </c>
      <c r="AQ34" s="334">
        <v>48407320.270000003</v>
      </c>
      <c r="AR34" s="161">
        <f t="shared" si="22"/>
        <v>50497755.580000006</v>
      </c>
      <c r="AS34" s="335">
        <f t="shared" si="5"/>
        <v>2090435.3100000024</v>
      </c>
      <c r="AT34" s="338">
        <v>39376495.810000002</v>
      </c>
      <c r="AU34" s="162">
        <v>39376495.810000002</v>
      </c>
      <c r="AV34" s="1019">
        <f>AU34-AT34</f>
        <v>0</v>
      </c>
      <c r="AW34" s="338">
        <v>7383804.1900000004</v>
      </c>
      <c r="AX34" s="162">
        <v>9474239.5</v>
      </c>
      <c r="AY34" s="339">
        <f>AX34-AW34</f>
        <v>2090435.3099999996</v>
      </c>
      <c r="AZ34" s="540"/>
      <c r="BA34" s="338">
        <v>1647020.27</v>
      </c>
      <c r="BB34" s="162">
        <v>1647020.27</v>
      </c>
      <c r="BC34" s="339">
        <f>BB34-BA34</f>
        <v>0</v>
      </c>
      <c r="BL34" s="617"/>
      <c r="BM34" s="621">
        <f>AJ34-BL34</f>
        <v>3495939.9385560676</v>
      </c>
      <c r="BN34" s="617">
        <v>9464700.4900000002</v>
      </c>
      <c r="BO34" s="621">
        <f t="shared" ref="BO34:BO35" si="25">AM34-BN34</f>
        <v>-9464700.4900000002</v>
      </c>
      <c r="BR34" s="629">
        <f t="shared" si="23"/>
        <v>48407320.270000003</v>
      </c>
      <c r="BS34" s="629">
        <f t="shared" si="15"/>
        <v>46099650.550000004</v>
      </c>
      <c r="BT34" s="533">
        <f t="shared" si="19"/>
        <v>2307669.7199999988</v>
      </c>
      <c r="BU34" s="533">
        <f>BS34</f>
        <v>46099650.550000004</v>
      </c>
      <c r="BV34" s="617">
        <f>36338408.06+96542+200000</f>
        <v>36634950.060000002</v>
      </c>
      <c r="BW34" s="621">
        <f>AT34-BV34</f>
        <v>2741545.75</v>
      </c>
      <c r="BX34" s="617">
        <v>9464700.4900000002</v>
      </c>
      <c r="BY34" s="621">
        <f t="shared" ref="BY34:BY35" si="26">AW34-BX34</f>
        <v>-2080896.2999999998</v>
      </c>
    </row>
    <row r="35" spans="1:77" ht="39.75" customHeight="1" x14ac:dyDescent="0.3">
      <c r="A35" s="437" t="s">
        <v>164</v>
      </c>
      <c r="B35" s="1385"/>
      <c r="C35" s="1255">
        <v>112</v>
      </c>
      <c r="D35" s="1275">
        <f t="shared" si="24"/>
        <v>1292316.27</v>
      </c>
      <c r="E35" s="64">
        <f>H35+W35+AR35+AP35</f>
        <v>1472783.97</v>
      </c>
      <c r="F35" s="410">
        <f t="shared" si="1"/>
        <v>180467.69999999995</v>
      </c>
      <c r="G35" s="297">
        <v>524668.34</v>
      </c>
      <c r="H35" s="158">
        <f>N35+Q35+T35</f>
        <v>524668.34</v>
      </c>
      <c r="I35" s="298">
        <f t="shared" si="21"/>
        <v>0</v>
      </c>
      <c r="J35" s="297"/>
      <c r="K35" s="158"/>
      <c r="L35" s="298"/>
      <c r="M35" s="297">
        <v>347915.5</v>
      </c>
      <c r="N35" s="158">
        <f t="shared" ref="N35" si="27">G35-J35-Q35</f>
        <v>522668.33999999997</v>
      </c>
      <c r="O35" s="298">
        <f>N35-M35</f>
        <v>174752.83999999997</v>
      </c>
      <c r="P35" s="297">
        <v>176752.84</v>
      </c>
      <c r="Q35" s="285">
        <v>2000</v>
      </c>
      <c r="R35" s="316">
        <f>Q35-P35</f>
        <v>-174752.84</v>
      </c>
      <c r="S35" s="297"/>
      <c r="T35" s="285"/>
      <c r="U35" s="316"/>
      <c r="V35" s="279"/>
      <c r="W35" s="310"/>
      <c r="X35" s="375"/>
      <c r="Y35" s="528"/>
      <c r="Z35" s="310"/>
      <c r="AA35" s="63"/>
      <c r="AB35" s="357"/>
      <c r="AC35" s="382"/>
      <c r="AD35" s="153"/>
      <c r="AE35" s="357"/>
      <c r="AF35" s="310"/>
      <c r="AG35" s="63"/>
      <c r="AH35" s="360"/>
      <c r="AI35" s="279"/>
      <c r="AJ35" s="63"/>
      <c r="AK35" s="360"/>
      <c r="AL35" s="279"/>
      <c r="AM35" s="63"/>
      <c r="AN35" s="360"/>
      <c r="AO35" s="425"/>
      <c r="AP35" s="395"/>
      <c r="AQ35" s="334">
        <v>767647.93</v>
      </c>
      <c r="AR35" s="161">
        <f t="shared" si="22"/>
        <v>948115.63</v>
      </c>
      <c r="AS35" s="335">
        <f t="shared" si="5"/>
        <v>180467.69999999995</v>
      </c>
      <c r="AT35" s="338">
        <v>500000</v>
      </c>
      <c r="AU35" s="162">
        <v>500000</v>
      </c>
      <c r="AV35" s="1019">
        <f>AU35-AT35</f>
        <v>0</v>
      </c>
      <c r="AW35" s="338">
        <v>219532.3</v>
      </c>
      <c r="AX35" s="162">
        <v>400000</v>
      </c>
      <c r="AY35" s="339">
        <f>AX35-AW35</f>
        <v>180467.7</v>
      </c>
      <c r="AZ35" s="540"/>
      <c r="BA35" s="338">
        <v>48115.63</v>
      </c>
      <c r="BB35" s="162">
        <v>48115.63</v>
      </c>
      <c r="BC35" s="339">
        <f>BB35-BA35</f>
        <v>0</v>
      </c>
      <c r="BL35" s="617"/>
      <c r="BM35" s="621">
        <f>AJ35-BL35</f>
        <v>0</v>
      </c>
      <c r="BN35" s="617">
        <v>241959.51</v>
      </c>
      <c r="BO35" s="621">
        <f t="shared" si="25"/>
        <v>-241959.51</v>
      </c>
      <c r="BR35" s="629">
        <f t="shared" si="23"/>
        <v>767647.93</v>
      </c>
      <c r="BS35" s="629">
        <f t="shared" si="15"/>
        <v>1360482.44</v>
      </c>
      <c r="BT35" s="533">
        <f t="shared" si="19"/>
        <v>-592834.50999999989</v>
      </c>
      <c r="BU35" s="533">
        <f>BR35</f>
        <v>767647.93</v>
      </c>
      <c r="BV35" s="617">
        <v>1118522.93</v>
      </c>
      <c r="BW35" s="621">
        <f>AT35-BV35</f>
        <v>-618522.92999999993</v>
      </c>
      <c r="BX35" s="617">
        <v>241959.51</v>
      </c>
      <c r="BY35" s="621">
        <f t="shared" si="26"/>
        <v>-22427.210000000021</v>
      </c>
    </row>
    <row r="36" spans="1:77" s="115" customFormat="1" ht="31.5" x14ac:dyDescent="0.3">
      <c r="A36" s="435" t="s">
        <v>165</v>
      </c>
      <c r="B36" s="1385">
        <v>220</v>
      </c>
      <c r="C36" s="436">
        <v>300</v>
      </c>
      <c r="D36" s="1274">
        <v>0</v>
      </c>
      <c r="E36" s="59">
        <f>H36+W36+AQ36+AP36</f>
        <v>0</v>
      </c>
      <c r="F36" s="410">
        <f t="shared" si="1"/>
        <v>0</v>
      </c>
      <c r="G36" s="293">
        <f>G38+G39</f>
        <v>0</v>
      </c>
      <c r="H36" s="157"/>
      <c r="I36" s="298">
        <f t="shared" si="21"/>
        <v>0</v>
      </c>
      <c r="J36" s="293"/>
      <c r="K36" s="157"/>
      <c r="L36" s="294"/>
      <c r="M36" s="293"/>
      <c r="N36" s="157"/>
      <c r="O36" s="294"/>
      <c r="P36" s="293"/>
      <c r="Q36" s="283"/>
      <c r="R36" s="314"/>
      <c r="S36" s="293"/>
      <c r="T36" s="283"/>
      <c r="U36" s="314"/>
      <c r="V36" s="276"/>
      <c r="W36" s="307"/>
      <c r="X36" s="372"/>
      <c r="Y36" s="525"/>
      <c r="Z36" s="307">
        <v>0</v>
      </c>
      <c r="AA36" s="153">
        <v>0</v>
      </c>
      <c r="AB36" s="357">
        <f t="shared" si="2"/>
        <v>0</v>
      </c>
      <c r="AC36" s="379">
        <v>0</v>
      </c>
      <c r="AD36" s="153">
        <f>AC36-AB36</f>
        <v>0</v>
      </c>
      <c r="AE36" s="357">
        <f>AC36-AB36</f>
        <v>0</v>
      </c>
      <c r="AF36" s="307"/>
      <c r="AG36" s="153"/>
      <c r="AH36" s="357"/>
      <c r="AI36" s="276"/>
      <c r="AJ36" s="153"/>
      <c r="AK36" s="357"/>
      <c r="AL36" s="276"/>
      <c r="AM36" s="153"/>
      <c r="AN36" s="357"/>
      <c r="AO36" s="422">
        <f>AO38+AO39</f>
        <v>0</v>
      </c>
      <c r="AP36" s="396">
        <v>0</v>
      </c>
      <c r="AQ36" s="334">
        <v>0</v>
      </c>
      <c r="AR36" s="161">
        <f t="shared" si="22"/>
        <v>0</v>
      </c>
      <c r="AS36" s="335">
        <f t="shared" si="5"/>
        <v>0</v>
      </c>
      <c r="AT36" s="334"/>
      <c r="AU36" s="162">
        <f t="shared" ref="AU36" si="28">AQ36-AX36-BB36</f>
        <v>0</v>
      </c>
      <c r="AV36" s="406"/>
      <c r="AW36" s="334"/>
      <c r="AX36" s="161"/>
      <c r="AY36" s="335"/>
      <c r="AZ36" s="539">
        <f>AZ38+AZ39</f>
        <v>0</v>
      </c>
      <c r="BA36" s="334"/>
      <c r="BB36" s="161"/>
      <c r="BC36" s="335"/>
      <c r="BL36" s="617"/>
      <c r="BM36" s="621">
        <f>AK36-BL36</f>
        <v>0</v>
      </c>
      <c r="BN36" s="617"/>
      <c r="BO36" s="621"/>
      <c r="BR36" s="628">
        <f t="shared" si="23"/>
        <v>0</v>
      </c>
      <c r="BS36" s="628">
        <f t="shared" si="15"/>
        <v>0</v>
      </c>
      <c r="BT36" s="535">
        <f t="shared" si="19"/>
        <v>0</v>
      </c>
      <c r="BU36" s="533"/>
      <c r="BV36" s="617"/>
      <c r="BW36" s="621">
        <f>AU36-BV36</f>
        <v>0</v>
      </c>
      <c r="BX36" s="617"/>
      <c r="BY36" s="621"/>
    </row>
    <row r="37" spans="1:77" x14ac:dyDescent="0.3">
      <c r="A37" s="437" t="s">
        <v>92</v>
      </c>
      <c r="B37" s="1385"/>
      <c r="C37" s="438"/>
      <c r="D37" s="1275"/>
      <c r="E37" s="59">
        <f>H37+W37+AQ37+AP37</f>
        <v>0</v>
      </c>
      <c r="F37" s="410">
        <f t="shared" si="1"/>
        <v>0</v>
      </c>
      <c r="G37" s="297"/>
      <c r="H37" s="158"/>
      <c r="I37" s="298">
        <f t="shared" si="21"/>
        <v>0</v>
      </c>
      <c r="J37" s="297"/>
      <c r="K37" s="158"/>
      <c r="L37" s="298"/>
      <c r="M37" s="297"/>
      <c r="N37" s="158"/>
      <c r="O37" s="298"/>
      <c r="P37" s="297"/>
      <c r="Q37" s="285"/>
      <c r="R37" s="316"/>
      <c r="S37" s="297"/>
      <c r="T37" s="285"/>
      <c r="U37" s="316"/>
      <c r="V37" s="279"/>
      <c r="W37" s="310"/>
      <c r="X37" s="375"/>
      <c r="Y37" s="528"/>
      <c r="Z37" s="310"/>
      <c r="AA37" s="63"/>
      <c r="AB37" s="357">
        <f t="shared" si="2"/>
        <v>0</v>
      </c>
      <c r="AC37" s="382"/>
      <c r="AD37" s="153">
        <f>AC37-AB37</f>
        <v>0</v>
      </c>
      <c r="AE37" s="357">
        <f>AC37-AB37</f>
        <v>0</v>
      </c>
      <c r="AF37" s="310"/>
      <c r="AG37" s="63"/>
      <c r="AH37" s="360"/>
      <c r="AI37" s="279"/>
      <c r="AJ37" s="63"/>
      <c r="AK37" s="360"/>
      <c r="AL37" s="279"/>
      <c r="AM37" s="63"/>
      <c r="AN37" s="360"/>
      <c r="AO37" s="425"/>
      <c r="AP37" s="395"/>
      <c r="AQ37" s="334">
        <v>0</v>
      </c>
      <c r="AR37" s="161">
        <f t="shared" si="22"/>
        <v>0</v>
      </c>
      <c r="AS37" s="335">
        <f t="shared" si="5"/>
        <v>0</v>
      </c>
      <c r="AT37" s="338"/>
      <c r="AU37" s="162"/>
      <c r="AV37" s="1019"/>
      <c r="AW37" s="338"/>
      <c r="AX37" s="162"/>
      <c r="AY37" s="339"/>
      <c r="AZ37" s="540"/>
      <c r="BA37" s="338"/>
      <c r="BB37" s="162"/>
      <c r="BC37" s="339"/>
      <c r="BL37" s="617"/>
      <c r="BM37" s="621">
        <f>AK37-BL37</f>
        <v>0</v>
      </c>
      <c r="BN37" s="617"/>
      <c r="BO37" s="621"/>
      <c r="BR37" s="628">
        <f t="shared" si="23"/>
        <v>0</v>
      </c>
      <c r="BS37" s="628">
        <f t="shared" si="15"/>
        <v>0</v>
      </c>
      <c r="BT37" s="535">
        <f t="shared" si="19"/>
        <v>0</v>
      </c>
      <c r="BU37" s="533"/>
      <c r="BV37" s="617"/>
      <c r="BW37" s="621">
        <f>AU37-BV37</f>
        <v>0</v>
      </c>
      <c r="BX37" s="617"/>
      <c r="BY37" s="621"/>
    </row>
    <row r="38" spans="1:77" x14ac:dyDescent="0.3">
      <c r="A38" s="1446" t="s">
        <v>166</v>
      </c>
      <c r="B38" s="1385"/>
      <c r="C38" s="1255">
        <v>321</v>
      </c>
      <c r="D38" s="1275"/>
      <c r="E38" s="59">
        <f>H38+W38+AQ38+AP38</f>
        <v>0</v>
      </c>
      <c r="F38" s="410">
        <f t="shared" si="1"/>
        <v>0</v>
      </c>
      <c r="G38" s="297"/>
      <c r="H38" s="158"/>
      <c r="I38" s="298">
        <f t="shared" si="21"/>
        <v>0</v>
      </c>
      <c r="J38" s="297"/>
      <c r="K38" s="158"/>
      <c r="L38" s="298"/>
      <c r="M38" s="297"/>
      <c r="N38" s="158"/>
      <c r="O38" s="298"/>
      <c r="P38" s="297"/>
      <c r="Q38" s="285"/>
      <c r="R38" s="316"/>
      <c r="S38" s="297"/>
      <c r="T38" s="285"/>
      <c r="U38" s="316"/>
      <c r="V38" s="279"/>
      <c r="W38" s="310"/>
      <c r="X38" s="375"/>
      <c r="Y38" s="528"/>
      <c r="Z38" s="310"/>
      <c r="AA38" s="63"/>
      <c r="AB38" s="357">
        <f t="shared" si="2"/>
        <v>0</v>
      </c>
      <c r="AC38" s="382"/>
      <c r="AD38" s="153">
        <f>AC38-AB38</f>
        <v>0</v>
      </c>
      <c r="AE38" s="357">
        <f>AC38-AB38</f>
        <v>0</v>
      </c>
      <c r="AF38" s="310"/>
      <c r="AG38" s="63"/>
      <c r="AH38" s="360"/>
      <c r="AI38" s="279"/>
      <c r="AJ38" s="63"/>
      <c r="AK38" s="360"/>
      <c r="AL38" s="279"/>
      <c r="AM38" s="63"/>
      <c r="AN38" s="360"/>
      <c r="AO38" s="425"/>
      <c r="AP38" s="395"/>
      <c r="AQ38" s="334">
        <v>0</v>
      </c>
      <c r="AR38" s="161">
        <f t="shared" si="22"/>
        <v>0</v>
      </c>
      <c r="AS38" s="335">
        <f t="shared" si="5"/>
        <v>0</v>
      </c>
      <c r="AT38" s="338"/>
      <c r="AU38" s="162"/>
      <c r="AV38" s="1019"/>
      <c r="AW38" s="338"/>
      <c r="AX38" s="162"/>
      <c r="AY38" s="339"/>
      <c r="AZ38" s="540"/>
      <c r="BA38" s="338"/>
      <c r="BB38" s="162"/>
      <c r="BC38" s="339"/>
      <c r="BL38" s="617"/>
      <c r="BM38" s="621">
        <f>AK38-BL38</f>
        <v>0</v>
      </c>
      <c r="BN38" s="617"/>
      <c r="BO38" s="621"/>
      <c r="BR38" s="628">
        <f t="shared" si="23"/>
        <v>0</v>
      </c>
      <c r="BS38" s="628">
        <f t="shared" si="15"/>
        <v>0</v>
      </c>
      <c r="BT38" s="535">
        <f t="shared" si="19"/>
        <v>0</v>
      </c>
      <c r="BU38" s="533"/>
      <c r="BV38" s="617"/>
      <c r="BW38" s="621">
        <f>AU38-BV38</f>
        <v>0</v>
      </c>
      <c r="BX38" s="617"/>
      <c r="BY38" s="621"/>
    </row>
    <row r="39" spans="1:77" x14ac:dyDescent="0.3">
      <c r="A39" s="1447"/>
      <c r="B39" s="1385"/>
      <c r="C39" s="1255">
        <v>360</v>
      </c>
      <c r="D39" s="1275"/>
      <c r="E39" s="59">
        <f>H39+W39+AQ39+AP39</f>
        <v>0</v>
      </c>
      <c r="F39" s="410">
        <f t="shared" si="1"/>
        <v>0</v>
      </c>
      <c r="G39" s="297"/>
      <c r="H39" s="158"/>
      <c r="I39" s="298">
        <f t="shared" si="21"/>
        <v>0</v>
      </c>
      <c r="J39" s="297"/>
      <c r="K39" s="158"/>
      <c r="L39" s="298"/>
      <c r="M39" s="297"/>
      <c r="N39" s="158"/>
      <c r="O39" s="298"/>
      <c r="P39" s="297"/>
      <c r="Q39" s="285"/>
      <c r="R39" s="316"/>
      <c r="S39" s="297"/>
      <c r="T39" s="285"/>
      <c r="U39" s="316"/>
      <c r="V39" s="279"/>
      <c r="W39" s="310"/>
      <c r="X39" s="375"/>
      <c r="Y39" s="528"/>
      <c r="Z39" s="310"/>
      <c r="AA39" s="63"/>
      <c r="AB39" s="357">
        <f t="shared" si="2"/>
        <v>0</v>
      </c>
      <c r="AC39" s="382"/>
      <c r="AD39" s="153">
        <f>AC39-AB39</f>
        <v>0</v>
      </c>
      <c r="AE39" s="357">
        <f>AC39-AB39</f>
        <v>0</v>
      </c>
      <c r="AF39" s="310"/>
      <c r="AG39" s="63"/>
      <c r="AH39" s="360"/>
      <c r="AI39" s="279"/>
      <c r="AJ39" s="63"/>
      <c r="AK39" s="360"/>
      <c r="AL39" s="279"/>
      <c r="AM39" s="63"/>
      <c r="AN39" s="360"/>
      <c r="AO39" s="425"/>
      <c r="AP39" s="395"/>
      <c r="AQ39" s="334">
        <v>0</v>
      </c>
      <c r="AR39" s="161">
        <f t="shared" si="22"/>
        <v>0</v>
      </c>
      <c r="AS39" s="335">
        <f t="shared" si="5"/>
        <v>0</v>
      </c>
      <c r="AT39" s="338"/>
      <c r="AU39" s="162"/>
      <c r="AV39" s="1019"/>
      <c r="AW39" s="338"/>
      <c r="AX39" s="162"/>
      <c r="AY39" s="339"/>
      <c r="AZ39" s="540"/>
      <c r="BA39" s="338"/>
      <c r="BB39" s="162"/>
      <c r="BC39" s="339"/>
      <c r="BL39" s="617"/>
      <c r="BM39" s="621">
        <f>AK39-BL39</f>
        <v>0</v>
      </c>
      <c r="BN39" s="617"/>
      <c r="BO39" s="621"/>
      <c r="BR39" s="628">
        <f t="shared" si="23"/>
        <v>0</v>
      </c>
      <c r="BS39" s="628">
        <f t="shared" si="15"/>
        <v>0</v>
      </c>
      <c r="BT39" s="535">
        <f t="shared" si="19"/>
        <v>0</v>
      </c>
      <c r="BU39" s="533"/>
      <c r="BV39" s="617"/>
      <c r="BW39" s="621">
        <f>AU39-BV39</f>
        <v>0</v>
      </c>
      <c r="BX39" s="617"/>
      <c r="BY39" s="621"/>
    </row>
    <row r="40" spans="1:77" s="115" customFormat="1" x14ac:dyDescent="0.3">
      <c r="A40" s="439" t="s">
        <v>167</v>
      </c>
      <c r="B40" s="113"/>
      <c r="C40" s="436">
        <v>800</v>
      </c>
      <c r="D40" s="1274">
        <f>D41+D43</f>
        <v>14420120.900000002</v>
      </c>
      <c r="E40" s="59">
        <f>H40+W40+AR40+AP40</f>
        <v>13906376.73</v>
      </c>
      <c r="F40" s="410">
        <f t="shared" si="1"/>
        <v>-513744.17000000179</v>
      </c>
      <c r="G40" s="293">
        <v>5201007.6000000006</v>
      </c>
      <c r="H40" s="157">
        <f>H41+H43</f>
        <v>5201007.6000000006</v>
      </c>
      <c r="I40" s="298">
        <f t="shared" si="21"/>
        <v>0</v>
      </c>
      <c r="J40" s="293">
        <f>J41+J43</f>
        <v>0</v>
      </c>
      <c r="K40" s="157"/>
      <c r="L40" s="294"/>
      <c r="M40" s="293">
        <f>M41+M43</f>
        <v>3687692.4899999998</v>
      </c>
      <c r="N40" s="157">
        <f>N41+N43</f>
        <v>4455741.1300000008</v>
      </c>
      <c r="O40" s="294">
        <f>N40-M40</f>
        <v>768048.64000000106</v>
      </c>
      <c r="P40" s="293">
        <f>P41+P43</f>
        <v>1513315.11</v>
      </c>
      <c r="Q40" s="283">
        <f>Q41+Q43</f>
        <v>550000</v>
      </c>
      <c r="R40" s="314">
        <f>Q40-P40</f>
        <v>-963315.1100000001</v>
      </c>
      <c r="S40" s="293"/>
      <c r="T40" s="283">
        <f>T41+T43</f>
        <v>195266.47</v>
      </c>
      <c r="U40" s="314"/>
      <c r="V40" s="276">
        <f>V42+V43+V44</f>
        <v>1914231.98</v>
      </c>
      <c r="W40" s="307">
        <f>W42+W43+W44</f>
        <v>1914231.98</v>
      </c>
      <c r="X40" s="372">
        <f>W40-V40</f>
        <v>0</v>
      </c>
      <c r="Y40" s="525">
        <f>Y41+Y43</f>
        <v>0</v>
      </c>
      <c r="Z40" s="307">
        <v>0</v>
      </c>
      <c r="AA40" s="153">
        <f t="shared" ref="AA40:AP40" si="29">AA41+AA43</f>
        <v>0</v>
      </c>
      <c r="AB40" s="357">
        <f t="shared" si="2"/>
        <v>0</v>
      </c>
      <c r="AC40" s="379">
        <f>AC41+AC43</f>
        <v>1258487.81</v>
      </c>
      <c r="AD40" s="153">
        <f>AD41+AD43</f>
        <v>1258487.81</v>
      </c>
      <c r="AE40" s="357">
        <f>AE41+AE43</f>
        <v>0</v>
      </c>
      <c r="AF40" s="307">
        <v>655744.17000000004</v>
      </c>
      <c r="AG40" s="153">
        <f t="shared" si="29"/>
        <v>655744.17000000004</v>
      </c>
      <c r="AH40" s="357">
        <f>AG40-AF40</f>
        <v>0</v>
      </c>
      <c r="AI40" s="276"/>
      <c r="AJ40" s="153"/>
      <c r="AK40" s="357"/>
      <c r="AL40" s="276"/>
      <c r="AM40" s="153"/>
      <c r="AN40" s="357"/>
      <c r="AO40" s="422">
        <f t="shared" si="29"/>
        <v>0</v>
      </c>
      <c r="AP40" s="396">
        <f t="shared" si="29"/>
        <v>0</v>
      </c>
      <c r="AQ40" s="334">
        <v>7304881.3199999994</v>
      </c>
      <c r="AR40" s="161">
        <f t="shared" si="22"/>
        <v>6791137.1499999994</v>
      </c>
      <c r="AS40" s="335">
        <f t="shared" si="5"/>
        <v>-513744.16999999993</v>
      </c>
      <c r="AT40" s="334">
        <f>AT41+AT43</f>
        <v>5729310.8399999999</v>
      </c>
      <c r="AU40" s="161">
        <f>AU41+AU43</f>
        <v>5729310.8399999999</v>
      </c>
      <c r="AV40" s="406">
        <f>AU40-AT40</f>
        <v>0</v>
      </c>
      <c r="AW40" s="334">
        <f t="shared" ref="AW40:BB40" si="30">AW41+AW43</f>
        <v>1163616.26</v>
      </c>
      <c r="AX40" s="161">
        <f t="shared" si="30"/>
        <v>649872.09000000008</v>
      </c>
      <c r="AY40" s="335">
        <f>AX40-AW40</f>
        <v>-513744.16999999993</v>
      </c>
      <c r="AZ40" s="539">
        <f t="shared" si="30"/>
        <v>0</v>
      </c>
      <c r="BA40" s="334">
        <f t="shared" si="30"/>
        <v>411954.22</v>
      </c>
      <c r="BB40" s="161">
        <f t="shared" si="30"/>
        <v>411954.22</v>
      </c>
      <c r="BC40" s="335">
        <f>BB40-BA40</f>
        <v>0</v>
      </c>
      <c r="BL40" s="334">
        <f>BL41+BL43</f>
        <v>0</v>
      </c>
      <c r="BM40" s="539">
        <f t="shared" ref="BM40:BO40" si="31">BM41+BM43</f>
        <v>0</v>
      </c>
      <c r="BN40" s="334">
        <f t="shared" si="31"/>
        <v>508251.94</v>
      </c>
      <c r="BO40" s="539">
        <f t="shared" si="31"/>
        <v>-508251.94</v>
      </c>
      <c r="BR40" s="628">
        <f t="shared" si="23"/>
        <v>7304881.3199999994</v>
      </c>
      <c r="BS40" s="628">
        <f t="shared" si="15"/>
        <v>5603626.8600000003</v>
      </c>
      <c r="BT40" s="535">
        <f t="shared" si="19"/>
        <v>1701254.459999999</v>
      </c>
      <c r="BU40" s="334">
        <f>BU41+BU43</f>
        <v>6011062.4199999999</v>
      </c>
      <c r="BV40" s="334">
        <f>BV41+BV43</f>
        <v>5095374.92</v>
      </c>
      <c r="BW40" s="539">
        <f t="shared" ref="BW40:BY40" si="32">BW41+BW43</f>
        <v>633935.91999999981</v>
      </c>
      <c r="BX40" s="334">
        <f t="shared" si="32"/>
        <v>508251.94</v>
      </c>
      <c r="BY40" s="539">
        <f t="shared" si="32"/>
        <v>655364.32000000007</v>
      </c>
    </row>
    <row r="41" spans="1:77" s="115" customFormat="1" x14ac:dyDescent="0.3">
      <c r="A41" s="439" t="s">
        <v>168</v>
      </c>
      <c r="B41" s="113"/>
      <c r="C41" s="436">
        <v>830</v>
      </c>
      <c r="D41" s="1274">
        <v>500000</v>
      </c>
      <c r="E41" s="59">
        <f>H41+W41+AR41+AP41</f>
        <v>500000</v>
      </c>
      <c r="F41" s="410">
        <f t="shared" si="1"/>
        <v>0</v>
      </c>
      <c r="G41" s="293">
        <f>SUM(G42)</f>
        <v>0</v>
      </c>
      <c r="H41" s="157"/>
      <c r="I41" s="298">
        <f t="shared" si="21"/>
        <v>0</v>
      </c>
      <c r="J41" s="293"/>
      <c r="K41" s="157"/>
      <c r="L41" s="294"/>
      <c r="M41" s="293"/>
      <c r="N41" s="157"/>
      <c r="O41" s="294"/>
      <c r="P41" s="293"/>
      <c r="Q41" s="283"/>
      <c r="R41" s="314"/>
      <c r="S41" s="293"/>
      <c r="T41" s="283"/>
      <c r="U41" s="314"/>
      <c r="V41" s="276"/>
      <c r="W41" s="307"/>
      <c r="X41" s="372"/>
      <c r="Y41" s="525"/>
      <c r="Z41" s="307">
        <v>0</v>
      </c>
      <c r="AA41" s="153">
        <f t="shared" ref="AA41:AP41" si="33">SUM(AA42)</f>
        <v>0</v>
      </c>
      <c r="AB41" s="357">
        <f t="shared" si="2"/>
        <v>0</v>
      </c>
      <c r="AC41" s="379">
        <f t="shared" si="33"/>
        <v>0</v>
      </c>
      <c r="AD41" s="153">
        <f>AC41-AB41</f>
        <v>0</v>
      </c>
      <c r="AE41" s="357">
        <f>AC41-AB41</f>
        <v>0</v>
      </c>
      <c r="AF41" s="307"/>
      <c r="AG41" s="153"/>
      <c r="AH41" s="357"/>
      <c r="AI41" s="276"/>
      <c r="AJ41" s="153"/>
      <c r="AK41" s="357"/>
      <c r="AL41" s="276"/>
      <c r="AM41" s="153"/>
      <c r="AN41" s="357"/>
      <c r="AO41" s="422">
        <f t="shared" si="33"/>
        <v>0</v>
      </c>
      <c r="AP41" s="396">
        <f t="shared" si="33"/>
        <v>0</v>
      </c>
      <c r="AQ41" s="334">
        <v>500000</v>
      </c>
      <c r="AR41" s="161">
        <f t="shared" si="22"/>
        <v>500000</v>
      </c>
      <c r="AS41" s="335">
        <f t="shared" si="5"/>
        <v>0</v>
      </c>
      <c r="AT41" s="334">
        <f>AT42</f>
        <v>500000</v>
      </c>
      <c r="AU41" s="161">
        <f>AU42</f>
        <v>500000</v>
      </c>
      <c r="AV41" s="406"/>
      <c r="AW41" s="334"/>
      <c r="AX41" s="161"/>
      <c r="AY41" s="335"/>
      <c r="AZ41" s="539">
        <f t="shared" ref="AZ41" si="34">SUM(AZ42)</f>
        <v>0</v>
      </c>
      <c r="BA41" s="334"/>
      <c r="BB41" s="161"/>
      <c r="BC41" s="335"/>
      <c r="BE41" s="1256" t="s">
        <v>237</v>
      </c>
      <c r="BL41" s="617"/>
      <c r="BM41" s="621">
        <f>BM42</f>
        <v>0</v>
      </c>
      <c r="BN41" s="617"/>
      <c r="BO41" s="621"/>
      <c r="BR41" s="629">
        <f t="shared" si="23"/>
        <v>500000</v>
      </c>
      <c r="BS41" s="629">
        <f t="shared" si="15"/>
        <v>207144.42</v>
      </c>
      <c r="BT41" s="533">
        <f t="shared" si="19"/>
        <v>292855.57999999996</v>
      </c>
      <c r="BU41" s="533">
        <f>BU42</f>
        <v>207144.42</v>
      </c>
      <c r="BV41" s="617">
        <f>BV42</f>
        <v>207144.42</v>
      </c>
      <c r="BW41" s="621">
        <f>BW42</f>
        <v>292855.57999999996</v>
      </c>
      <c r="BX41" s="617"/>
      <c r="BY41" s="621"/>
    </row>
    <row r="42" spans="1:77" ht="63" x14ac:dyDescent="0.3">
      <c r="A42" s="440" t="s">
        <v>169</v>
      </c>
      <c r="B42" s="1253"/>
      <c r="C42" s="1255">
        <v>831</v>
      </c>
      <c r="D42" s="1275">
        <f t="shared" ref="D42" si="35">G42+V42+AQ42+AP42</f>
        <v>500000</v>
      </c>
      <c r="E42" s="64">
        <f>H42+W42+AR42+AP42</f>
        <v>500000</v>
      </c>
      <c r="F42" s="411">
        <f t="shared" si="1"/>
        <v>0</v>
      </c>
      <c r="G42" s="297"/>
      <c r="H42" s="158"/>
      <c r="I42" s="298">
        <f t="shared" si="21"/>
        <v>0</v>
      </c>
      <c r="J42" s="297"/>
      <c r="K42" s="158"/>
      <c r="L42" s="298"/>
      <c r="M42" s="297"/>
      <c r="N42" s="158"/>
      <c r="O42" s="298"/>
      <c r="P42" s="297"/>
      <c r="Q42" s="285"/>
      <c r="R42" s="316"/>
      <c r="S42" s="297"/>
      <c r="T42" s="285"/>
      <c r="U42" s="316"/>
      <c r="V42" s="279"/>
      <c r="W42" s="310"/>
      <c r="X42" s="375"/>
      <c r="Y42" s="528"/>
      <c r="Z42" s="310"/>
      <c r="AA42" s="63"/>
      <c r="AB42" s="357">
        <f t="shared" si="2"/>
        <v>0</v>
      </c>
      <c r="AC42" s="382"/>
      <c r="AD42" s="153">
        <f>AC42-AB42</f>
        <v>0</v>
      </c>
      <c r="AE42" s="357">
        <f>AC42-AB42</f>
        <v>0</v>
      </c>
      <c r="AF42" s="310"/>
      <c r="AG42" s="63"/>
      <c r="AH42" s="360"/>
      <c r="AI42" s="279"/>
      <c r="AJ42" s="63"/>
      <c r="AK42" s="360"/>
      <c r="AL42" s="279"/>
      <c r="AM42" s="63"/>
      <c r="AN42" s="360"/>
      <c r="AO42" s="425"/>
      <c r="AP42" s="395"/>
      <c r="AQ42" s="334">
        <v>500000</v>
      </c>
      <c r="AR42" s="161">
        <f t="shared" si="22"/>
        <v>500000</v>
      </c>
      <c r="AS42" s="335">
        <f t="shared" si="5"/>
        <v>0</v>
      </c>
      <c r="AT42" s="338">
        <v>500000</v>
      </c>
      <c r="AU42" s="162">
        <f t="shared" ref="AU42" si="36">AQ42-AX42-BB42</f>
        <v>500000</v>
      </c>
      <c r="AV42" s="1019"/>
      <c r="AW42" s="338"/>
      <c r="AX42" s="162"/>
      <c r="AY42" s="339"/>
      <c r="AZ42" s="540"/>
      <c r="BA42" s="338"/>
      <c r="BB42" s="162"/>
      <c r="BC42" s="339"/>
      <c r="BE42" s="122">
        <v>15000</v>
      </c>
      <c r="BF42" s="1256">
        <v>831</v>
      </c>
      <c r="BL42" s="617"/>
      <c r="BM42" s="621">
        <f>AJ42-BL42</f>
        <v>0</v>
      </c>
      <c r="BN42" s="617"/>
      <c r="BO42" s="621"/>
      <c r="BR42" s="629">
        <f t="shared" si="23"/>
        <v>500000</v>
      </c>
      <c r="BS42" s="629">
        <f t="shared" si="15"/>
        <v>207144.42</v>
      </c>
      <c r="BT42" s="533">
        <f t="shared" si="19"/>
        <v>292855.57999999996</v>
      </c>
      <c r="BU42" s="533">
        <f>BS42</f>
        <v>207144.42</v>
      </c>
      <c r="BV42" s="617">
        <v>207144.42</v>
      </c>
      <c r="BW42" s="621">
        <f>AT42-BV42</f>
        <v>292855.57999999996</v>
      </c>
      <c r="BX42" s="617"/>
      <c r="BY42" s="621"/>
    </row>
    <row r="43" spans="1:77" s="115" customFormat="1" ht="33" customHeight="1" x14ac:dyDescent="0.3">
      <c r="A43" s="441" t="s">
        <v>170</v>
      </c>
      <c r="B43" s="1424">
        <v>230</v>
      </c>
      <c r="C43" s="436">
        <v>850</v>
      </c>
      <c r="D43" s="1274">
        <f>D45+D46+D47</f>
        <v>13920120.900000002</v>
      </c>
      <c r="E43" s="59">
        <f>H43+W43+AR43+AP43</f>
        <v>13406376.73</v>
      </c>
      <c r="F43" s="410">
        <f t="shared" si="1"/>
        <v>-513744.17000000179</v>
      </c>
      <c r="G43" s="293">
        <v>5201007.6000000006</v>
      </c>
      <c r="H43" s="157">
        <f>SUM(H45:H47)</f>
        <v>5201007.6000000006</v>
      </c>
      <c r="I43" s="298">
        <f t="shared" si="21"/>
        <v>0</v>
      </c>
      <c r="J43" s="293">
        <f>SUM(J45:J47)</f>
        <v>0</v>
      </c>
      <c r="K43" s="157"/>
      <c r="L43" s="294"/>
      <c r="M43" s="293">
        <f>M45+M46+M47</f>
        <v>3687692.4899999998</v>
      </c>
      <c r="N43" s="157">
        <f>N45+N46+N47</f>
        <v>4455741.1300000008</v>
      </c>
      <c r="O43" s="294">
        <f>N43-M43</f>
        <v>768048.64000000106</v>
      </c>
      <c r="P43" s="293">
        <f>SUM(P45:P47)</f>
        <v>1513315.11</v>
      </c>
      <c r="Q43" s="283">
        <f>SUM(Q45:Q47)</f>
        <v>550000</v>
      </c>
      <c r="R43" s="314">
        <f>Q43-P43</f>
        <v>-963315.1100000001</v>
      </c>
      <c r="S43" s="293"/>
      <c r="T43" s="283">
        <f>SUM(T45:T47)</f>
        <v>195266.47</v>
      </c>
      <c r="U43" s="314"/>
      <c r="V43" s="276">
        <f t="shared" ref="V43:AG43" si="37">V45+V46+V47</f>
        <v>1914231.98</v>
      </c>
      <c r="W43" s="307">
        <f t="shared" si="37"/>
        <v>1914231.98</v>
      </c>
      <c r="X43" s="372">
        <f>W43-V43</f>
        <v>0</v>
      </c>
      <c r="Y43" s="525">
        <f t="shared" si="37"/>
        <v>0</v>
      </c>
      <c r="Z43" s="307">
        <v>0</v>
      </c>
      <c r="AA43" s="153">
        <f t="shared" si="37"/>
        <v>0</v>
      </c>
      <c r="AB43" s="357">
        <f t="shared" si="2"/>
        <v>0</v>
      </c>
      <c r="AC43" s="379">
        <f>AC45+AC46+AC47</f>
        <v>1258487.81</v>
      </c>
      <c r="AD43" s="153">
        <f>AD45+AD46+AD47</f>
        <v>1258487.81</v>
      </c>
      <c r="AE43" s="357">
        <f>AE45+AE46+AE47</f>
        <v>0</v>
      </c>
      <c r="AF43" s="307">
        <v>655744.17000000004</v>
      </c>
      <c r="AG43" s="153">
        <f t="shared" si="37"/>
        <v>655744.17000000004</v>
      </c>
      <c r="AH43" s="357">
        <f>AG43-AF43</f>
        <v>0</v>
      </c>
      <c r="AI43" s="276"/>
      <c r="AJ43" s="153"/>
      <c r="AK43" s="357"/>
      <c r="AL43" s="276"/>
      <c r="AM43" s="153"/>
      <c r="AN43" s="357"/>
      <c r="AO43" s="422">
        <f>AO45+AO46+AO47</f>
        <v>0</v>
      </c>
      <c r="AP43" s="396">
        <f>SUM(AP44:AP47)</f>
        <v>0</v>
      </c>
      <c r="AQ43" s="334">
        <v>6804881.3199999994</v>
      </c>
      <c r="AR43" s="161">
        <f t="shared" si="22"/>
        <v>6291137.1499999994</v>
      </c>
      <c r="AS43" s="335">
        <f t="shared" si="5"/>
        <v>-513744.16999999993</v>
      </c>
      <c r="AT43" s="334">
        <f>AT45+AT46+AT47</f>
        <v>5229310.84</v>
      </c>
      <c r="AU43" s="161">
        <f>AU45+AU46+AU47</f>
        <v>5229310.84</v>
      </c>
      <c r="AV43" s="406">
        <f>AU43-AT43</f>
        <v>0</v>
      </c>
      <c r="AW43" s="334">
        <f>AW45+AW46+AW47</f>
        <v>1163616.26</v>
      </c>
      <c r="AX43" s="161">
        <f>AX45+AX46+AX47</f>
        <v>649872.09000000008</v>
      </c>
      <c r="AY43" s="335">
        <f>AX43-AW43</f>
        <v>-513744.16999999993</v>
      </c>
      <c r="AZ43" s="539">
        <f>AZ45+AZ46+AZ47</f>
        <v>0</v>
      </c>
      <c r="BA43" s="334">
        <f>BA45+BA46+BA47</f>
        <v>411954.22</v>
      </c>
      <c r="BB43" s="161">
        <f>BB45+BB46+BB47</f>
        <v>411954.22</v>
      </c>
      <c r="BC43" s="335">
        <f>BB43-BA43</f>
        <v>0</v>
      </c>
      <c r="BL43" s="334">
        <f>BL45+BL46+BL47</f>
        <v>0</v>
      </c>
      <c r="BM43" s="539">
        <f t="shared" ref="BM43:BO43" si="38">BM45+BM46+BM47</f>
        <v>0</v>
      </c>
      <c r="BN43" s="334">
        <f t="shared" si="38"/>
        <v>508251.94</v>
      </c>
      <c r="BO43" s="539">
        <f t="shared" si="38"/>
        <v>-508251.94</v>
      </c>
      <c r="BR43" s="628">
        <f t="shared" si="23"/>
        <v>6804881.3199999994</v>
      </c>
      <c r="BS43" s="628">
        <f t="shared" si="15"/>
        <v>5396482.4400000004</v>
      </c>
      <c r="BT43" s="535">
        <f t="shared" si="19"/>
        <v>1408398.879999999</v>
      </c>
      <c r="BU43" s="334">
        <f>BU45+BU46+BU47</f>
        <v>5803918</v>
      </c>
      <c r="BV43" s="334">
        <f>BV45+BV46+BV47</f>
        <v>4888230.5</v>
      </c>
      <c r="BW43" s="539">
        <f t="shared" ref="BW43:BY43" si="39">BW45+BW46+BW47</f>
        <v>341080.33999999985</v>
      </c>
      <c r="BX43" s="334">
        <f t="shared" si="39"/>
        <v>508251.94</v>
      </c>
      <c r="BY43" s="539">
        <f t="shared" si="39"/>
        <v>655364.32000000007</v>
      </c>
    </row>
    <row r="44" spans="1:77" x14ac:dyDescent="0.3">
      <c r="A44" s="437" t="s">
        <v>92</v>
      </c>
      <c r="B44" s="1422"/>
      <c r="C44" s="438"/>
      <c r="D44" s="1275"/>
      <c r="E44" s="59">
        <f>H44+W44+AQ44+AP44</f>
        <v>0</v>
      </c>
      <c r="F44" s="410">
        <f t="shared" si="1"/>
        <v>0</v>
      </c>
      <c r="G44" s="297"/>
      <c r="H44" s="158"/>
      <c r="I44" s="298">
        <f t="shared" si="21"/>
        <v>0</v>
      </c>
      <c r="J44" s="297"/>
      <c r="K44" s="158"/>
      <c r="L44" s="298"/>
      <c r="M44" s="297"/>
      <c r="N44" s="158"/>
      <c r="O44" s="298"/>
      <c r="P44" s="297"/>
      <c r="Q44" s="285"/>
      <c r="R44" s="316"/>
      <c r="S44" s="297"/>
      <c r="T44" s="285"/>
      <c r="U44" s="316"/>
      <c r="V44" s="279"/>
      <c r="W44" s="310"/>
      <c r="X44" s="375"/>
      <c r="Y44" s="528"/>
      <c r="Z44" s="310"/>
      <c r="AA44" s="63"/>
      <c r="AB44" s="357">
        <f t="shared" si="2"/>
        <v>0</v>
      </c>
      <c r="AC44" s="382"/>
      <c r="AD44" s="153">
        <f>AC44-AB44</f>
        <v>0</v>
      </c>
      <c r="AE44" s="357">
        <f>AC44-AB44</f>
        <v>0</v>
      </c>
      <c r="AF44" s="310"/>
      <c r="AG44" s="63"/>
      <c r="AH44" s="360"/>
      <c r="AI44" s="279"/>
      <c r="AJ44" s="63"/>
      <c r="AK44" s="360"/>
      <c r="AL44" s="279"/>
      <c r="AM44" s="63"/>
      <c r="AN44" s="360"/>
      <c r="AO44" s="425"/>
      <c r="AP44" s="395"/>
      <c r="AQ44" s="334">
        <v>0</v>
      </c>
      <c r="AR44" s="161">
        <f t="shared" si="22"/>
        <v>0</v>
      </c>
      <c r="AS44" s="335">
        <f t="shared" si="5"/>
        <v>0</v>
      </c>
      <c r="AT44" s="338"/>
      <c r="AU44" s="162"/>
      <c r="AV44" s="1019"/>
      <c r="AW44" s="338"/>
      <c r="AX44" s="162"/>
      <c r="AY44" s="339"/>
      <c r="AZ44" s="540"/>
      <c r="BA44" s="338"/>
      <c r="BB44" s="162"/>
      <c r="BC44" s="339"/>
      <c r="BE44" s="1256" t="s">
        <v>237</v>
      </c>
      <c r="BF44" s="1256" t="s">
        <v>197</v>
      </c>
      <c r="BG44" s="1256" t="s">
        <v>237</v>
      </c>
      <c r="BH44" s="1256"/>
      <c r="BI44" s="1256"/>
      <c r="BJ44" s="1256"/>
      <c r="BK44" s="1256"/>
      <c r="BL44" s="617"/>
      <c r="BM44" s="621">
        <f>AK44-BL44</f>
        <v>0</v>
      </c>
      <c r="BN44" s="617"/>
      <c r="BO44" s="621"/>
      <c r="BP44" s="1256"/>
      <c r="BQ44" s="1256"/>
      <c r="BR44" s="628">
        <f t="shared" si="23"/>
        <v>0</v>
      </c>
      <c r="BS44" s="628">
        <f t="shared" si="15"/>
        <v>0</v>
      </c>
      <c r="BT44" s="535">
        <f t="shared" si="19"/>
        <v>0</v>
      </c>
      <c r="BU44" s="533"/>
      <c r="BV44" s="617"/>
      <c r="BW44" s="621">
        <f>AU44-BV44</f>
        <v>0</v>
      </c>
      <c r="BX44" s="617"/>
      <c r="BY44" s="621"/>
    </row>
    <row r="45" spans="1:77" ht="31.5" x14ac:dyDescent="0.3">
      <c r="A45" s="437" t="s">
        <v>171</v>
      </c>
      <c r="B45" s="1422"/>
      <c r="C45" s="1255">
        <v>851</v>
      </c>
      <c r="D45" s="1275">
        <f t="shared" ref="D45:D50" si="40">G45+V45+AQ45+AP45</f>
        <v>12367210.870000001</v>
      </c>
      <c r="E45" s="64">
        <f>H45+W45+AR45+AP45</f>
        <v>11931466.699999999</v>
      </c>
      <c r="F45" s="411">
        <f t="shared" si="1"/>
        <v>-435744.17000000179</v>
      </c>
      <c r="G45" s="297">
        <v>4890097.57</v>
      </c>
      <c r="H45" s="158">
        <f>G45</f>
        <v>4890097.57</v>
      </c>
      <c r="I45" s="298">
        <f t="shared" si="21"/>
        <v>0</v>
      </c>
      <c r="J45" s="297"/>
      <c r="K45" s="158"/>
      <c r="L45" s="298"/>
      <c r="M45" s="297">
        <v>3376782.46</v>
      </c>
      <c r="N45" s="158">
        <f>H45-Q45-T45</f>
        <v>4144831.1</v>
      </c>
      <c r="O45" s="298">
        <f>N45-M45</f>
        <v>768048.64000000013</v>
      </c>
      <c r="P45" s="297">
        <v>1513315.11</v>
      </c>
      <c r="Q45" s="285">
        <v>550000</v>
      </c>
      <c r="R45" s="316">
        <f>Q45-P45</f>
        <v>-963315.1100000001</v>
      </c>
      <c r="S45" s="297"/>
      <c r="T45" s="285">
        <v>195266.47</v>
      </c>
      <c r="U45" s="316"/>
      <c r="V45" s="279">
        <v>1914231.98</v>
      </c>
      <c r="W45" s="310">
        <f>Y45+AA45+AD45+AG45+AJ45+AM45</f>
        <v>1914231.98</v>
      </c>
      <c r="X45" s="375">
        <f>W45-V45</f>
        <v>0</v>
      </c>
      <c r="Y45" s="528"/>
      <c r="Z45" s="310"/>
      <c r="AA45" s="63"/>
      <c r="AB45" s="357">
        <f t="shared" si="2"/>
        <v>0</v>
      </c>
      <c r="AC45" s="379">
        <v>1258487.81</v>
      </c>
      <c r="AD45" s="153">
        <v>1258487.81</v>
      </c>
      <c r="AE45" s="357"/>
      <c r="AF45" s="310">
        <v>655744.17000000004</v>
      </c>
      <c r="AG45" s="63">
        <v>655744.17000000004</v>
      </c>
      <c r="AH45" s="360">
        <f>AG45-AF45</f>
        <v>0</v>
      </c>
      <c r="AI45" s="279"/>
      <c r="AJ45" s="63"/>
      <c r="AK45" s="360"/>
      <c r="AL45" s="279"/>
      <c r="AM45" s="63"/>
      <c r="AN45" s="360"/>
      <c r="AO45" s="425"/>
      <c r="AP45" s="395"/>
      <c r="AQ45" s="334">
        <v>5562881.3199999994</v>
      </c>
      <c r="AR45" s="161">
        <f>AU45+AX45+BB45</f>
        <v>5127137.1499999994</v>
      </c>
      <c r="AS45" s="335">
        <f t="shared" si="5"/>
        <v>-435744.16999999993</v>
      </c>
      <c r="AT45" s="338">
        <v>4167310.84</v>
      </c>
      <c r="AU45" s="1284">
        <f>4167310.84+100000</f>
        <v>4267310.84</v>
      </c>
      <c r="AV45" s="1019">
        <f>AU45-AT45</f>
        <v>100000</v>
      </c>
      <c r="AW45" s="338">
        <v>983616.26</v>
      </c>
      <c r="AX45" s="162">
        <v>447872.09</v>
      </c>
      <c r="AY45" s="339">
        <f>AX45-AW45</f>
        <v>-535744.16999999993</v>
      </c>
      <c r="AZ45" s="540"/>
      <c r="BA45" s="338">
        <v>411954.22</v>
      </c>
      <c r="BB45" s="162">
        <v>411954.22</v>
      </c>
      <c r="BC45" s="339">
        <f>BB45-BA45</f>
        <v>0</v>
      </c>
      <c r="BE45" s="122">
        <v>2116229.66</v>
      </c>
      <c r="BF45" s="122">
        <v>-2116229.66</v>
      </c>
      <c r="BG45" s="610"/>
      <c r="BH45" s="635"/>
      <c r="BI45" s="635"/>
      <c r="BJ45" s="635"/>
      <c r="BK45" s="635"/>
      <c r="BL45" s="617"/>
      <c r="BM45" s="621">
        <f>AJ45-BL45</f>
        <v>0</v>
      </c>
      <c r="BN45" s="617">
        <v>383344</v>
      </c>
      <c r="BO45" s="621">
        <f>AM45-BN45</f>
        <v>-383344</v>
      </c>
      <c r="BP45" s="635"/>
      <c r="BQ45" s="635"/>
      <c r="BR45" s="629">
        <f t="shared" si="23"/>
        <v>5562881.3199999994</v>
      </c>
      <c r="BS45" s="629">
        <f t="shared" si="15"/>
        <v>4561918</v>
      </c>
      <c r="BT45" s="533">
        <f t="shared" si="19"/>
        <v>1000963.3199999994</v>
      </c>
      <c r="BU45" s="533">
        <f>BS45</f>
        <v>4561918</v>
      </c>
      <c r="BV45" s="617">
        <v>4178574</v>
      </c>
      <c r="BW45" s="621">
        <f>AT45-BV45</f>
        <v>-11263.160000000149</v>
      </c>
      <c r="BX45" s="617">
        <v>383344</v>
      </c>
      <c r="BY45" s="621">
        <f>AW45-BX45</f>
        <v>600272.26</v>
      </c>
    </row>
    <row r="46" spans="1:77" x14ac:dyDescent="0.3">
      <c r="A46" s="437" t="s">
        <v>172</v>
      </c>
      <c r="B46" s="1422"/>
      <c r="C46" s="1255">
        <v>852</v>
      </c>
      <c r="D46" s="1275">
        <f t="shared" si="40"/>
        <v>844267.46</v>
      </c>
      <c r="E46" s="64">
        <f>H46+W46+AR46+AP46</f>
        <v>821267.46</v>
      </c>
      <c r="F46" s="410">
        <f t="shared" si="1"/>
        <v>-23000</v>
      </c>
      <c r="G46" s="297">
        <v>209267.46</v>
      </c>
      <c r="H46" s="158">
        <f>G46</f>
        <v>209267.46</v>
      </c>
      <c r="I46" s="298">
        <f t="shared" si="21"/>
        <v>0</v>
      </c>
      <c r="J46" s="297"/>
      <c r="K46" s="158"/>
      <c r="L46" s="298"/>
      <c r="M46" s="297">
        <v>209267.46</v>
      </c>
      <c r="N46" s="158">
        <f t="shared" ref="N46:N47" si="41">H46-Q46-T46</f>
        <v>209267.46</v>
      </c>
      <c r="O46" s="298">
        <f>N46-M46</f>
        <v>0</v>
      </c>
      <c r="P46" s="297"/>
      <c r="Q46" s="285"/>
      <c r="R46" s="316"/>
      <c r="S46" s="297"/>
      <c r="T46" s="285"/>
      <c r="U46" s="316"/>
      <c r="V46" s="279">
        <v>0</v>
      </c>
      <c r="W46" s="310">
        <f>Y46+AA46+AC46+AG46+AJ46+AM46</f>
        <v>0</v>
      </c>
      <c r="X46" s="375">
        <f>W46-V46</f>
        <v>0</v>
      </c>
      <c r="Y46" s="528"/>
      <c r="Z46" s="310"/>
      <c r="AA46" s="63"/>
      <c r="AB46" s="357">
        <f t="shared" si="2"/>
        <v>0</v>
      </c>
      <c r="AC46" s="382"/>
      <c r="AD46" s="153">
        <f t="shared" ref="AD46:AD51" si="42">AC46-AB46</f>
        <v>0</v>
      </c>
      <c r="AE46" s="357">
        <f t="shared" ref="AE46:AE51" si="43">AC46-AB46</f>
        <v>0</v>
      </c>
      <c r="AF46" s="310"/>
      <c r="AG46" s="63"/>
      <c r="AH46" s="360">
        <f>AG46-AF46</f>
        <v>0</v>
      </c>
      <c r="AI46" s="279"/>
      <c r="AJ46" s="63"/>
      <c r="AK46" s="360"/>
      <c r="AL46" s="279"/>
      <c r="AM46" s="63"/>
      <c r="AN46" s="360"/>
      <c r="AO46" s="425"/>
      <c r="AP46" s="395"/>
      <c r="AQ46" s="334">
        <v>635000</v>
      </c>
      <c r="AR46" s="161">
        <f>AU46+AX46</f>
        <v>612000</v>
      </c>
      <c r="AS46" s="335">
        <f t="shared" si="5"/>
        <v>-23000</v>
      </c>
      <c r="AT46" s="338">
        <v>485000</v>
      </c>
      <c r="AU46" s="162">
        <v>485000</v>
      </c>
      <c r="AV46" s="1019">
        <f>AU46-AT46</f>
        <v>0</v>
      </c>
      <c r="AW46" s="338">
        <v>150000</v>
      </c>
      <c r="AX46" s="162">
        <v>127000</v>
      </c>
      <c r="AY46" s="339">
        <f>AX46-AW46</f>
        <v>-23000</v>
      </c>
      <c r="AZ46" s="540"/>
      <c r="BA46" s="338"/>
      <c r="BB46" s="162"/>
      <c r="BC46" s="339">
        <f>BB46-BA46</f>
        <v>0</v>
      </c>
      <c r="BE46" s="122">
        <v>-75470.62</v>
      </c>
      <c r="BF46" s="122"/>
      <c r="BG46" s="610">
        <v>-49993.01</v>
      </c>
      <c r="BH46" s="635"/>
      <c r="BI46" s="635"/>
      <c r="BJ46" s="635"/>
      <c r="BK46" s="635"/>
      <c r="BL46" s="617"/>
      <c r="BM46" s="621">
        <f t="shared" ref="BM46:BM47" si="44">AJ46-BL46</f>
        <v>0</v>
      </c>
      <c r="BN46" s="617">
        <v>27119</v>
      </c>
      <c r="BO46" s="621">
        <f t="shared" ref="BO46:BO47" si="45">AM46-BN46</f>
        <v>-27119</v>
      </c>
      <c r="BP46" s="635"/>
      <c r="BQ46" s="635"/>
      <c r="BR46" s="629">
        <f t="shared" si="23"/>
        <v>635000</v>
      </c>
      <c r="BS46" s="629">
        <f t="shared" si="15"/>
        <v>234308.25</v>
      </c>
      <c r="BT46" s="533">
        <f t="shared" si="19"/>
        <v>400691.75</v>
      </c>
      <c r="BU46" s="533">
        <f>BR46</f>
        <v>635000</v>
      </c>
      <c r="BV46" s="617">
        <f>272189.25-65000</f>
        <v>207189.25</v>
      </c>
      <c r="BW46" s="621">
        <f t="shared" ref="BW46:BW47" si="46">AT46-BV46</f>
        <v>277810.75</v>
      </c>
      <c r="BX46" s="617">
        <v>27119</v>
      </c>
      <c r="BY46" s="621">
        <f t="shared" ref="BY46:BY47" si="47">AW46-BX46</f>
        <v>122881</v>
      </c>
    </row>
    <row r="47" spans="1:77" ht="18.75" customHeight="1" x14ac:dyDescent="0.3">
      <c r="A47" s="437" t="s">
        <v>173</v>
      </c>
      <c r="B47" s="1423"/>
      <c r="C47" s="1255">
        <v>853</v>
      </c>
      <c r="D47" s="1275">
        <f t="shared" si="40"/>
        <v>708642.57000000007</v>
      </c>
      <c r="E47" s="64">
        <f>H47+W47+AR47+AP47</f>
        <v>653642.57000000007</v>
      </c>
      <c r="F47" s="410">
        <f t="shared" si="1"/>
        <v>-55000</v>
      </c>
      <c r="G47" s="297">
        <v>101642.57</v>
      </c>
      <c r="H47" s="158">
        <f>G47</f>
        <v>101642.57</v>
      </c>
      <c r="I47" s="298">
        <f t="shared" si="21"/>
        <v>0</v>
      </c>
      <c r="J47" s="297"/>
      <c r="K47" s="158"/>
      <c r="L47" s="298"/>
      <c r="M47" s="297">
        <v>101642.57</v>
      </c>
      <c r="N47" s="158">
        <f t="shared" si="41"/>
        <v>101642.57</v>
      </c>
      <c r="O47" s="298">
        <f>N47-M47</f>
        <v>0</v>
      </c>
      <c r="P47" s="297"/>
      <c r="Q47" s="285"/>
      <c r="R47" s="316"/>
      <c r="S47" s="297"/>
      <c r="T47" s="285"/>
      <c r="U47" s="316"/>
      <c r="V47" s="279"/>
      <c r="W47" s="310"/>
      <c r="X47" s="375"/>
      <c r="Y47" s="528"/>
      <c r="Z47" s="310"/>
      <c r="AA47" s="63"/>
      <c r="AB47" s="357">
        <f t="shared" si="2"/>
        <v>0</v>
      </c>
      <c r="AC47" s="382"/>
      <c r="AD47" s="153">
        <f t="shared" si="42"/>
        <v>0</v>
      </c>
      <c r="AE47" s="357">
        <f t="shared" si="43"/>
        <v>0</v>
      </c>
      <c r="AF47" s="310"/>
      <c r="AG47" s="63"/>
      <c r="AH47" s="360"/>
      <c r="AI47" s="279"/>
      <c r="AJ47" s="63"/>
      <c r="AK47" s="360"/>
      <c r="AL47" s="279"/>
      <c r="AM47" s="63"/>
      <c r="AN47" s="360"/>
      <c r="AO47" s="425"/>
      <c r="AP47" s="395"/>
      <c r="AQ47" s="334">
        <v>607000</v>
      </c>
      <c r="AR47" s="161">
        <f>AU47+AX47</f>
        <v>552000</v>
      </c>
      <c r="AS47" s="335">
        <f t="shared" si="5"/>
        <v>-55000</v>
      </c>
      <c r="AT47" s="338">
        <v>577000</v>
      </c>
      <c r="AU47" s="162">
        <f>577000-100000</f>
        <v>477000</v>
      </c>
      <c r="AV47" s="1019">
        <f>AU47-AT47</f>
        <v>-100000</v>
      </c>
      <c r="AW47" s="338">
        <v>30000</v>
      </c>
      <c r="AX47" s="162">
        <v>75000</v>
      </c>
      <c r="AY47" s="339">
        <f>AX47-AW47</f>
        <v>45000</v>
      </c>
      <c r="AZ47" s="540"/>
      <c r="BA47" s="338"/>
      <c r="BB47" s="162"/>
      <c r="BC47" s="339">
        <f>BB47-BA47</f>
        <v>0</v>
      </c>
      <c r="BE47" s="122">
        <v>75470.62</v>
      </c>
      <c r="BF47" s="122"/>
      <c r="BG47" s="610">
        <v>49993.01</v>
      </c>
      <c r="BH47" s="635"/>
      <c r="BI47" s="635"/>
      <c r="BJ47" s="635"/>
      <c r="BK47" s="635"/>
      <c r="BL47" s="617"/>
      <c r="BM47" s="621">
        <f t="shared" si="44"/>
        <v>0</v>
      </c>
      <c r="BN47" s="617">
        <v>97788.94</v>
      </c>
      <c r="BO47" s="621">
        <f t="shared" si="45"/>
        <v>-97788.94</v>
      </c>
      <c r="BP47" s="635"/>
      <c r="BQ47" s="635"/>
      <c r="BR47" s="629">
        <f t="shared" si="23"/>
        <v>607000</v>
      </c>
      <c r="BS47" s="629">
        <f t="shared" si="15"/>
        <v>600256.18999999994</v>
      </c>
      <c r="BT47" s="533">
        <f t="shared" si="19"/>
        <v>6743.8100000000559</v>
      </c>
      <c r="BU47" s="533">
        <f>BR47</f>
        <v>607000</v>
      </c>
      <c r="BV47" s="617">
        <f>502467.25</f>
        <v>502467.25</v>
      </c>
      <c r="BW47" s="621">
        <f t="shared" si="46"/>
        <v>74532.75</v>
      </c>
      <c r="BX47" s="617">
        <v>97788.94</v>
      </c>
      <c r="BY47" s="621">
        <f t="shared" si="47"/>
        <v>-67788.94</v>
      </c>
    </row>
    <row r="48" spans="1:77" x14ac:dyDescent="0.3">
      <c r="A48" s="437" t="s">
        <v>174</v>
      </c>
      <c r="B48" s="1251">
        <v>240</v>
      </c>
      <c r="C48" s="1255">
        <v>853</v>
      </c>
      <c r="D48" s="1275">
        <f t="shared" si="40"/>
        <v>0</v>
      </c>
      <c r="E48" s="59">
        <f>H48+W48+AQ48+AP48</f>
        <v>0</v>
      </c>
      <c r="F48" s="410">
        <f t="shared" si="1"/>
        <v>0</v>
      </c>
      <c r="G48" s="297"/>
      <c r="H48" s="158"/>
      <c r="I48" s="298">
        <f t="shared" si="21"/>
        <v>0</v>
      </c>
      <c r="J48" s="297"/>
      <c r="K48" s="158"/>
      <c r="L48" s="298"/>
      <c r="M48" s="297"/>
      <c r="N48" s="158"/>
      <c r="O48" s="298"/>
      <c r="P48" s="297"/>
      <c r="Q48" s="285"/>
      <c r="R48" s="316"/>
      <c r="S48" s="297"/>
      <c r="T48" s="285"/>
      <c r="U48" s="316"/>
      <c r="V48" s="279"/>
      <c r="W48" s="310"/>
      <c r="X48" s="375"/>
      <c r="Y48" s="528"/>
      <c r="Z48" s="310"/>
      <c r="AA48" s="63"/>
      <c r="AB48" s="357">
        <f t="shared" si="2"/>
        <v>0</v>
      </c>
      <c r="AC48" s="382"/>
      <c r="AD48" s="153">
        <f t="shared" si="42"/>
        <v>0</v>
      </c>
      <c r="AE48" s="357">
        <f t="shared" si="43"/>
        <v>0</v>
      </c>
      <c r="AF48" s="310"/>
      <c r="AG48" s="63"/>
      <c r="AH48" s="360"/>
      <c r="AI48" s="279"/>
      <c r="AJ48" s="63"/>
      <c r="AK48" s="360"/>
      <c r="AL48" s="279"/>
      <c r="AM48" s="63"/>
      <c r="AN48" s="360"/>
      <c r="AO48" s="425"/>
      <c r="AP48" s="395"/>
      <c r="AQ48" s="334">
        <v>0</v>
      </c>
      <c r="AR48" s="161">
        <f t="shared" si="22"/>
        <v>0</v>
      </c>
      <c r="AS48" s="335">
        <f t="shared" si="5"/>
        <v>0</v>
      </c>
      <c r="AT48" s="338"/>
      <c r="AU48" s="162"/>
      <c r="AV48" s="1019"/>
      <c r="AW48" s="338"/>
      <c r="AX48" s="162"/>
      <c r="AY48" s="339"/>
      <c r="AZ48" s="540"/>
      <c r="BA48" s="338"/>
      <c r="BB48" s="162"/>
      <c r="BC48" s="339"/>
      <c r="BL48" s="617"/>
      <c r="BM48" s="621">
        <f>AK48-BL48</f>
        <v>0</v>
      </c>
      <c r="BN48" s="617"/>
      <c r="BO48" s="621"/>
      <c r="BR48" s="628">
        <f t="shared" si="23"/>
        <v>0</v>
      </c>
      <c r="BS48" s="628">
        <f t="shared" si="15"/>
        <v>0</v>
      </c>
      <c r="BT48" s="535">
        <f t="shared" si="19"/>
        <v>0</v>
      </c>
      <c r="BU48" s="533"/>
      <c r="BV48" s="617"/>
      <c r="BW48" s="621">
        <f>AU48-BV48</f>
        <v>0</v>
      </c>
      <c r="BX48" s="617"/>
      <c r="BY48" s="621"/>
    </row>
    <row r="49" spans="1:77" s="115" customFormat="1" ht="31.5" x14ac:dyDescent="0.3">
      <c r="A49" s="435" t="s">
        <v>175</v>
      </c>
      <c r="B49" s="1387">
        <v>250</v>
      </c>
      <c r="C49" s="442"/>
      <c r="D49" s="1275">
        <f t="shared" si="40"/>
        <v>0</v>
      </c>
      <c r="E49" s="59">
        <f>H49+W49+AQ49+AP49</f>
        <v>0</v>
      </c>
      <c r="F49" s="410">
        <f t="shared" si="1"/>
        <v>0</v>
      </c>
      <c r="G49" s="293"/>
      <c r="H49" s="157"/>
      <c r="I49" s="298">
        <f t="shared" si="21"/>
        <v>0</v>
      </c>
      <c r="J49" s="293"/>
      <c r="K49" s="157"/>
      <c r="L49" s="294"/>
      <c r="M49" s="293"/>
      <c r="N49" s="157"/>
      <c r="O49" s="294"/>
      <c r="P49" s="293"/>
      <c r="Q49" s="283"/>
      <c r="R49" s="314"/>
      <c r="S49" s="293"/>
      <c r="T49" s="283"/>
      <c r="U49" s="314"/>
      <c r="V49" s="276"/>
      <c r="W49" s="307"/>
      <c r="X49" s="372"/>
      <c r="Y49" s="525"/>
      <c r="Z49" s="307">
        <v>0</v>
      </c>
      <c r="AA49" s="153">
        <v>0</v>
      </c>
      <c r="AB49" s="357">
        <f t="shared" si="2"/>
        <v>0</v>
      </c>
      <c r="AC49" s="379">
        <v>0</v>
      </c>
      <c r="AD49" s="153">
        <f t="shared" si="42"/>
        <v>0</v>
      </c>
      <c r="AE49" s="357">
        <f t="shared" si="43"/>
        <v>0</v>
      </c>
      <c r="AF49" s="307"/>
      <c r="AG49" s="153"/>
      <c r="AH49" s="357"/>
      <c r="AI49" s="276"/>
      <c r="AJ49" s="153"/>
      <c r="AK49" s="357"/>
      <c r="AL49" s="276"/>
      <c r="AM49" s="153"/>
      <c r="AN49" s="357"/>
      <c r="AO49" s="422">
        <v>0</v>
      </c>
      <c r="AP49" s="396">
        <v>0</v>
      </c>
      <c r="AQ49" s="334">
        <v>0</v>
      </c>
      <c r="AR49" s="161">
        <f t="shared" si="22"/>
        <v>0</v>
      </c>
      <c r="AS49" s="335">
        <f t="shared" si="5"/>
        <v>0</v>
      </c>
      <c r="AT49" s="334"/>
      <c r="AU49" s="161"/>
      <c r="AV49" s="406"/>
      <c r="AW49" s="334"/>
      <c r="AX49" s="161"/>
      <c r="AY49" s="335"/>
      <c r="AZ49" s="539">
        <f>AZ51</f>
        <v>0</v>
      </c>
      <c r="BA49" s="334"/>
      <c r="BB49" s="161"/>
      <c r="BC49" s="335"/>
      <c r="BL49" s="617"/>
      <c r="BM49" s="621">
        <f>AK49-BL49</f>
        <v>0</v>
      </c>
      <c r="BN49" s="617"/>
      <c r="BO49" s="621"/>
      <c r="BR49" s="628">
        <f t="shared" si="23"/>
        <v>0</v>
      </c>
      <c r="BS49" s="628">
        <f t="shared" si="15"/>
        <v>0</v>
      </c>
      <c r="BT49" s="535">
        <f t="shared" si="19"/>
        <v>0</v>
      </c>
      <c r="BU49" s="533"/>
      <c r="BV49" s="617"/>
      <c r="BW49" s="621">
        <f>AU49-BV49</f>
        <v>0</v>
      </c>
      <c r="BX49" s="617"/>
      <c r="BY49" s="621"/>
    </row>
    <row r="50" spans="1:77" s="115" customFormat="1" x14ac:dyDescent="0.3">
      <c r="A50" s="435" t="s">
        <v>92</v>
      </c>
      <c r="B50" s="1387"/>
      <c r="C50" s="442"/>
      <c r="D50" s="1275">
        <f t="shared" si="40"/>
        <v>0</v>
      </c>
      <c r="E50" s="59">
        <f>H50+W50+AQ50+AP50</f>
        <v>0</v>
      </c>
      <c r="F50" s="410">
        <f t="shared" si="1"/>
        <v>0</v>
      </c>
      <c r="G50" s="293"/>
      <c r="H50" s="157"/>
      <c r="I50" s="298">
        <f t="shared" si="21"/>
        <v>0</v>
      </c>
      <c r="J50" s="293"/>
      <c r="K50" s="157"/>
      <c r="L50" s="294"/>
      <c r="M50" s="293"/>
      <c r="N50" s="157"/>
      <c r="O50" s="294"/>
      <c r="P50" s="293"/>
      <c r="Q50" s="283"/>
      <c r="R50" s="314"/>
      <c r="S50" s="293"/>
      <c r="T50" s="283"/>
      <c r="U50" s="314"/>
      <c r="V50" s="276"/>
      <c r="W50" s="307"/>
      <c r="X50" s="372"/>
      <c r="Y50" s="525"/>
      <c r="Z50" s="307"/>
      <c r="AA50" s="153"/>
      <c r="AB50" s="357">
        <f t="shared" si="2"/>
        <v>0</v>
      </c>
      <c r="AC50" s="379"/>
      <c r="AD50" s="153">
        <f t="shared" si="42"/>
        <v>0</v>
      </c>
      <c r="AE50" s="357">
        <f t="shared" si="43"/>
        <v>0</v>
      </c>
      <c r="AF50" s="307"/>
      <c r="AG50" s="153"/>
      <c r="AH50" s="357"/>
      <c r="AI50" s="276"/>
      <c r="AJ50" s="153"/>
      <c r="AK50" s="357"/>
      <c r="AL50" s="276"/>
      <c r="AM50" s="153"/>
      <c r="AN50" s="357"/>
      <c r="AO50" s="422"/>
      <c r="AP50" s="396"/>
      <c r="AQ50" s="334">
        <v>0</v>
      </c>
      <c r="AR50" s="161">
        <f t="shared" si="22"/>
        <v>0</v>
      </c>
      <c r="AS50" s="335">
        <f t="shared" si="5"/>
        <v>0</v>
      </c>
      <c r="AT50" s="334"/>
      <c r="AU50" s="161"/>
      <c r="AV50" s="406"/>
      <c r="AW50" s="334"/>
      <c r="AX50" s="161"/>
      <c r="AY50" s="335"/>
      <c r="AZ50" s="539"/>
      <c r="BA50" s="334"/>
      <c r="BB50" s="161"/>
      <c r="BC50" s="335"/>
      <c r="BL50" s="617"/>
      <c r="BM50" s="621">
        <f>AK50-BL50</f>
        <v>0</v>
      </c>
      <c r="BN50" s="617"/>
      <c r="BO50" s="621"/>
      <c r="BR50" s="628">
        <f t="shared" si="23"/>
        <v>0</v>
      </c>
      <c r="BS50" s="628">
        <f t="shared" si="15"/>
        <v>0</v>
      </c>
      <c r="BT50" s="535">
        <f t="shared" si="19"/>
        <v>0</v>
      </c>
      <c r="BU50" s="533"/>
      <c r="BV50" s="617"/>
      <c r="BW50" s="621">
        <f>AU50-BV50</f>
        <v>0</v>
      </c>
      <c r="BX50" s="617"/>
      <c r="BY50" s="621"/>
    </row>
    <row r="51" spans="1:77" s="115" customFormat="1" x14ac:dyDescent="0.3">
      <c r="A51" s="443"/>
      <c r="B51" s="1387"/>
      <c r="C51" s="442"/>
      <c r="D51" s="1274"/>
      <c r="E51" s="59">
        <f>H51+W51+AQ51+AP51</f>
        <v>0</v>
      </c>
      <c r="F51" s="410">
        <f t="shared" si="1"/>
        <v>0</v>
      </c>
      <c r="G51" s="293"/>
      <c r="H51" s="157"/>
      <c r="I51" s="298">
        <f t="shared" si="21"/>
        <v>0</v>
      </c>
      <c r="J51" s="293"/>
      <c r="K51" s="157"/>
      <c r="L51" s="294"/>
      <c r="M51" s="293"/>
      <c r="N51" s="157"/>
      <c r="O51" s="294"/>
      <c r="P51" s="293"/>
      <c r="Q51" s="283"/>
      <c r="R51" s="314"/>
      <c r="S51" s="293"/>
      <c r="T51" s="283"/>
      <c r="U51" s="314"/>
      <c r="V51" s="276"/>
      <c r="W51" s="307"/>
      <c r="X51" s="372"/>
      <c r="Y51" s="525"/>
      <c r="Z51" s="307"/>
      <c r="AA51" s="153"/>
      <c r="AB51" s="357">
        <f t="shared" si="2"/>
        <v>0</v>
      </c>
      <c r="AC51" s="379"/>
      <c r="AD51" s="153">
        <f t="shared" si="42"/>
        <v>0</v>
      </c>
      <c r="AE51" s="357">
        <f t="shared" si="43"/>
        <v>0</v>
      </c>
      <c r="AF51" s="307"/>
      <c r="AG51" s="153"/>
      <c r="AH51" s="357"/>
      <c r="AI51" s="276"/>
      <c r="AJ51" s="153"/>
      <c r="AK51" s="357"/>
      <c r="AL51" s="276"/>
      <c r="AM51" s="153"/>
      <c r="AN51" s="357"/>
      <c r="AO51" s="422"/>
      <c r="AP51" s="396"/>
      <c r="AQ51" s="334">
        <v>0</v>
      </c>
      <c r="AR51" s="161">
        <f t="shared" si="22"/>
        <v>0</v>
      </c>
      <c r="AS51" s="335">
        <f t="shared" si="5"/>
        <v>0</v>
      </c>
      <c r="AT51" s="334"/>
      <c r="AU51" s="161"/>
      <c r="AV51" s="406"/>
      <c r="AW51" s="334"/>
      <c r="AX51" s="161"/>
      <c r="AY51" s="335"/>
      <c r="AZ51" s="539"/>
      <c r="BA51" s="334"/>
      <c r="BB51" s="161"/>
      <c r="BC51" s="335"/>
      <c r="BL51" s="617"/>
      <c r="BM51" s="621">
        <f>AK51-BL51</f>
        <v>0</v>
      </c>
      <c r="BN51" s="617"/>
      <c r="BO51" s="621"/>
      <c r="BR51" s="628">
        <f t="shared" si="23"/>
        <v>0</v>
      </c>
      <c r="BS51" s="628">
        <f t="shared" si="15"/>
        <v>0</v>
      </c>
      <c r="BT51" s="535">
        <f t="shared" si="19"/>
        <v>0</v>
      </c>
      <c r="BU51" s="533"/>
      <c r="BV51" s="617"/>
      <c r="BW51" s="621">
        <f>AU51-BV51</f>
        <v>0</v>
      </c>
      <c r="BX51" s="617"/>
      <c r="BY51" s="621"/>
    </row>
    <row r="52" spans="1:77" s="115" customFormat="1" ht="31.5" x14ac:dyDescent="0.3">
      <c r="A52" s="435" t="s">
        <v>176</v>
      </c>
      <c r="B52" s="1388">
        <v>260</v>
      </c>
      <c r="C52" s="436">
        <v>240</v>
      </c>
      <c r="D52" s="1276">
        <f>D54+D55+D56+D57+D58+D62+D66+D68+D70+D73+D59+D63+D67+D69+D71+D72</f>
        <v>2866048940.0349998</v>
      </c>
      <c r="E52" s="59">
        <f>H52+W52+AR52+AP52</f>
        <v>2800538533.3694401</v>
      </c>
      <c r="F52" s="410">
        <f t="shared" si="1"/>
        <v>-65510406.665559769</v>
      </c>
      <c r="G52" s="293">
        <v>46655720.769999996</v>
      </c>
      <c r="H52" s="157">
        <f>H54+H55+H56+H57+H58+H62+H66+H68+H70+H73+H59+H63+H67+H69+H71+H72</f>
        <v>63068157.81944035</v>
      </c>
      <c r="I52" s="298">
        <f t="shared" si="21"/>
        <v>16412437.049440354</v>
      </c>
      <c r="J52" s="293">
        <f>J54+J55+J56+J57+J58+J62+J66+J68</f>
        <v>0</v>
      </c>
      <c r="K52" s="157"/>
      <c r="L52" s="294"/>
      <c r="M52" s="293">
        <f>M54+M55+M56+M57+M58+M62+M66+M68+M70+M73+M59+M63+M67+M69+M71+M72</f>
        <v>29172987.350000001</v>
      </c>
      <c r="N52" s="157">
        <f>N54+N55+N56+N57+N58+N62+N66+N68+N70+N73+N59+N63+N67+N69+N71+N72</f>
        <v>44430902.232627586</v>
      </c>
      <c r="O52" s="294">
        <f>N52-M52</f>
        <v>15257914.882627584</v>
      </c>
      <c r="P52" s="293">
        <f>P54+P55+P56+P57+P58+P62+P66+P68+P70+P73+P59+P63+P67+P69+P71+P72</f>
        <v>17482733.41</v>
      </c>
      <c r="Q52" s="157">
        <f>Q54+Q55+Q56+Q57+Q58+Q62+Q66+Q68+Q70+Q73+Q59+Q63+Q67+Q69+Q71+Q72</f>
        <v>16381417.597189084</v>
      </c>
      <c r="R52" s="314">
        <f>Q52-P52</f>
        <v>-1101315.8128109165</v>
      </c>
      <c r="S52" s="293"/>
      <c r="T52" s="157">
        <f>T54+T55+T56+T57+T58+T62+T66+T68+T70+T73+T59+T63+T67+T69+T71+T72</f>
        <v>2255837.9761981787</v>
      </c>
      <c r="U52" s="314"/>
      <c r="V52" s="276">
        <f>V54+V55+V56+V57+V58+V62+V66+V68+V70+V73+V59+V63+V67+V69+V71+V72</f>
        <v>2636473664.7599998</v>
      </c>
      <c r="W52" s="307">
        <f>W54+W55+W56+W57+W58+W62+W66+W68+W70+W73+W59+W63+W67+W69+W71+W72</f>
        <v>2548077164.7599998</v>
      </c>
      <c r="X52" s="372">
        <f>W52-V52</f>
        <v>-88396500</v>
      </c>
      <c r="Y52" s="525">
        <f>Y54+Y55+Y56+Y57+Y58+Y62+Y66+Y68+Y70+Y73+Y59+Y63+Y67+Y69+Y71+Y72</f>
        <v>388193676.14999998</v>
      </c>
      <c r="Z52" s="307">
        <f>Z54+Z55+Z56+Z57+Z58+Z62+Z66+Z68+Z70+Z73+Z59+Z63+Z67+Z69+Z71+Z72</f>
        <v>2221891000</v>
      </c>
      <c r="AA52" s="153">
        <f>AA54+AA55+AA56+AA57+AA58+AA62+AA66+AA68+AA70+AA73+AA59+AA63+AA67+AA69+AA71+AA72</f>
        <v>2133494500</v>
      </c>
      <c r="AB52" s="357">
        <f>AA52-Z52</f>
        <v>-88396500</v>
      </c>
      <c r="AC52" s="379">
        <f>AC54+AC55+AC56+AC57+AC58+AC62+AC66+AC68+AC70+AC73+AC59+AC63+AC67+AC69+AC71+AC72</f>
        <v>11003632.780000001</v>
      </c>
      <c r="AD52" s="153">
        <f>AD54+AD55+AD56+AD57+AD58+AD62+AD66+AD68+AD70+AD73+AD59+AD63+AD67+AD69+AD71+AD72</f>
        <v>11003632.779999882</v>
      </c>
      <c r="AE52" s="357">
        <f>AE54+AE55+AE56+AE57+AE58+AE62+AE66+AE68+AE70+AE73+AE59+AE63+AE67+AE69+AE71+AE72</f>
        <v>0</v>
      </c>
      <c r="AF52" s="307">
        <v>6222834.2999999998</v>
      </c>
      <c r="AG52" s="153">
        <f>AG54+AG55+AG56+AG57+AG58+AG62+AG66+AG68+AG70+AG73+AG59+AG63+AG67+AG69+AG71+AG72</f>
        <v>6222834.2999999998</v>
      </c>
      <c r="AH52" s="357">
        <f>AG52-AF52</f>
        <v>0</v>
      </c>
      <c r="AI52" s="276"/>
      <c r="AJ52" s="153"/>
      <c r="AK52" s="357"/>
      <c r="AL52" s="153">
        <v>9162521.5199999996</v>
      </c>
      <c r="AM52" s="153">
        <f t="shared" ref="AM52" si="48">AM54+AM55+AM56+AM57+AM58+AM62+AM66+AM68+AM70+AM73+AM59+AM63+AM67+AM69+AM71+AM72</f>
        <v>9162521.5199999996</v>
      </c>
      <c r="AN52" s="357">
        <f>AM52-AL52</f>
        <v>0</v>
      </c>
      <c r="AO52" s="422">
        <f>AO54+AO55+AO56+AO57+AO58+AO59+AO63+AO68</f>
        <v>0</v>
      </c>
      <c r="AP52" s="396">
        <f>AP54+AP55+AP56+AP57+AP58+AP62+AP66+AP68+AP70+AP73+AP59+AP63+AP67+AP69+AP71+AP72</f>
        <v>50000</v>
      </c>
      <c r="AQ52" s="334">
        <v>182869554.505</v>
      </c>
      <c r="AR52" s="161">
        <f t="shared" si="22"/>
        <v>189343210.78999999</v>
      </c>
      <c r="AS52" s="335">
        <f t="shared" si="5"/>
        <v>6473656.2849999964</v>
      </c>
      <c r="AT52" s="334">
        <f>AT54+AT55+AT56+AT57+AT58+AT62+AT66+AT68+AT70+AT73+AT59+AT63+AT67+AT69+AT71+AT72</f>
        <v>155373348.78</v>
      </c>
      <c r="AU52" s="323">
        <f>AU54+AU55+AU56+AU57+AU58+AU62+AU66+AU68+AU70+AU73+AU59+AU63+AU67+AU69+AU71+AU72</f>
        <v>155373348.78</v>
      </c>
      <c r="AV52" s="406">
        <f>AU52-AT52</f>
        <v>0</v>
      </c>
      <c r="AW52" s="334">
        <f>AW54+AW55+AW56+AW57+AW58+AW62+AW66+AW68+AW70+AW73+AW59+AW63+AW67+AW69+AW71+AW72</f>
        <v>22737058.73</v>
      </c>
      <c r="AX52" s="161">
        <f>AX54+AX55+AX56+AX57+AX58+AX62+AX66+AX68+AX70+AX73+AX59+AX63+AX67+AX69+AX71+AX72</f>
        <v>29210715.010000002</v>
      </c>
      <c r="AY52" s="335">
        <f>AX52-AW52</f>
        <v>6473656.2800000012</v>
      </c>
      <c r="AZ52" s="539">
        <f>AZ54+AZ55+AZ56+AZ57+AZ58+AZ59+AZ63+AZ68</f>
        <v>0</v>
      </c>
      <c r="BA52" s="334">
        <f>BA54+BA55+BA56+BA57+BA58+BA62+BA66+BA68+BA70+BA73+BA59+BA63+BA67+BA69+BA71+BA72</f>
        <v>4759147</v>
      </c>
      <c r="BB52" s="161">
        <f>BB54+BB55+BB56+BB57+BB58+BB62+BB66+BB68+BB70+BB73+BB59+BB63+BB67+BB69+BB71+BB72</f>
        <v>4759147.0000000037</v>
      </c>
      <c r="BC52" s="335">
        <f>BB52-BA52</f>
        <v>0</v>
      </c>
      <c r="BL52" s="334">
        <f>BL54+BL55+BL56+BL57+BL58+BL62+BL66+BL68+BL70+BL73+BL59+BL63+BL67+BL69+BL71+BL72</f>
        <v>0</v>
      </c>
      <c r="BM52" s="539">
        <f t="shared" ref="BM52:BO52" si="49">BM54+BM55+BM56+BM57+BM58+BM62+BM66+BM68+BM70+BM73+BM59+BM63+BM67+BM69+BM71+BM72</f>
        <v>0</v>
      </c>
      <c r="BN52" s="334">
        <f t="shared" si="49"/>
        <v>25649553.189999998</v>
      </c>
      <c r="BO52" s="539">
        <f t="shared" si="49"/>
        <v>-16487031.669999998</v>
      </c>
      <c r="BR52" s="628">
        <f t="shared" si="23"/>
        <v>182869554.505</v>
      </c>
      <c r="BS52" s="628">
        <f t="shared" si="15"/>
        <v>127263947.69999999</v>
      </c>
      <c r="BT52" s="535">
        <f t="shared" si="19"/>
        <v>55605606.805000007</v>
      </c>
      <c r="BU52" s="334">
        <f>SUM(BU55:BU73)</f>
        <v>126295893.63499999</v>
      </c>
      <c r="BV52" s="334">
        <f>BV54+BV55+BV56+BV57+BV58+BV62+BV66+BV68+BV70+BV73+BV59+BV63+BV67+BV69+BV71+BV72</f>
        <v>101614394.50999999</v>
      </c>
      <c r="BW52" s="539">
        <f t="shared" ref="BW52:BY52" si="50">BW54+BW55+BW56+BW57+BW58+BW62+BW66+BW68+BW70+BW73+BW59+BW63+BW67+BW69+BW71+BW72</f>
        <v>53758954.270000003</v>
      </c>
      <c r="BX52" s="334">
        <f t="shared" si="50"/>
        <v>25649553.189999998</v>
      </c>
      <c r="BY52" s="539">
        <f t="shared" si="50"/>
        <v>-2912494.4599999995</v>
      </c>
    </row>
    <row r="53" spans="1:77" x14ac:dyDescent="0.3">
      <c r="A53" s="437" t="s">
        <v>92</v>
      </c>
      <c r="B53" s="1392"/>
      <c r="C53" s="438"/>
      <c r="D53" s="1275"/>
      <c r="E53" s="59">
        <f>H53+W53+AQ53+AP53</f>
        <v>0</v>
      </c>
      <c r="F53" s="410">
        <f t="shared" si="1"/>
        <v>0</v>
      </c>
      <c r="G53" s="297"/>
      <c r="H53" s="158"/>
      <c r="I53" s="298">
        <f t="shared" si="21"/>
        <v>0</v>
      </c>
      <c r="J53" s="297"/>
      <c r="K53" s="158"/>
      <c r="L53" s="298"/>
      <c r="M53" s="297"/>
      <c r="N53" s="158"/>
      <c r="O53" s="298"/>
      <c r="P53" s="297"/>
      <c r="Q53" s="285"/>
      <c r="R53" s="316"/>
      <c r="S53" s="297"/>
      <c r="T53" s="285"/>
      <c r="U53" s="316"/>
      <c r="V53" s="279"/>
      <c r="W53" s="310"/>
      <c r="X53" s="375"/>
      <c r="Y53" s="528"/>
      <c r="Z53" s="310"/>
      <c r="AA53" s="63"/>
      <c r="AB53" s="357">
        <f t="shared" si="2"/>
        <v>0</v>
      </c>
      <c r="AC53" s="382"/>
      <c r="AD53" s="153">
        <f>AC53-AB53</f>
        <v>0</v>
      </c>
      <c r="AE53" s="357">
        <f>AC53-AB53</f>
        <v>0</v>
      </c>
      <c r="AF53" s="310"/>
      <c r="AG53" s="63"/>
      <c r="AH53" s="360"/>
      <c r="AI53" s="279"/>
      <c r="AJ53" s="63"/>
      <c r="AK53" s="360"/>
      <c r="AL53" s="279"/>
      <c r="AM53" s="63"/>
      <c r="AN53" s="360"/>
      <c r="AO53" s="425"/>
      <c r="AP53" s="395"/>
      <c r="AQ53" s="334">
        <v>0</v>
      </c>
      <c r="AR53" s="161">
        <f t="shared" si="22"/>
        <v>0</v>
      </c>
      <c r="AS53" s="335">
        <f t="shared" si="5"/>
        <v>0</v>
      </c>
      <c r="AT53" s="338"/>
      <c r="AU53" s="162"/>
      <c r="AV53" s="1019"/>
      <c r="AW53" s="338"/>
      <c r="AX53" s="162"/>
      <c r="AY53" s="339"/>
      <c r="AZ53" s="540"/>
      <c r="BA53" s="338"/>
      <c r="BB53" s="162"/>
      <c r="BC53" s="339"/>
      <c r="BE53" s="1256" t="s">
        <v>237</v>
      </c>
      <c r="BF53" s="1256" t="s">
        <v>197</v>
      </c>
      <c r="BL53" s="617"/>
      <c r="BM53" s="621">
        <f>AK53-BL53</f>
        <v>0</v>
      </c>
      <c r="BN53" s="617"/>
      <c r="BO53" s="621"/>
      <c r="BR53" s="628">
        <f t="shared" si="23"/>
        <v>0</v>
      </c>
      <c r="BS53" s="628">
        <f t="shared" si="15"/>
        <v>0</v>
      </c>
      <c r="BT53" s="535">
        <f t="shared" si="19"/>
        <v>0</v>
      </c>
      <c r="BU53" s="533"/>
      <c r="BV53" s="617"/>
      <c r="BW53" s="621">
        <f>AU53-BV53</f>
        <v>0</v>
      </c>
      <c r="BX53" s="617"/>
      <c r="BY53" s="621"/>
    </row>
    <row r="54" spans="1:77" ht="31.5" x14ac:dyDescent="0.3">
      <c r="A54" s="437" t="s">
        <v>177</v>
      </c>
      <c r="B54" s="140"/>
      <c r="C54" s="1255">
        <v>241</v>
      </c>
      <c r="D54" s="1275"/>
      <c r="E54" s="59">
        <f>H54+W54+AQ54+AP54</f>
        <v>0</v>
      </c>
      <c r="F54" s="410">
        <f t="shared" si="1"/>
        <v>0</v>
      </c>
      <c r="G54" s="297"/>
      <c r="H54" s="158"/>
      <c r="I54" s="298">
        <f t="shared" si="21"/>
        <v>0</v>
      </c>
      <c r="J54" s="297"/>
      <c r="K54" s="158"/>
      <c r="L54" s="298"/>
      <c r="M54" s="297"/>
      <c r="N54" s="158"/>
      <c r="O54" s="298"/>
      <c r="P54" s="297"/>
      <c r="Q54" s="285"/>
      <c r="R54" s="316"/>
      <c r="S54" s="297"/>
      <c r="T54" s="285"/>
      <c r="U54" s="316"/>
      <c r="V54" s="279"/>
      <c r="W54" s="310"/>
      <c r="X54" s="375"/>
      <c r="Y54" s="528"/>
      <c r="Z54" s="310"/>
      <c r="AA54" s="63"/>
      <c r="AB54" s="357">
        <f t="shared" si="2"/>
        <v>0</v>
      </c>
      <c r="AC54" s="382"/>
      <c r="AD54" s="153">
        <f>AC54-AB54</f>
        <v>0</v>
      </c>
      <c r="AE54" s="360"/>
      <c r="AF54" s="310"/>
      <c r="AG54" s="63"/>
      <c r="AH54" s="360"/>
      <c r="AI54" s="279"/>
      <c r="AJ54" s="63"/>
      <c r="AK54" s="360"/>
      <c r="AL54" s="279"/>
      <c r="AM54" s="63"/>
      <c r="AN54" s="360"/>
      <c r="AO54" s="425"/>
      <c r="AP54" s="395"/>
      <c r="AQ54" s="334">
        <v>0</v>
      </c>
      <c r="AR54" s="161">
        <f t="shared" si="22"/>
        <v>0</v>
      </c>
      <c r="AS54" s="335">
        <f t="shared" si="5"/>
        <v>0</v>
      </c>
      <c r="AT54" s="338"/>
      <c r="AU54" s="162"/>
      <c r="AV54" s="1019"/>
      <c r="AW54" s="338"/>
      <c r="AX54" s="162"/>
      <c r="AY54" s="339"/>
      <c r="AZ54" s="540"/>
      <c r="BA54" s="338"/>
      <c r="BB54" s="162"/>
      <c r="BC54" s="339"/>
      <c r="BE54" s="141"/>
      <c r="BF54" s="122">
        <v>25000</v>
      </c>
      <c r="BG54" s="117" t="s">
        <v>234</v>
      </c>
      <c r="BL54" s="617"/>
      <c r="BM54" s="621">
        <f>AK54-BL54</f>
        <v>0</v>
      </c>
      <c r="BN54" s="617"/>
      <c r="BO54" s="621"/>
      <c r="BR54" s="628">
        <f t="shared" si="23"/>
        <v>0</v>
      </c>
      <c r="BS54" s="628">
        <f t="shared" si="15"/>
        <v>0</v>
      </c>
      <c r="BT54" s="535">
        <f t="shared" si="19"/>
        <v>0</v>
      </c>
      <c r="BU54" s="533"/>
      <c r="BV54" s="617"/>
      <c r="BW54" s="621">
        <f>AU54-BV54</f>
        <v>0</v>
      </c>
      <c r="BX54" s="617"/>
      <c r="BY54" s="621"/>
    </row>
    <row r="55" spans="1:77" ht="15.75" customHeight="1" x14ac:dyDescent="0.3">
      <c r="A55" s="437" t="s">
        <v>178</v>
      </c>
      <c r="B55" s="140"/>
      <c r="C55" s="1255">
        <v>244</v>
      </c>
      <c r="D55" s="1275">
        <f t="shared" ref="D55:D74" si="51">G55+V55+AQ55+AP55</f>
        <v>2406359.8600000003</v>
      </c>
      <c r="E55" s="64">
        <f>H55+W55+AR55+AP55</f>
        <v>2697075.81</v>
      </c>
      <c r="F55" s="410">
        <f t="shared" si="1"/>
        <v>290715.94999999972</v>
      </c>
      <c r="G55" s="297">
        <v>935479.38</v>
      </c>
      <c r="H55" s="158">
        <f>G55+226318.96</f>
        <v>1161798.3400000001</v>
      </c>
      <c r="I55" s="298">
        <f t="shared" si="21"/>
        <v>226318.96000000008</v>
      </c>
      <c r="J55" s="297"/>
      <c r="K55" s="158"/>
      <c r="L55" s="298"/>
      <c r="M55" s="297">
        <v>717269.39</v>
      </c>
      <c r="N55" s="158">
        <f>H55-Q55-T55</f>
        <v>1033642.2100000001</v>
      </c>
      <c r="O55" s="298">
        <f>N55-M55</f>
        <v>316372.82000000007</v>
      </c>
      <c r="P55" s="297">
        <v>218209.99</v>
      </c>
      <c r="Q55" s="285">
        <v>100000</v>
      </c>
      <c r="R55" s="316">
        <f>Q55-P55</f>
        <v>-118209.98999999999</v>
      </c>
      <c r="S55" s="297"/>
      <c r="T55" s="285">
        <v>28156.13</v>
      </c>
      <c r="U55" s="316"/>
      <c r="V55" s="279">
        <v>255973.67</v>
      </c>
      <c r="W55" s="310">
        <f>Y55+AA55+AD55+AG55+AJ55+AM55</f>
        <v>255973.67</v>
      </c>
      <c r="X55" s="375">
        <f>W55-V55</f>
        <v>0</v>
      </c>
      <c r="Y55" s="528"/>
      <c r="Z55" s="310"/>
      <c r="AA55" s="63"/>
      <c r="AB55" s="357">
        <f t="shared" si="2"/>
        <v>0</v>
      </c>
      <c r="AC55" s="382">
        <v>210973.67</v>
      </c>
      <c r="AD55" s="63">
        <v>210973.67</v>
      </c>
      <c r="AE55" s="360"/>
      <c r="AF55" s="310">
        <v>45000</v>
      </c>
      <c r="AG55" s="63">
        <v>45000</v>
      </c>
      <c r="AH55" s="360">
        <f>AG55-AF55</f>
        <v>0</v>
      </c>
      <c r="AI55" s="279"/>
      <c r="AJ55" s="63"/>
      <c r="AK55" s="360"/>
      <c r="AL55" s="279"/>
      <c r="AM55" s="63"/>
      <c r="AN55" s="360"/>
      <c r="AO55" s="425"/>
      <c r="AP55" s="395"/>
      <c r="AQ55" s="334">
        <v>1214906.81</v>
      </c>
      <c r="AR55" s="161">
        <f t="shared" si="22"/>
        <v>1279303.8</v>
      </c>
      <c r="AS55" s="335">
        <f t="shared" si="5"/>
        <v>64396.989999999991</v>
      </c>
      <c r="AT55" s="338">
        <v>889902.56</v>
      </c>
      <c r="AU55" s="162">
        <v>889902.56</v>
      </c>
      <c r="AV55" s="1019">
        <f>AU55-AT55</f>
        <v>0</v>
      </c>
      <c r="AW55" s="338">
        <v>265603.01</v>
      </c>
      <c r="AX55" s="162">
        <v>330000</v>
      </c>
      <c r="AY55" s="339">
        <f>AX55-AW55</f>
        <v>64396.989999999991</v>
      </c>
      <c r="AZ55" s="540"/>
      <c r="BA55" s="338">
        <v>59401.24</v>
      </c>
      <c r="BB55" s="162">
        <v>59401.24</v>
      </c>
      <c r="BC55" s="339">
        <f>BB55-BA55</f>
        <v>0</v>
      </c>
      <c r="BE55" s="122">
        <v>269900</v>
      </c>
      <c r="BF55" s="122">
        <f>-269900</f>
        <v>-269900</v>
      </c>
      <c r="BG55" s="117" t="s">
        <v>179</v>
      </c>
      <c r="BL55" s="617"/>
      <c r="BM55" s="621">
        <f>AJ55-BL55</f>
        <v>0</v>
      </c>
      <c r="BN55" s="617">
        <v>212701.86</v>
      </c>
      <c r="BO55" s="621">
        <f>AM55-BN55</f>
        <v>-212701.86</v>
      </c>
      <c r="BR55" s="629">
        <f t="shared" si="23"/>
        <v>1214906.81</v>
      </c>
      <c r="BS55" s="629">
        <f t="shared" si="15"/>
        <v>963193.04999999993</v>
      </c>
      <c r="BT55" s="533">
        <f t="shared" si="19"/>
        <v>251713.76000000013</v>
      </c>
      <c r="BU55" s="533">
        <f>BR55</f>
        <v>1214906.81</v>
      </c>
      <c r="BV55" s="617">
        <v>750491.19</v>
      </c>
      <c r="BW55" s="621">
        <f>AT55-BV55</f>
        <v>139411.37000000011</v>
      </c>
      <c r="BX55" s="617">
        <v>212701.86</v>
      </c>
      <c r="BY55" s="621">
        <f>AW55-BX55</f>
        <v>52901.150000000023</v>
      </c>
    </row>
    <row r="56" spans="1:77" ht="19.5" customHeight="1" x14ac:dyDescent="0.3">
      <c r="A56" s="437" t="s">
        <v>179</v>
      </c>
      <c r="B56" s="140"/>
      <c r="C56" s="1255">
        <v>244</v>
      </c>
      <c r="D56" s="1275">
        <f t="shared" si="51"/>
        <v>161040</v>
      </c>
      <c r="E56" s="64">
        <f>H56+W56+AR56+AP56</f>
        <v>136040</v>
      </c>
      <c r="F56" s="411">
        <f t="shared" si="1"/>
        <v>-25000</v>
      </c>
      <c r="G56" s="297"/>
      <c r="H56" s="158">
        <f t="shared" ref="H56:H72" si="52">K56+N56+Q56+T56</f>
        <v>0</v>
      </c>
      <c r="I56" s="298">
        <f t="shared" si="21"/>
        <v>0</v>
      </c>
      <c r="J56" s="297"/>
      <c r="K56" s="158"/>
      <c r="L56" s="298"/>
      <c r="M56" s="297"/>
      <c r="N56" s="158">
        <f t="shared" ref="N56:N72" si="53">G56-Q56-T56</f>
        <v>0</v>
      </c>
      <c r="O56" s="298"/>
      <c r="P56" s="297"/>
      <c r="Q56" s="285"/>
      <c r="R56" s="316"/>
      <c r="S56" s="297"/>
      <c r="T56" s="285"/>
      <c r="U56" s="316"/>
      <c r="V56" s="279"/>
      <c r="W56" s="310"/>
      <c r="X56" s="375"/>
      <c r="Y56" s="528"/>
      <c r="Z56" s="310"/>
      <c r="AA56" s="63"/>
      <c r="AB56" s="357">
        <f t="shared" si="2"/>
        <v>0</v>
      </c>
      <c r="AC56" s="382"/>
      <c r="AD56" s="63">
        <f t="shared" ref="AD56:AD72" si="54">AC56-AE56</f>
        <v>0</v>
      </c>
      <c r="AE56" s="360">
        <f>AC56-AB56</f>
        <v>0</v>
      </c>
      <c r="AF56" s="310"/>
      <c r="AG56" s="63"/>
      <c r="AH56" s="360"/>
      <c r="AI56" s="279"/>
      <c r="AJ56" s="63"/>
      <c r="AK56" s="360"/>
      <c r="AL56" s="279"/>
      <c r="AM56" s="63"/>
      <c r="AN56" s="360"/>
      <c r="AO56" s="425"/>
      <c r="AP56" s="395"/>
      <c r="AQ56" s="334">
        <v>161040</v>
      </c>
      <c r="AR56" s="161">
        <f>AU56+AX56</f>
        <v>136040</v>
      </c>
      <c r="AS56" s="335">
        <f t="shared" si="5"/>
        <v>-25000</v>
      </c>
      <c r="AT56" s="338">
        <v>111040</v>
      </c>
      <c r="AU56" s="162">
        <v>111040</v>
      </c>
      <c r="AV56" s="1019">
        <f t="shared" ref="AV56:AV74" si="55">AU56-AT56</f>
        <v>0</v>
      </c>
      <c r="AW56" s="338">
        <v>50000</v>
      </c>
      <c r="AX56" s="162">
        <v>25000</v>
      </c>
      <c r="AY56" s="339">
        <f>AX56-AW56</f>
        <v>-25000</v>
      </c>
      <c r="AZ56" s="540"/>
      <c r="BA56" s="338"/>
      <c r="BB56" s="162"/>
      <c r="BC56" s="339">
        <f>BB56-BA56</f>
        <v>0</v>
      </c>
      <c r="BE56" s="111">
        <v>50000</v>
      </c>
      <c r="BF56" s="111">
        <v>845833.33</v>
      </c>
      <c r="BG56" s="117" t="s">
        <v>242</v>
      </c>
      <c r="BL56" s="617"/>
      <c r="BM56" s="621">
        <f t="shared" ref="BM56:BM57" si="56">AJ56-BL56</f>
        <v>0</v>
      </c>
      <c r="BN56" s="617">
        <v>30772.66</v>
      </c>
      <c r="BO56" s="621">
        <f t="shared" ref="BO56:BO68" si="57">AM56-BN56</f>
        <v>-30772.66</v>
      </c>
      <c r="BR56" s="629">
        <f t="shared" si="23"/>
        <v>161040</v>
      </c>
      <c r="BS56" s="629">
        <f t="shared" si="15"/>
        <v>39127.660000000003</v>
      </c>
      <c r="BT56" s="533">
        <f t="shared" si="19"/>
        <v>121912.34</v>
      </c>
      <c r="BU56" s="533">
        <f>BS56</f>
        <v>39127.660000000003</v>
      </c>
      <c r="BV56" s="617">
        <v>8355</v>
      </c>
      <c r="BW56" s="621">
        <f t="shared" ref="BW56:BW57" si="58">AT56-BV56</f>
        <v>102685</v>
      </c>
      <c r="BX56" s="617">
        <v>30772.66</v>
      </c>
      <c r="BY56" s="621">
        <f t="shared" ref="BY56:BY82" si="59">AW56-BX56</f>
        <v>19227.34</v>
      </c>
    </row>
    <row r="57" spans="1:77" ht="16.5" customHeight="1" x14ac:dyDescent="0.3">
      <c r="A57" s="437" t="s">
        <v>180</v>
      </c>
      <c r="B57" s="140"/>
      <c r="C57" s="1255">
        <v>244</v>
      </c>
      <c r="D57" s="1275">
        <f t="shared" si="51"/>
        <v>45311602.850000001</v>
      </c>
      <c r="E57" s="64">
        <f>H57+W57+AR57+AP57</f>
        <v>51799686.170000002</v>
      </c>
      <c r="F57" s="411">
        <f t="shared" si="1"/>
        <v>6488083.3200000003</v>
      </c>
      <c r="G57" s="297">
        <v>11180271.91</v>
      </c>
      <c r="H57" s="158">
        <f>G57+4269013.32</f>
        <v>15449285.23</v>
      </c>
      <c r="I57" s="298">
        <f t="shared" si="21"/>
        <v>4269013.32</v>
      </c>
      <c r="J57" s="297"/>
      <c r="K57" s="158"/>
      <c r="L57" s="298"/>
      <c r="M57" s="297">
        <v>7064216.5199999996</v>
      </c>
      <c r="N57" s="158">
        <f>H57-Q57-T57</f>
        <v>12318181.310000001</v>
      </c>
      <c r="O57" s="298">
        <f>N57-M57</f>
        <v>5253964.790000001</v>
      </c>
      <c r="P57" s="297">
        <v>4116055.39</v>
      </c>
      <c r="Q57" s="285">
        <v>2600000</v>
      </c>
      <c r="R57" s="316">
        <f>Q57-P57</f>
        <v>-1516055.3900000001</v>
      </c>
      <c r="S57" s="297"/>
      <c r="T57" s="285">
        <v>531103.92000000004</v>
      </c>
      <c r="U57" s="316"/>
      <c r="V57" s="279">
        <v>11762136.629999999</v>
      </c>
      <c r="W57" s="310">
        <f>Y57+AA57+AD57+AG57+AJ57+AM57</f>
        <v>11762136.629999999</v>
      </c>
      <c r="X57" s="375">
        <f>W57-V57</f>
        <v>0</v>
      </c>
      <c r="Y57" s="528"/>
      <c r="Z57" s="310"/>
      <c r="AA57" s="63"/>
      <c r="AB57" s="357">
        <f t="shared" si="2"/>
        <v>0</v>
      </c>
      <c r="AC57" s="382">
        <v>2604490.63</v>
      </c>
      <c r="AD57" s="63">
        <v>2604490.63</v>
      </c>
      <c r="AE57" s="360"/>
      <c r="AF57" s="310">
        <v>1571646</v>
      </c>
      <c r="AG57" s="63">
        <v>1571646</v>
      </c>
      <c r="AH57" s="360">
        <f>AG57-AF57</f>
        <v>0</v>
      </c>
      <c r="AI57" s="279"/>
      <c r="AJ57" s="63"/>
      <c r="AK57" s="360"/>
      <c r="AL57" s="63">
        <v>7586000</v>
      </c>
      <c r="AM57" s="63">
        <f>AL57</f>
        <v>7586000</v>
      </c>
      <c r="AN57" s="360">
        <f>AM57-AL57</f>
        <v>0</v>
      </c>
      <c r="AO57" s="425"/>
      <c r="AP57" s="395"/>
      <c r="AQ57" s="334">
        <v>22369194.310000002</v>
      </c>
      <c r="AR57" s="161">
        <f t="shared" si="22"/>
        <v>24588264.310000002</v>
      </c>
      <c r="AS57" s="335">
        <f t="shared" si="5"/>
        <v>2219070</v>
      </c>
      <c r="AT57" s="338">
        <v>19267792.300000001</v>
      </c>
      <c r="AU57" s="162">
        <v>19267792.300000001</v>
      </c>
      <c r="AV57" s="1019">
        <f t="shared" si="55"/>
        <v>0</v>
      </c>
      <c r="AW57" s="338">
        <v>1980930</v>
      </c>
      <c r="AX57" s="162">
        <v>4200000</v>
      </c>
      <c r="AY57" s="339">
        <f>AX57-AW57</f>
        <v>2219070</v>
      </c>
      <c r="AZ57" s="540"/>
      <c r="BA57" s="338">
        <v>1120472.01</v>
      </c>
      <c r="BB57" s="162">
        <v>1120472.01</v>
      </c>
      <c r="BC57" s="339">
        <f>BB57-BA57</f>
        <v>0</v>
      </c>
      <c r="BE57" s="122">
        <f>-(BE45+BE55+BE42)</f>
        <v>-2401129.66</v>
      </c>
      <c r="BG57" s="117" t="s">
        <v>180</v>
      </c>
      <c r="BL57" s="617"/>
      <c r="BM57" s="621">
        <f t="shared" si="56"/>
        <v>0</v>
      </c>
      <c r="BN57" s="617">
        <v>879775.94</v>
      </c>
      <c r="BO57" s="621">
        <f t="shared" si="57"/>
        <v>6706224.0600000005</v>
      </c>
      <c r="BR57" s="629">
        <f t="shared" si="23"/>
        <v>22369194.310000002</v>
      </c>
      <c r="BS57" s="629">
        <f t="shared" si="15"/>
        <v>16781898.300000001</v>
      </c>
      <c r="BT57" s="533">
        <f t="shared" si="19"/>
        <v>5587296.0100000016</v>
      </c>
      <c r="BU57" s="533">
        <f>BS57</f>
        <v>16781898.300000001</v>
      </c>
      <c r="BV57" s="617">
        <f>15377975.9+224146.46+300000</f>
        <v>15902122.360000001</v>
      </c>
      <c r="BW57" s="621">
        <f t="shared" si="58"/>
        <v>3365669.9399999995</v>
      </c>
      <c r="BX57" s="617">
        <v>879775.94</v>
      </c>
      <c r="BY57" s="621">
        <f t="shared" si="59"/>
        <v>1101154.06</v>
      </c>
    </row>
    <row r="58" spans="1:77" x14ac:dyDescent="0.3">
      <c r="A58" s="437" t="s">
        <v>181</v>
      </c>
      <c r="B58" s="140"/>
      <c r="C58" s="1255">
        <v>244</v>
      </c>
      <c r="D58" s="1275">
        <f t="shared" si="51"/>
        <v>0</v>
      </c>
      <c r="E58" s="64">
        <f>H58+W58+AQ58+AP58</f>
        <v>0</v>
      </c>
      <c r="F58" s="410">
        <f t="shared" si="1"/>
        <v>0</v>
      </c>
      <c r="G58" s="297"/>
      <c r="H58" s="158">
        <f t="shared" si="52"/>
        <v>0</v>
      </c>
      <c r="I58" s="298">
        <f t="shared" si="21"/>
        <v>0</v>
      </c>
      <c r="J58" s="297"/>
      <c r="K58" s="158"/>
      <c r="L58" s="298"/>
      <c r="M58" s="297"/>
      <c r="N58" s="158">
        <f t="shared" si="53"/>
        <v>0</v>
      </c>
      <c r="O58" s="298"/>
      <c r="P58" s="297"/>
      <c r="Q58" s="285"/>
      <c r="R58" s="316"/>
      <c r="S58" s="297"/>
      <c r="T58" s="285"/>
      <c r="U58" s="316"/>
      <c r="V58" s="279"/>
      <c r="W58" s="310"/>
      <c r="X58" s="375"/>
      <c r="Y58" s="528"/>
      <c r="Z58" s="310"/>
      <c r="AA58" s="63"/>
      <c r="AB58" s="357">
        <f t="shared" si="2"/>
        <v>0</v>
      </c>
      <c r="AC58" s="382"/>
      <c r="AD58" s="63">
        <f t="shared" si="54"/>
        <v>0</v>
      </c>
      <c r="AE58" s="360">
        <f>AC58-AB58</f>
        <v>0</v>
      </c>
      <c r="AF58" s="310"/>
      <c r="AG58" s="63"/>
      <c r="AH58" s="360"/>
      <c r="AI58" s="279"/>
      <c r="AJ58" s="63"/>
      <c r="AK58" s="360"/>
      <c r="AL58" s="279"/>
      <c r="AM58" s="63"/>
      <c r="AN58" s="360">
        <f t="shared" ref="AN58:AN62" si="60">AM58-AL58</f>
        <v>0</v>
      </c>
      <c r="AO58" s="425"/>
      <c r="AP58" s="395"/>
      <c r="AQ58" s="334">
        <v>0</v>
      </c>
      <c r="AR58" s="161">
        <f t="shared" si="22"/>
        <v>0</v>
      </c>
      <c r="AS58" s="335">
        <f t="shared" si="5"/>
        <v>0</v>
      </c>
      <c r="AT58" s="338">
        <v>0</v>
      </c>
      <c r="AU58" s="162">
        <f t="shared" ref="AU58:AU72" si="61">AQ58-AX58-BB58</f>
        <v>0</v>
      </c>
      <c r="AV58" s="1019">
        <f t="shared" si="55"/>
        <v>0</v>
      </c>
      <c r="AW58" s="338"/>
      <c r="AX58" s="162"/>
      <c r="AY58" s="339"/>
      <c r="AZ58" s="540"/>
      <c r="BA58" s="338"/>
      <c r="BB58" s="162"/>
      <c r="BC58" s="339"/>
      <c r="BE58" s="111">
        <v>23168167.190000001</v>
      </c>
      <c r="BF58" s="111">
        <v>2186471.81</v>
      </c>
      <c r="BG58" s="117" t="s">
        <v>243</v>
      </c>
      <c r="BL58" s="617"/>
      <c r="BM58" s="621">
        <f>AK58-BL58</f>
        <v>0</v>
      </c>
      <c r="BN58" s="617"/>
      <c r="BO58" s="621">
        <f t="shared" si="57"/>
        <v>0</v>
      </c>
      <c r="BR58" s="629">
        <f t="shared" si="23"/>
        <v>0</v>
      </c>
      <c r="BS58" s="629">
        <f t="shared" si="15"/>
        <v>0</v>
      </c>
      <c r="BT58" s="533">
        <f t="shared" si="19"/>
        <v>0</v>
      </c>
      <c r="BU58" s="533"/>
      <c r="BV58" s="617"/>
      <c r="BW58" s="621">
        <f>AU58-BV58</f>
        <v>0</v>
      </c>
      <c r="BX58" s="617"/>
      <c r="BY58" s="621">
        <f t="shared" si="59"/>
        <v>0</v>
      </c>
    </row>
    <row r="59" spans="1:77" x14ac:dyDescent="0.3">
      <c r="A59" s="1417" t="s">
        <v>182</v>
      </c>
      <c r="B59" s="142"/>
      <c r="C59" s="1414">
        <v>243</v>
      </c>
      <c r="D59" s="1275">
        <f t="shared" si="51"/>
        <v>1253015908.2</v>
      </c>
      <c r="E59" s="64">
        <f t="shared" ref="E59:E66" si="62">H59+W59+AR59+AP59</f>
        <v>1164619408.2</v>
      </c>
      <c r="F59" s="411">
        <f t="shared" si="1"/>
        <v>-88396500</v>
      </c>
      <c r="G59" s="297"/>
      <c r="H59" s="158">
        <f t="shared" si="52"/>
        <v>0</v>
      </c>
      <c r="I59" s="298">
        <f t="shared" si="21"/>
        <v>0</v>
      </c>
      <c r="J59" s="299"/>
      <c r="K59" s="158"/>
      <c r="L59" s="300"/>
      <c r="M59" s="299"/>
      <c r="N59" s="158">
        <f t="shared" si="53"/>
        <v>0</v>
      </c>
      <c r="O59" s="300"/>
      <c r="P59" s="299"/>
      <c r="Q59" s="286"/>
      <c r="R59" s="317"/>
      <c r="S59" s="299"/>
      <c r="T59" s="286"/>
      <c r="U59" s="317"/>
      <c r="V59" s="279">
        <v>1253015908.2</v>
      </c>
      <c r="W59" s="310">
        <f>Y59+AA59+AD59+AG59+AJ59+AM59</f>
        <v>1164619408.2</v>
      </c>
      <c r="X59" s="375">
        <f>W59-V59</f>
        <v>-88396500</v>
      </c>
      <c r="Y59" s="528">
        <v>146375908.19999999</v>
      </c>
      <c r="Z59" s="310">
        <v>1106640000</v>
      </c>
      <c r="AA59" s="1068">
        <f>1106640000-88396500</f>
        <v>1018243500</v>
      </c>
      <c r="AB59" s="360">
        <f t="shared" si="2"/>
        <v>-88396500</v>
      </c>
      <c r="AC59" s="382"/>
      <c r="AD59" s="63">
        <f t="shared" si="54"/>
        <v>0</v>
      </c>
      <c r="AE59" s="360"/>
      <c r="AF59" s="310"/>
      <c r="AG59" s="63"/>
      <c r="AH59" s="360"/>
      <c r="AI59" s="279"/>
      <c r="AJ59" s="63"/>
      <c r="AK59" s="360"/>
      <c r="AL59" s="279"/>
      <c r="AM59" s="63"/>
      <c r="AN59" s="360">
        <f t="shared" si="60"/>
        <v>0</v>
      </c>
      <c r="AO59" s="425"/>
      <c r="AP59" s="397"/>
      <c r="AQ59" s="334">
        <v>0</v>
      </c>
      <c r="AR59" s="161">
        <f t="shared" si="22"/>
        <v>0</v>
      </c>
      <c r="AS59" s="335">
        <f t="shared" si="5"/>
        <v>0</v>
      </c>
      <c r="AT59" s="340">
        <v>0</v>
      </c>
      <c r="AU59" s="162">
        <f t="shared" si="61"/>
        <v>0</v>
      </c>
      <c r="AV59" s="1019">
        <f t="shared" si="55"/>
        <v>0</v>
      </c>
      <c r="AW59" s="340"/>
      <c r="AX59" s="259"/>
      <c r="AY59" s="341"/>
      <c r="AZ59" s="540"/>
      <c r="BA59" s="340"/>
      <c r="BB59" s="259"/>
      <c r="BC59" s="341"/>
      <c r="BE59" s="111">
        <f>AQ57-BE58</f>
        <v>-798972.87999999896</v>
      </c>
      <c r="BL59" s="617"/>
      <c r="BM59" s="621">
        <f>AK59-BL59</f>
        <v>0</v>
      </c>
      <c r="BN59" s="617"/>
      <c r="BO59" s="621">
        <f t="shared" si="57"/>
        <v>0</v>
      </c>
      <c r="BR59" s="629">
        <f t="shared" si="23"/>
        <v>0</v>
      </c>
      <c r="BS59" s="629">
        <f t="shared" si="15"/>
        <v>0</v>
      </c>
      <c r="BT59" s="533">
        <f t="shared" si="19"/>
        <v>0</v>
      </c>
      <c r="BU59" s="533"/>
      <c r="BV59" s="617"/>
      <c r="BW59" s="621">
        <f>AU59-BV59</f>
        <v>0</v>
      </c>
      <c r="BX59" s="617"/>
      <c r="BY59" s="621">
        <f t="shared" si="59"/>
        <v>0</v>
      </c>
    </row>
    <row r="60" spans="1:77" s="145" customFormat="1" ht="19.5" hidden="1" customHeight="1" x14ac:dyDescent="0.3">
      <c r="A60" s="1418"/>
      <c r="B60" s="143"/>
      <c r="C60" s="1415"/>
      <c r="D60" s="1275">
        <f t="shared" si="51"/>
        <v>0</v>
      </c>
      <c r="E60" s="64">
        <f t="shared" si="62"/>
        <v>0</v>
      </c>
      <c r="F60" s="411">
        <f t="shared" si="1"/>
        <v>0</v>
      </c>
      <c r="G60" s="297"/>
      <c r="H60" s="158">
        <f t="shared" si="52"/>
        <v>0</v>
      </c>
      <c r="I60" s="298">
        <f t="shared" si="21"/>
        <v>0</v>
      </c>
      <c r="J60" s="301"/>
      <c r="K60" s="158"/>
      <c r="L60" s="302"/>
      <c r="M60" s="301"/>
      <c r="N60" s="158">
        <f t="shared" si="53"/>
        <v>0</v>
      </c>
      <c r="O60" s="302"/>
      <c r="P60" s="301"/>
      <c r="Q60" s="287"/>
      <c r="R60" s="318"/>
      <c r="S60" s="301"/>
      <c r="T60" s="287"/>
      <c r="U60" s="318"/>
      <c r="V60" s="279">
        <v>0</v>
      </c>
      <c r="W60" s="310">
        <f t="shared" ref="W60:W72" si="63">Y60+AA60+AD60+AG60+AJ60+AM60</f>
        <v>0</v>
      </c>
      <c r="X60" s="375">
        <f t="shared" ref="X60:X66" si="64">W60-V60</f>
        <v>0</v>
      </c>
      <c r="Y60" s="529"/>
      <c r="Z60" s="523"/>
      <c r="AA60" s="163"/>
      <c r="AB60" s="360">
        <f t="shared" si="2"/>
        <v>0</v>
      </c>
      <c r="AC60" s="384"/>
      <c r="AD60" s="63">
        <f t="shared" si="54"/>
        <v>0</v>
      </c>
      <c r="AE60" s="360">
        <f>AC60-AB60</f>
        <v>0</v>
      </c>
      <c r="AF60" s="523"/>
      <c r="AG60" s="163"/>
      <c r="AH60" s="361"/>
      <c r="AI60" s="280"/>
      <c r="AJ60" s="163"/>
      <c r="AK60" s="361"/>
      <c r="AL60" s="280"/>
      <c r="AM60" s="163"/>
      <c r="AN60" s="360">
        <f t="shared" si="60"/>
        <v>0</v>
      </c>
      <c r="AO60" s="427"/>
      <c r="AP60" s="398"/>
      <c r="AQ60" s="334">
        <v>0</v>
      </c>
      <c r="AR60" s="161">
        <f t="shared" si="22"/>
        <v>0</v>
      </c>
      <c r="AS60" s="335">
        <f t="shared" si="5"/>
        <v>0</v>
      </c>
      <c r="AT60" s="342">
        <v>0</v>
      </c>
      <c r="AU60" s="162">
        <f t="shared" si="61"/>
        <v>0</v>
      </c>
      <c r="AV60" s="1019">
        <f t="shared" si="55"/>
        <v>0</v>
      </c>
      <c r="AW60" s="342"/>
      <c r="AX60" s="262"/>
      <c r="AY60" s="343"/>
      <c r="AZ60" s="544"/>
      <c r="BA60" s="342"/>
      <c r="BB60" s="262"/>
      <c r="BC60" s="343"/>
      <c r="BL60" s="617"/>
      <c r="BM60" s="621">
        <f>AK60-BL60</f>
        <v>0</v>
      </c>
      <c r="BN60" s="617"/>
      <c r="BO60" s="621">
        <f t="shared" si="57"/>
        <v>0</v>
      </c>
      <c r="BR60" s="629">
        <f t="shared" si="23"/>
        <v>0</v>
      </c>
      <c r="BS60" s="629">
        <f t="shared" si="15"/>
        <v>0</v>
      </c>
      <c r="BT60" s="533">
        <f t="shared" si="19"/>
        <v>0</v>
      </c>
      <c r="BU60" s="533"/>
      <c r="BV60" s="617"/>
      <c r="BW60" s="621">
        <f>AU60-BV60</f>
        <v>0</v>
      </c>
      <c r="BX60" s="617"/>
      <c r="BY60" s="621">
        <f t="shared" si="59"/>
        <v>0</v>
      </c>
    </row>
    <row r="61" spans="1:77" s="145" customFormat="1" ht="19.5" hidden="1" customHeight="1" x14ac:dyDescent="0.3">
      <c r="A61" s="1418"/>
      <c r="B61" s="143"/>
      <c r="C61" s="1416"/>
      <c r="D61" s="1275">
        <f t="shared" si="51"/>
        <v>0</v>
      </c>
      <c r="E61" s="64">
        <f t="shared" si="62"/>
        <v>0</v>
      </c>
      <c r="F61" s="411">
        <f t="shared" si="1"/>
        <v>0</v>
      </c>
      <c r="G61" s="297"/>
      <c r="H61" s="158">
        <f t="shared" si="52"/>
        <v>0</v>
      </c>
      <c r="I61" s="298">
        <f t="shared" si="21"/>
        <v>0</v>
      </c>
      <c r="J61" s="301"/>
      <c r="K61" s="158"/>
      <c r="L61" s="302"/>
      <c r="M61" s="301"/>
      <c r="N61" s="158">
        <f t="shared" si="53"/>
        <v>0</v>
      </c>
      <c r="O61" s="302"/>
      <c r="P61" s="301"/>
      <c r="Q61" s="287"/>
      <c r="R61" s="318"/>
      <c r="S61" s="301"/>
      <c r="T61" s="287"/>
      <c r="U61" s="318"/>
      <c r="V61" s="279">
        <v>0</v>
      </c>
      <c r="W61" s="310">
        <f t="shared" si="63"/>
        <v>0</v>
      </c>
      <c r="X61" s="375">
        <f t="shared" si="64"/>
        <v>0</v>
      </c>
      <c r="Y61" s="529"/>
      <c r="Z61" s="523"/>
      <c r="AA61" s="163"/>
      <c r="AB61" s="360">
        <f t="shared" si="2"/>
        <v>0</v>
      </c>
      <c r="AC61" s="384"/>
      <c r="AD61" s="63">
        <f t="shared" si="54"/>
        <v>0</v>
      </c>
      <c r="AE61" s="360">
        <f>AC61-AB61</f>
        <v>0</v>
      </c>
      <c r="AF61" s="523"/>
      <c r="AG61" s="163"/>
      <c r="AH61" s="361"/>
      <c r="AI61" s="280"/>
      <c r="AJ61" s="163"/>
      <c r="AK61" s="361"/>
      <c r="AL61" s="280"/>
      <c r="AM61" s="163"/>
      <c r="AN61" s="360">
        <f t="shared" si="60"/>
        <v>0</v>
      </c>
      <c r="AO61" s="427"/>
      <c r="AP61" s="398"/>
      <c r="AQ61" s="334">
        <v>0</v>
      </c>
      <c r="AR61" s="161">
        <f t="shared" si="22"/>
        <v>0</v>
      </c>
      <c r="AS61" s="335">
        <f t="shared" si="5"/>
        <v>0</v>
      </c>
      <c r="AT61" s="342">
        <v>0</v>
      </c>
      <c r="AU61" s="162">
        <f t="shared" si="61"/>
        <v>0</v>
      </c>
      <c r="AV61" s="1019">
        <f t="shared" si="55"/>
        <v>0</v>
      </c>
      <c r="AW61" s="342"/>
      <c r="AX61" s="262"/>
      <c r="AY61" s="343"/>
      <c r="AZ61" s="544"/>
      <c r="BA61" s="342"/>
      <c r="BB61" s="262"/>
      <c r="BC61" s="343"/>
      <c r="BE61" s="111"/>
      <c r="BF61" s="146"/>
      <c r="BG61" s="117" t="s">
        <v>239</v>
      </c>
      <c r="BH61" s="117"/>
      <c r="BI61" s="117"/>
      <c r="BJ61" s="117"/>
      <c r="BK61" s="117"/>
      <c r="BL61" s="617"/>
      <c r="BM61" s="621">
        <f>AK61-BL61</f>
        <v>0</v>
      </c>
      <c r="BN61" s="617"/>
      <c r="BO61" s="621">
        <f t="shared" si="57"/>
        <v>0</v>
      </c>
      <c r="BP61" s="117"/>
      <c r="BQ61" s="117"/>
      <c r="BR61" s="629">
        <f t="shared" si="23"/>
        <v>0</v>
      </c>
      <c r="BS61" s="629">
        <f t="shared" si="15"/>
        <v>0</v>
      </c>
      <c r="BT61" s="533">
        <f t="shared" si="19"/>
        <v>0</v>
      </c>
      <c r="BU61" s="533"/>
      <c r="BV61" s="617"/>
      <c r="BW61" s="621">
        <f>AU61-BV61</f>
        <v>0</v>
      </c>
      <c r="BX61" s="617"/>
      <c r="BY61" s="621">
        <f t="shared" si="59"/>
        <v>0</v>
      </c>
    </row>
    <row r="62" spans="1:77" ht="19.5" customHeight="1" x14ac:dyDescent="0.3">
      <c r="A62" s="1419"/>
      <c r="B62" s="147"/>
      <c r="C62" s="444">
        <v>244</v>
      </c>
      <c r="D62" s="1275">
        <f t="shared" si="51"/>
        <v>91341380.239999995</v>
      </c>
      <c r="E62" s="64">
        <f t="shared" si="62"/>
        <v>92229213.280000001</v>
      </c>
      <c r="F62" s="411">
        <f t="shared" si="1"/>
        <v>887833.04000000656</v>
      </c>
      <c r="G62" s="297">
        <v>6515818.2999999998</v>
      </c>
      <c r="H62" s="1237">
        <f>G62+2676971.12</f>
        <v>9192789.4199999999</v>
      </c>
      <c r="I62" s="298">
        <f t="shared" si="21"/>
        <v>2676971.12</v>
      </c>
      <c r="J62" s="297"/>
      <c r="K62" s="158"/>
      <c r="L62" s="298"/>
      <c r="M62" s="297">
        <v>3934762.54</v>
      </c>
      <c r="N62" s="158">
        <f>H62-Q62-T62</f>
        <v>4859749.97</v>
      </c>
      <c r="O62" s="298">
        <f>N62-M62</f>
        <v>924987.4299999997</v>
      </c>
      <c r="P62" s="297">
        <v>2581055.7599999998</v>
      </c>
      <c r="Q62" s="285">
        <v>4000000</v>
      </c>
      <c r="R62" s="316">
        <f>Q62-P62</f>
        <v>1418944.2400000002</v>
      </c>
      <c r="S62" s="297"/>
      <c r="T62" s="285">
        <v>333039.45</v>
      </c>
      <c r="U62" s="316"/>
      <c r="V62" s="279">
        <v>41677947.25</v>
      </c>
      <c r="W62" s="310">
        <f t="shared" si="63"/>
        <v>41677947.25</v>
      </c>
      <c r="X62" s="375">
        <f t="shared" si="64"/>
        <v>0</v>
      </c>
      <c r="Y62" s="528">
        <v>429259.19</v>
      </c>
      <c r="Z62" s="310">
        <v>37006100</v>
      </c>
      <c r="AA62" s="63">
        <f>28582600+9240650.4-817150.39-0.01</f>
        <v>37006100</v>
      </c>
      <c r="AB62" s="360">
        <f t="shared" si="2"/>
        <v>0</v>
      </c>
      <c r="AC62" s="382">
        <v>978752.37</v>
      </c>
      <c r="AD62" s="63">
        <f>978752.36+0.01</f>
        <v>978752.37</v>
      </c>
      <c r="AE62" s="360"/>
      <c r="AF62" s="310">
        <v>1687314.17</v>
      </c>
      <c r="AG62" s="63">
        <v>1687314.17</v>
      </c>
      <c r="AH62" s="360">
        <f>AG62-AF62</f>
        <v>0</v>
      </c>
      <c r="AI62" s="279"/>
      <c r="AJ62" s="63"/>
      <c r="AK62" s="360"/>
      <c r="AL62" s="279">
        <v>1576521.5200000003</v>
      </c>
      <c r="AM62" s="63">
        <f>AL62</f>
        <v>1576521.5200000003</v>
      </c>
      <c r="AN62" s="360">
        <f t="shared" si="60"/>
        <v>0</v>
      </c>
      <c r="AO62" s="425"/>
      <c r="AP62" s="395"/>
      <c r="AQ62" s="334">
        <v>43147614.689999998</v>
      </c>
      <c r="AR62" s="161">
        <f>AU62+AX62+BB62</f>
        <v>41358476.609999999</v>
      </c>
      <c r="AS62" s="335">
        <f t="shared" si="5"/>
        <v>-1789138.0799999982</v>
      </c>
      <c r="AT62" s="338">
        <v>38155862.189999998</v>
      </c>
      <c r="AU62" s="162">
        <v>38155862.189999998</v>
      </c>
      <c r="AV62" s="1019">
        <f t="shared" si="55"/>
        <v>0</v>
      </c>
      <c r="AW62" s="338">
        <v>4289138.08</v>
      </c>
      <c r="AX62" s="162">
        <v>2500000</v>
      </c>
      <c r="AY62" s="339">
        <f>AX62-AW62</f>
        <v>-1789138.08</v>
      </c>
      <c r="AZ62" s="540"/>
      <c r="BA62" s="338">
        <v>702614.42</v>
      </c>
      <c r="BB62" s="162">
        <v>702614.42</v>
      </c>
      <c r="BC62" s="339">
        <f>BB62-BA62</f>
        <v>0</v>
      </c>
      <c r="BE62" s="111">
        <v>11260837.890000001</v>
      </c>
      <c r="BF62" s="111">
        <v>2931349.03</v>
      </c>
      <c r="BG62" s="117" t="s">
        <v>238</v>
      </c>
      <c r="BL62" s="617"/>
      <c r="BM62" s="621">
        <f>AJ62-BL62</f>
        <v>0</v>
      </c>
      <c r="BN62" s="617">
        <v>1302967.3999999999</v>
      </c>
      <c r="BO62" s="621">
        <f t="shared" si="57"/>
        <v>273554.12000000034</v>
      </c>
      <c r="BR62" s="629">
        <f t="shared" si="23"/>
        <v>43147614.689999998</v>
      </c>
      <c r="BS62" s="629">
        <f t="shared" si="15"/>
        <v>8810001.3200000003</v>
      </c>
      <c r="BT62" s="533">
        <f t="shared" si="19"/>
        <v>34337613.369999997</v>
      </c>
      <c r="BU62" s="533">
        <f>BS62</f>
        <v>8810001.3200000003</v>
      </c>
      <c r="BV62" s="617">
        <f>7007033.92+500000</f>
        <v>7507033.9199999999</v>
      </c>
      <c r="BW62" s="621">
        <f>AT62-BV62</f>
        <v>30648828.269999996</v>
      </c>
      <c r="BX62" s="617">
        <v>1302967.3999999999</v>
      </c>
      <c r="BY62" s="621">
        <f t="shared" si="59"/>
        <v>2986170.68</v>
      </c>
    </row>
    <row r="63" spans="1:77" ht="19.5" customHeight="1" x14ac:dyDescent="0.3">
      <c r="A63" s="1417" t="s">
        <v>183</v>
      </c>
      <c r="B63" s="148"/>
      <c r="C63" s="1414">
        <v>243</v>
      </c>
      <c r="D63" s="1275">
        <f t="shared" si="51"/>
        <v>115847257.70999999</v>
      </c>
      <c r="E63" s="64">
        <f t="shared" si="62"/>
        <v>115847257.70999999</v>
      </c>
      <c r="F63" s="411">
        <f t="shared" si="1"/>
        <v>0</v>
      </c>
      <c r="G63" s="297"/>
      <c r="H63" s="158">
        <f t="shared" si="52"/>
        <v>0</v>
      </c>
      <c r="I63" s="298">
        <f t="shared" si="21"/>
        <v>0</v>
      </c>
      <c r="J63" s="299"/>
      <c r="K63" s="158"/>
      <c r="L63" s="300"/>
      <c r="M63" s="299"/>
      <c r="N63" s="158">
        <f t="shared" si="53"/>
        <v>0</v>
      </c>
      <c r="O63" s="300"/>
      <c r="P63" s="299"/>
      <c r="Q63" s="286"/>
      <c r="R63" s="317"/>
      <c r="S63" s="299"/>
      <c r="T63" s="286"/>
      <c r="U63" s="317"/>
      <c r="V63" s="279">
        <v>115847257.70999999</v>
      </c>
      <c r="W63" s="310">
        <f t="shared" si="63"/>
        <v>115847257.70999999</v>
      </c>
      <c r="X63" s="375">
        <f t="shared" si="64"/>
        <v>0</v>
      </c>
      <c r="Y63" s="528">
        <v>4389110</v>
      </c>
      <c r="Z63" s="310">
        <v>111458147.70999999</v>
      </c>
      <c r="AA63" s="63">
        <v>111458147.70999999</v>
      </c>
      <c r="AB63" s="360">
        <f t="shared" si="2"/>
        <v>0</v>
      </c>
      <c r="AC63" s="382"/>
      <c r="AD63" s="63"/>
      <c r="AE63" s="360"/>
      <c r="AF63" s="310"/>
      <c r="AG63" s="63"/>
      <c r="AH63" s="360"/>
      <c r="AI63" s="279"/>
      <c r="AJ63" s="63"/>
      <c r="AK63" s="360"/>
      <c r="AL63" s="279"/>
      <c r="AM63" s="63"/>
      <c r="AN63" s="360"/>
      <c r="AO63" s="425"/>
      <c r="AP63" s="397"/>
      <c r="AQ63" s="334">
        <v>0</v>
      </c>
      <c r="AR63" s="161">
        <f t="shared" si="22"/>
        <v>0</v>
      </c>
      <c r="AS63" s="335">
        <f t="shared" si="5"/>
        <v>0</v>
      </c>
      <c r="AT63" s="340">
        <v>0</v>
      </c>
      <c r="AU63" s="162">
        <f t="shared" si="61"/>
        <v>0</v>
      </c>
      <c r="AV63" s="1019">
        <f t="shared" si="55"/>
        <v>0</v>
      </c>
      <c r="AW63" s="340"/>
      <c r="AX63" s="259"/>
      <c r="AY63" s="341"/>
      <c r="AZ63" s="540"/>
      <c r="BA63" s="340"/>
      <c r="BB63" s="259"/>
      <c r="BC63" s="341"/>
      <c r="BL63" s="617"/>
      <c r="BM63" s="621">
        <f>AK63-BL63</f>
        <v>0</v>
      </c>
      <c r="BN63" s="617"/>
      <c r="BO63" s="621">
        <f t="shared" si="57"/>
        <v>0</v>
      </c>
      <c r="BR63" s="629">
        <f t="shared" si="23"/>
        <v>0</v>
      </c>
      <c r="BS63" s="629">
        <f t="shared" si="15"/>
        <v>0</v>
      </c>
      <c r="BT63" s="533">
        <f t="shared" si="19"/>
        <v>0</v>
      </c>
      <c r="BU63" s="533"/>
      <c r="BV63" s="617"/>
      <c r="BW63" s="621">
        <f>AU63-BV63</f>
        <v>0</v>
      </c>
      <c r="BX63" s="617"/>
      <c r="BY63" s="621">
        <f t="shared" si="59"/>
        <v>0</v>
      </c>
    </row>
    <row r="64" spans="1:77" s="145" customFormat="1" ht="18.75" hidden="1" customHeight="1" x14ac:dyDescent="0.3">
      <c r="A64" s="1418"/>
      <c r="B64" s="149"/>
      <c r="C64" s="1415"/>
      <c r="D64" s="1275">
        <f t="shared" si="51"/>
        <v>0</v>
      </c>
      <c r="E64" s="64">
        <f t="shared" si="62"/>
        <v>0</v>
      </c>
      <c r="F64" s="411">
        <f t="shared" si="1"/>
        <v>0</v>
      </c>
      <c r="G64" s="297"/>
      <c r="H64" s="158">
        <f t="shared" si="52"/>
        <v>0</v>
      </c>
      <c r="I64" s="298">
        <f t="shared" si="21"/>
        <v>0</v>
      </c>
      <c r="J64" s="301"/>
      <c r="K64" s="158"/>
      <c r="L64" s="302"/>
      <c r="M64" s="301"/>
      <c r="N64" s="158">
        <f t="shared" si="53"/>
        <v>0</v>
      </c>
      <c r="O64" s="302"/>
      <c r="P64" s="301"/>
      <c r="Q64" s="287"/>
      <c r="R64" s="318"/>
      <c r="S64" s="301"/>
      <c r="T64" s="287"/>
      <c r="U64" s="318"/>
      <c r="V64" s="279">
        <v>0</v>
      </c>
      <c r="W64" s="310">
        <f t="shared" si="63"/>
        <v>0</v>
      </c>
      <c r="X64" s="375">
        <f t="shared" si="64"/>
        <v>0</v>
      </c>
      <c r="Y64" s="529"/>
      <c r="Z64" s="523"/>
      <c r="AA64" s="163"/>
      <c r="AB64" s="360">
        <f t="shared" si="2"/>
        <v>0</v>
      </c>
      <c r="AC64" s="384"/>
      <c r="AD64" s="63">
        <f t="shared" si="54"/>
        <v>0</v>
      </c>
      <c r="AE64" s="360">
        <f>AC64-AB64</f>
        <v>0</v>
      </c>
      <c r="AF64" s="523"/>
      <c r="AG64" s="163"/>
      <c r="AH64" s="361"/>
      <c r="AI64" s="280"/>
      <c r="AJ64" s="163"/>
      <c r="AK64" s="361"/>
      <c r="AL64" s="280"/>
      <c r="AM64" s="163"/>
      <c r="AN64" s="361"/>
      <c r="AO64" s="427"/>
      <c r="AP64" s="398"/>
      <c r="AQ64" s="334">
        <v>0</v>
      </c>
      <c r="AR64" s="161">
        <f t="shared" si="22"/>
        <v>0</v>
      </c>
      <c r="AS64" s="335">
        <f t="shared" si="5"/>
        <v>0</v>
      </c>
      <c r="AT64" s="342">
        <v>0</v>
      </c>
      <c r="AU64" s="162">
        <f t="shared" si="61"/>
        <v>0</v>
      </c>
      <c r="AV64" s="1019">
        <f t="shared" si="55"/>
        <v>0</v>
      </c>
      <c r="AW64" s="342"/>
      <c r="AX64" s="262"/>
      <c r="AY64" s="343"/>
      <c r="AZ64" s="544"/>
      <c r="BA64" s="342"/>
      <c r="BB64" s="262"/>
      <c r="BC64" s="343"/>
      <c r="BL64" s="617"/>
      <c r="BM64" s="621">
        <f>AK64-BL64</f>
        <v>0</v>
      </c>
      <c r="BN64" s="617"/>
      <c r="BO64" s="621">
        <f t="shared" si="57"/>
        <v>0</v>
      </c>
      <c r="BR64" s="629">
        <f t="shared" si="23"/>
        <v>0</v>
      </c>
      <c r="BS64" s="629">
        <f t="shared" si="15"/>
        <v>0</v>
      </c>
      <c r="BT64" s="533">
        <f t="shared" si="19"/>
        <v>0</v>
      </c>
      <c r="BU64" s="533"/>
      <c r="BV64" s="617"/>
      <c r="BW64" s="621">
        <f>AU64-BV64</f>
        <v>0</v>
      </c>
      <c r="BX64" s="617"/>
      <c r="BY64" s="621">
        <f t="shared" si="59"/>
        <v>0</v>
      </c>
    </row>
    <row r="65" spans="1:79" s="145" customFormat="1" ht="33.75" hidden="1" customHeight="1" x14ac:dyDescent="0.3">
      <c r="A65" s="1418"/>
      <c r="B65" s="149"/>
      <c r="C65" s="1416"/>
      <c r="D65" s="1275">
        <f t="shared" si="51"/>
        <v>0</v>
      </c>
      <c r="E65" s="64">
        <f t="shared" si="62"/>
        <v>0</v>
      </c>
      <c r="F65" s="411">
        <f t="shared" si="1"/>
        <v>0</v>
      </c>
      <c r="G65" s="297"/>
      <c r="H65" s="158">
        <f t="shared" si="52"/>
        <v>0</v>
      </c>
      <c r="I65" s="298">
        <f t="shared" si="21"/>
        <v>0</v>
      </c>
      <c r="J65" s="301"/>
      <c r="K65" s="158"/>
      <c r="L65" s="302"/>
      <c r="M65" s="301"/>
      <c r="N65" s="158">
        <f t="shared" si="53"/>
        <v>0</v>
      </c>
      <c r="O65" s="302"/>
      <c r="P65" s="301"/>
      <c r="Q65" s="287"/>
      <c r="R65" s="318"/>
      <c r="S65" s="301"/>
      <c r="T65" s="287"/>
      <c r="U65" s="318"/>
      <c r="V65" s="279">
        <v>0</v>
      </c>
      <c r="W65" s="310">
        <f t="shared" si="63"/>
        <v>0</v>
      </c>
      <c r="X65" s="375">
        <f t="shared" si="64"/>
        <v>0</v>
      </c>
      <c r="Y65" s="529"/>
      <c r="Z65" s="523"/>
      <c r="AA65" s="163"/>
      <c r="AB65" s="360">
        <f t="shared" si="2"/>
        <v>0</v>
      </c>
      <c r="AC65" s="384"/>
      <c r="AD65" s="63">
        <f t="shared" si="54"/>
        <v>0</v>
      </c>
      <c r="AE65" s="360">
        <f>AC65-AB65</f>
        <v>0</v>
      </c>
      <c r="AF65" s="523"/>
      <c r="AG65" s="163"/>
      <c r="AH65" s="361"/>
      <c r="AI65" s="280"/>
      <c r="AJ65" s="163"/>
      <c r="AK65" s="361"/>
      <c r="AL65" s="280"/>
      <c r="AM65" s="163"/>
      <c r="AN65" s="361"/>
      <c r="AO65" s="427"/>
      <c r="AP65" s="398"/>
      <c r="AQ65" s="334">
        <v>0</v>
      </c>
      <c r="AR65" s="161">
        <f t="shared" si="22"/>
        <v>0</v>
      </c>
      <c r="AS65" s="335">
        <f t="shared" si="5"/>
        <v>0</v>
      </c>
      <c r="AT65" s="342">
        <v>0</v>
      </c>
      <c r="AU65" s="162">
        <f t="shared" si="61"/>
        <v>0</v>
      </c>
      <c r="AV65" s="1019">
        <f t="shared" si="55"/>
        <v>0</v>
      </c>
      <c r="AW65" s="342"/>
      <c r="AX65" s="262"/>
      <c r="AY65" s="343"/>
      <c r="AZ65" s="544"/>
      <c r="BA65" s="342"/>
      <c r="BB65" s="262"/>
      <c r="BC65" s="343"/>
      <c r="BL65" s="617"/>
      <c r="BM65" s="621">
        <f>AK65-BL65</f>
        <v>0</v>
      </c>
      <c r="BN65" s="617"/>
      <c r="BO65" s="621">
        <f t="shared" si="57"/>
        <v>0</v>
      </c>
      <c r="BR65" s="629">
        <f t="shared" si="23"/>
        <v>0</v>
      </c>
      <c r="BS65" s="629">
        <f t="shared" si="15"/>
        <v>0</v>
      </c>
      <c r="BT65" s="533">
        <f t="shared" si="19"/>
        <v>0</v>
      </c>
      <c r="BU65" s="533"/>
      <c r="BV65" s="617"/>
      <c r="BW65" s="621">
        <f>AU65-BV65</f>
        <v>0</v>
      </c>
      <c r="BX65" s="617"/>
      <c r="BY65" s="621">
        <f t="shared" si="59"/>
        <v>0</v>
      </c>
    </row>
    <row r="66" spans="1:79" ht="19.5" customHeight="1" x14ac:dyDescent="0.3">
      <c r="A66" s="1419"/>
      <c r="B66" s="140"/>
      <c r="C66" s="444">
        <v>244</v>
      </c>
      <c r="D66" s="1275">
        <f t="shared" si="51"/>
        <v>865486725.5</v>
      </c>
      <c r="E66" s="64">
        <f t="shared" si="62"/>
        <v>867091225.74944031</v>
      </c>
      <c r="F66" s="411">
        <f t="shared" si="1"/>
        <v>1604500.2494403124</v>
      </c>
      <c r="G66" s="297">
        <v>3819615.4699999997</v>
      </c>
      <c r="H66" s="1235">
        <f>G66+1482457.24-718954.62-0.0006+0.00004035</f>
        <v>4583118.0894403495</v>
      </c>
      <c r="I66" s="298">
        <f t="shared" si="21"/>
        <v>763502.61944034975</v>
      </c>
      <c r="J66" s="297"/>
      <c r="K66" s="158"/>
      <c r="L66" s="298"/>
      <c r="M66" s="297">
        <v>2389277.44</v>
      </c>
      <c r="N66" s="158">
        <f>H66-Q66-T66</f>
        <v>3898558.3394403495</v>
      </c>
      <c r="O66" s="298">
        <f>N66-M66</f>
        <v>1509280.8994403495</v>
      </c>
      <c r="P66" s="297">
        <v>1430338.03</v>
      </c>
      <c r="Q66" s="285">
        <v>500000</v>
      </c>
      <c r="R66" s="316">
        <f>Q66-P66</f>
        <v>-930338.03</v>
      </c>
      <c r="S66" s="297"/>
      <c r="T66" s="285">
        <v>184559.75</v>
      </c>
      <c r="U66" s="316"/>
      <c r="V66" s="279">
        <v>841838424.32999992</v>
      </c>
      <c r="W66" s="310">
        <f t="shared" si="63"/>
        <v>841838424.32999992</v>
      </c>
      <c r="X66" s="375">
        <f t="shared" si="64"/>
        <v>0</v>
      </c>
      <c r="Y66" s="528">
        <f>143149690.39</f>
        <v>143149690.38999999</v>
      </c>
      <c r="Z66" s="310">
        <v>697897552.28999996</v>
      </c>
      <c r="AA66" s="63">
        <v>697897552.28999996</v>
      </c>
      <c r="AB66" s="360">
        <f>AA66-Z66</f>
        <v>0</v>
      </c>
      <c r="AC66" s="382">
        <v>733581.65</v>
      </c>
      <c r="AD66" s="63">
        <v>733581.65</v>
      </c>
      <c r="AE66" s="360"/>
      <c r="AF66" s="310">
        <v>57600</v>
      </c>
      <c r="AG66" s="63">
        <v>57600</v>
      </c>
      <c r="AH66" s="360">
        <f>AG66-AF66</f>
        <v>0</v>
      </c>
      <c r="AI66" s="279"/>
      <c r="AJ66" s="63"/>
      <c r="AK66" s="360"/>
      <c r="AL66" s="279"/>
      <c r="AM66" s="63"/>
      <c r="AN66" s="360"/>
      <c r="AO66" s="425"/>
      <c r="AP66" s="395">
        <v>50000</v>
      </c>
      <c r="AQ66" s="334">
        <v>19778685.699999999</v>
      </c>
      <c r="AR66" s="161">
        <f t="shared" si="22"/>
        <v>20619683.329999998</v>
      </c>
      <c r="AS66" s="335">
        <f t="shared" si="5"/>
        <v>840997.62999999896</v>
      </c>
      <c r="AT66" s="338">
        <v>18130316.859999999</v>
      </c>
      <c r="AU66" s="162">
        <v>18130316.859999999</v>
      </c>
      <c r="AV66" s="1019">
        <f t="shared" si="55"/>
        <v>0</v>
      </c>
      <c r="AW66" s="338">
        <v>1259002.3700000001</v>
      </c>
      <c r="AX66" s="162">
        <v>2100000</v>
      </c>
      <c r="AY66" s="339">
        <f>AX66-AW66</f>
        <v>840997.62999999989</v>
      </c>
      <c r="AZ66" s="540"/>
      <c r="BA66" s="338">
        <v>389366.47</v>
      </c>
      <c r="BB66" s="162">
        <v>389366.47</v>
      </c>
      <c r="BC66" s="339">
        <f>BB66-BA66</f>
        <v>0</v>
      </c>
      <c r="BL66" s="617"/>
      <c r="BM66" s="621">
        <f>AJ66-BL66</f>
        <v>0</v>
      </c>
      <c r="BN66" s="617">
        <v>6240714.6699999999</v>
      </c>
      <c r="BO66" s="621">
        <f t="shared" si="57"/>
        <v>-6240714.6699999999</v>
      </c>
      <c r="BR66" s="629">
        <f t="shared" si="23"/>
        <v>19778685.699999999</v>
      </c>
      <c r="BS66" s="629">
        <f t="shared" si="15"/>
        <v>15301417.92</v>
      </c>
      <c r="BT66" s="533">
        <f t="shared" si="19"/>
        <v>4477267.7799999993</v>
      </c>
      <c r="BU66" s="533">
        <f>BS66</f>
        <v>15301417.92</v>
      </c>
      <c r="BV66" s="617">
        <f>10892760.59-2332057.34+500000</f>
        <v>9060703.25</v>
      </c>
      <c r="BW66" s="621">
        <f>AT66-BV66</f>
        <v>9069613.6099999994</v>
      </c>
      <c r="BX66" s="617">
        <v>6240714.6699999999</v>
      </c>
      <c r="BY66" s="621">
        <f t="shared" si="59"/>
        <v>-4981712.3</v>
      </c>
      <c r="CA66" s="117">
        <f>2595807.22+2416357.34</f>
        <v>5012164.5600000005</v>
      </c>
    </row>
    <row r="67" spans="1:79" ht="19.5" customHeight="1" x14ac:dyDescent="0.3">
      <c r="A67" s="1417" t="s">
        <v>184</v>
      </c>
      <c r="B67" s="547"/>
      <c r="C67" s="444">
        <v>243</v>
      </c>
      <c r="D67" s="1275">
        <f t="shared" si="51"/>
        <v>0</v>
      </c>
      <c r="E67" s="64">
        <f>H67+W67+AQ67+AP67</f>
        <v>0</v>
      </c>
      <c r="F67" s="411">
        <f t="shared" si="1"/>
        <v>0</v>
      </c>
      <c r="G67" s="297"/>
      <c r="H67" s="158">
        <f t="shared" si="52"/>
        <v>0</v>
      </c>
      <c r="I67" s="298">
        <f t="shared" si="21"/>
        <v>0</v>
      </c>
      <c r="J67" s="297"/>
      <c r="K67" s="158"/>
      <c r="L67" s="298"/>
      <c r="M67" s="297"/>
      <c r="N67" s="158">
        <f t="shared" si="53"/>
        <v>0</v>
      </c>
      <c r="O67" s="298"/>
      <c r="P67" s="297"/>
      <c r="Q67" s="285"/>
      <c r="R67" s="316"/>
      <c r="S67" s="297"/>
      <c r="T67" s="285"/>
      <c r="U67" s="316"/>
      <c r="V67" s="279">
        <v>0</v>
      </c>
      <c r="W67" s="310">
        <f t="shared" si="63"/>
        <v>0</v>
      </c>
      <c r="X67" s="375"/>
      <c r="Y67" s="528"/>
      <c r="Z67" s="310">
        <v>0</v>
      </c>
      <c r="AA67" s="63">
        <v>0</v>
      </c>
      <c r="AB67" s="360">
        <f t="shared" si="2"/>
        <v>0</v>
      </c>
      <c r="AC67" s="382">
        <v>0</v>
      </c>
      <c r="AD67" s="63">
        <f t="shared" si="54"/>
        <v>0</v>
      </c>
      <c r="AE67" s="360">
        <f>AC67-AB67</f>
        <v>0</v>
      </c>
      <c r="AF67" s="310"/>
      <c r="AG67" s="63"/>
      <c r="AH67" s="360"/>
      <c r="AI67" s="279"/>
      <c r="AJ67" s="63"/>
      <c r="AK67" s="360"/>
      <c r="AL67" s="279"/>
      <c r="AM67" s="63"/>
      <c r="AN67" s="360"/>
      <c r="AO67" s="425">
        <v>0</v>
      </c>
      <c r="AP67" s="395">
        <v>0</v>
      </c>
      <c r="AQ67" s="338">
        <v>0</v>
      </c>
      <c r="AR67" s="161">
        <f t="shared" si="22"/>
        <v>0</v>
      </c>
      <c r="AS67" s="335">
        <f t="shared" si="5"/>
        <v>0</v>
      </c>
      <c r="AT67" s="338"/>
      <c r="AU67" s="162">
        <f t="shared" si="61"/>
        <v>0</v>
      </c>
      <c r="AV67" s="1019">
        <f t="shared" si="55"/>
        <v>0</v>
      </c>
      <c r="AW67" s="338"/>
      <c r="AX67" s="162"/>
      <c r="AY67" s="339"/>
      <c r="AZ67" s="540">
        <v>0</v>
      </c>
      <c r="BA67" s="338"/>
      <c r="BB67" s="162"/>
      <c r="BC67" s="339"/>
      <c r="BL67" s="617"/>
      <c r="BM67" s="621">
        <f>AK67-BL67</f>
        <v>0</v>
      </c>
      <c r="BN67" s="617"/>
      <c r="BO67" s="621">
        <f t="shared" si="57"/>
        <v>0</v>
      </c>
      <c r="BR67" s="629">
        <f t="shared" si="23"/>
        <v>0</v>
      </c>
      <c r="BS67" s="629">
        <f t="shared" si="15"/>
        <v>0</v>
      </c>
      <c r="BT67" s="533">
        <f t="shared" si="19"/>
        <v>0</v>
      </c>
      <c r="BU67" s="533"/>
      <c r="BV67" s="617"/>
      <c r="BW67" s="621">
        <f>AU67-BV67</f>
        <v>0</v>
      </c>
      <c r="BX67" s="617"/>
      <c r="BY67" s="621">
        <f t="shared" si="59"/>
        <v>0</v>
      </c>
    </row>
    <row r="68" spans="1:79" ht="16.5" customHeight="1" x14ac:dyDescent="0.3">
      <c r="A68" s="1419"/>
      <c r="B68" s="548"/>
      <c r="C68" s="444">
        <v>244</v>
      </c>
      <c r="D68" s="1275">
        <f t="shared" si="51"/>
        <v>1034</v>
      </c>
      <c r="E68" s="64">
        <f>H68+W68+AR68+AP68</f>
        <v>1034</v>
      </c>
      <c r="F68" s="411">
        <f t="shared" si="1"/>
        <v>0</v>
      </c>
      <c r="G68" s="297">
        <v>1034</v>
      </c>
      <c r="H68" s="158">
        <f t="shared" si="52"/>
        <v>1034</v>
      </c>
      <c r="I68" s="298">
        <f t="shared" si="21"/>
        <v>0</v>
      </c>
      <c r="J68" s="297">
        <f>SUM(J69:J73)</f>
        <v>0</v>
      </c>
      <c r="K68" s="158"/>
      <c r="L68" s="298"/>
      <c r="M68" s="297">
        <v>1034</v>
      </c>
      <c r="N68" s="158">
        <f t="shared" si="53"/>
        <v>1034</v>
      </c>
      <c r="O68" s="298">
        <f>N68-M68</f>
        <v>0</v>
      </c>
      <c r="P68" s="297"/>
      <c r="Q68" s="285"/>
      <c r="R68" s="316">
        <f>Q68-P68</f>
        <v>0</v>
      </c>
      <c r="S68" s="297"/>
      <c r="T68" s="285"/>
      <c r="U68" s="316"/>
      <c r="V68" s="279">
        <v>0</v>
      </c>
      <c r="W68" s="310">
        <f t="shared" si="63"/>
        <v>0</v>
      </c>
      <c r="X68" s="375">
        <f>W68-V68</f>
        <v>0</v>
      </c>
      <c r="Y68" s="528"/>
      <c r="Z68" s="310"/>
      <c r="AA68" s="63"/>
      <c r="AB68" s="360">
        <f t="shared" si="2"/>
        <v>0</v>
      </c>
      <c r="AC68" s="382"/>
      <c r="AD68" s="63">
        <f t="shared" si="54"/>
        <v>0</v>
      </c>
      <c r="AE68" s="360">
        <f>AC68-AB68</f>
        <v>0</v>
      </c>
      <c r="AF68" s="310"/>
      <c r="AG68" s="63"/>
      <c r="AH68" s="360">
        <f>AG68-AF68</f>
        <v>0</v>
      </c>
      <c r="AI68" s="279"/>
      <c r="AJ68" s="63"/>
      <c r="AK68" s="360"/>
      <c r="AL68" s="279"/>
      <c r="AM68" s="63"/>
      <c r="AN68" s="360"/>
      <c r="AO68" s="425">
        <f t="shared" ref="AO68:AP68" si="65">SUM(AO69:AO73)</f>
        <v>0</v>
      </c>
      <c r="AP68" s="395">
        <f t="shared" si="65"/>
        <v>0</v>
      </c>
      <c r="AQ68" s="338">
        <v>0</v>
      </c>
      <c r="AR68" s="161">
        <f t="shared" si="22"/>
        <v>0</v>
      </c>
      <c r="AS68" s="335">
        <f t="shared" si="5"/>
        <v>0</v>
      </c>
      <c r="AT68" s="338"/>
      <c r="AU68" s="162">
        <f t="shared" si="61"/>
        <v>0</v>
      </c>
      <c r="AV68" s="1019"/>
      <c r="AW68" s="338"/>
      <c r="AX68" s="162"/>
      <c r="AY68" s="339">
        <f>AX68-AW68</f>
        <v>0</v>
      </c>
      <c r="AZ68" s="540">
        <f t="shared" ref="AZ68" si="66">SUM(AZ69:AZ73)</f>
        <v>0</v>
      </c>
      <c r="BA68" s="338"/>
      <c r="BB68" s="162"/>
      <c r="BC68" s="339">
        <f>BB68-BA68</f>
        <v>0</v>
      </c>
      <c r="BE68" s="1256" t="s">
        <v>237</v>
      </c>
      <c r="BF68" s="1256" t="s">
        <v>197</v>
      </c>
      <c r="BG68" s="1256" t="s">
        <v>197</v>
      </c>
      <c r="BH68" s="1256"/>
      <c r="BI68" s="1256"/>
      <c r="BJ68" s="1256"/>
      <c r="BK68" s="1256"/>
      <c r="BL68" s="617"/>
      <c r="BM68" s="621">
        <f>AK68-BL68</f>
        <v>0</v>
      </c>
      <c r="BN68" s="617">
        <v>25587.66</v>
      </c>
      <c r="BO68" s="621">
        <f t="shared" si="57"/>
        <v>-25587.66</v>
      </c>
      <c r="BP68" s="1256"/>
      <c r="BQ68" s="1256"/>
      <c r="BR68" s="629">
        <f t="shared" si="23"/>
        <v>0</v>
      </c>
      <c r="BS68" s="629">
        <f t="shared" si="15"/>
        <v>25587.66</v>
      </c>
      <c r="BT68" s="533">
        <f t="shared" si="19"/>
        <v>-25587.66</v>
      </c>
      <c r="BU68" s="533">
        <f>BS68</f>
        <v>25587.66</v>
      </c>
      <c r="BV68" s="617"/>
      <c r="BW68" s="621">
        <f>AU68-BV68</f>
        <v>0</v>
      </c>
      <c r="BX68" s="617">
        <v>25587.66</v>
      </c>
      <c r="BY68" s="621">
        <f t="shared" si="59"/>
        <v>-25587.66</v>
      </c>
    </row>
    <row r="69" spans="1:79" x14ac:dyDescent="0.3">
      <c r="A69" s="1420" t="s">
        <v>185</v>
      </c>
      <c r="B69" s="1422"/>
      <c r="C69" s="1255">
        <v>243</v>
      </c>
      <c r="D69" s="1275">
        <f t="shared" si="51"/>
        <v>860103.18</v>
      </c>
      <c r="E69" s="64">
        <f>H69+W69+AQ69+AP69</f>
        <v>860103.18</v>
      </c>
      <c r="F69" s="411">
        <f t="shared" si="1"/>
        <v>0</v>
      </c>
      <c r="G69" s="297"/>
      <c r="H69" s="158">
        <f t="shared" si="52"/>
        <v>0</v>
      </c>
      <c r="I69" s="298">
        <f t="shared" si="21"/>
        <v>0</v>
      </c>
      <c r="J69" s="297"/>
      <c r="K69" s="158"/>
      <c r="L69" s="298"/>
      <c r="M69" s="297"/>
      <c r="N69" s="158">
        <f t="shared" si="53"/>
        <v>0</v>
      </c>
      <c r="O69" s="298"/>
      <c r="P69" s="297"/>
      <c r="Q69" s="285"/>
      <c r="R69" s="316"/>
      <c r="S69" s="297"/>
      <c r="T69" s="285"/>
      <c r="U69" s="316"/>
      <c r="V69" s="279">
        <v>860103.18</v>
      </c>
      <c r="W69" s="310">
        <f t="shared" si="63"/>
        <v>860103.18</v>
      </c>
      <c r="X69" s="375">
        <f>W69-V69</f>
        <v>0</v>
      </c>
      <c r="Y69" s="528">
        <f>W111</f>
        <v>860103.18</v>
      </c>
      <c r="Z69" s="310"/>
      <c r="AA69" s="63"/>
      <c r="AB69" s="360">
        <f t="shared" si="2"/>
        <v>0</v>
      </c>
      <c r="AC69" s="382"/>
      <c r="AD69" s="63">
        <f t="shared" si="54"/>
        <v>0</v>
      </c>
      <c r="AE69" s="360">
        <f>AC69-AB69</f>
        <v>0</v>
      </c>
      <c r="AF69" s="310"/>
      <c r="AG69" s="63"/>
      <c r="AH69" s="360"/>
      <c r="AI69" s="279"/>
      <c r="AJ69" s="63"/>
      <c r="AK69" s="360"/>
      <c r="AL69" s="279"/>
      <c r="AM69" s="63"/>
      <c r="AN69" s="360"/>
      <c r="AO69" s="425"/>
      <c r="AP69" s="395"/>
      <c r="AQ69" s="334">
        <v>0</v>
      </c>
      <c r="AR69" s="161">
        <f t="shared" si="22"/>
        <v>0</v>
      </c>
      <c r="AS69" s="335">
        <f t="shared" si="5"/>
        <v>0</v>
      </c>
      <c r="AT69" s="338"/>
      <c r="AU69" s="162">
        <f t="shared" si="61"/>
        <v>0</v>
      </c>
      <c r="AV69" s="1019">
        <f t="shared" si="55"/>
        <v>0</v>
      </c>
      <c r="AW69" s="338"/>
      <c r="AX69" s="162"/>
      <c r="AY69" s="339"/>
      <c r="AZ69" s="540"/>
      <c r="BA69" s="338"/>
      <c r="BB69" s="162"/>
      <c r="BC69" s="339"/>
      <c r="BE69" s="118"/>
      <c r="BF69" s="146">
        <v>2621361</v>
      </c>
      <c r="BG69" s="611"/>
      <c r="BH69" s="636"/>
      <c r="BI69" s="636"/>
      <c r="BJ69" s="636"/>
      <c r="BK69" s="636"/>
      <c r="BL69" s="617"/>
      <c r="BM69" s="621">
        <f>AK69-BL69</f>
        <v>0</v>
      </c>
      <c r="BN69" s="617"/>
      <c r="BO69" s="621">
        <f>AM69-BN69</f>
        <v>0</v>
      </c>
      <c r="BP69" s="636"/>
      <c r="BQ69" s="636"/>
      <c r="BR69" s="629">
        <f t="shared" si="23"/>
        <v>0</v>
      </c>
      <c r="BS69" s="629">
        <f t="shared" si="15"/>
        <v>0</v>
      </c>
      <c r="BT69" s="533">
        <f t="shared" si="19"/>
        <v>0</v>
      </c>
      <c r="BU69" s="533"/>
      <c r="BV69" s="617"/>
      <c r="BW69" s="621">
        <f>AU69-BV69</f>
        <v>0</v>
      </c>
      <c r="BX69" s="617"/>
      <c r="BY69" s="621">
        <f>AW69-BX69</f>
        <v>0</v>
      </c>
    </row>
    <row r="70" spans="1:79" x14ac:dyDescent="0.3">
      <c r="A70" s="1421"/>
      <c r="B70" s="1423"/>
      <c r="C70" s="1255">
        <v>244</v>
      </c>
      <c r="D70" s="1275">
        <f t="shared" si="51"/>
        <v>277328236.04499996</v>
      </c>
      <c r="E70" s="64">
        <f>H70+W70+AR70+AP70</f>
        <v>278999239.88</v>
      </c>
      <c r="F70" s="411">
        <f t="shared" si="1"/>
        <v>1671003.8350000381</v>
      </c>
      <c r="G70" s="297">
        <v>2019992.7000000002</v>
      </c>
      <c r="H70" s="1235">
        <f>G70+2412669.18-1000000</f>
        <v>3432661.8800000008</v>
      </c>
      <c r="I70" s="298">
        <f t="shared" si="21"/>
        <v>1412669.1800000006</v>
      </c>
      <c r="J70" s="297"/>
      <c r="K70" s="158"/>
      <c r="L70" s="298"/>
      <c r="M70" s="297">
        <v>1247751.54</v>
      </c>
      <c r="N70" s="158">
        <f>H70-Q70-T70</f>
        <v>2846753.9800000009</v>
      </c>
      <c r="O70" s="298">
        <f>N70-M70</f>
        <v>1599002.4400000009</v>
      </c>
      <c r="P70" s="1243">
        <v>772241.16</v>
      </c>
      <c r="Q70" s="158">
        <v>255750</v>
      </c>
      <c r="R70" s="316">
        <f>Q70-P70</f>
        <v>-516491.16000000003</v>
      </c>
      <c r="S70" s="1243"/>
      <c r="T70" s="158">
        <v>330157.90000000002</v>
      </c>
      <c r="U70" s="316"/>
      <c r="V70" s="279">
        <v>272556358.69999999</v>
      </c>
      <c r="W70" s="310">
        <f>Y70+AA70+AD70+AG70+AJ70+AM70</f>
        <v>272556358.69999999</v>
      </c>
      <c r="X70" s="375">
        <f>W70-V70</f>
        <v>0</v>
      </c>
      <c r="Y70" s="528">
        <f>88525993.1-1033200-36204</f>
        <v>87456589.099999994</v>
      </c>
      <c r="Z70" s="310">
        <v>184993501.38999999</v>
      </c>
      <c r="AA70" s="63">
        <v>184993501.38999999</v>
      </c>
      <c r="AB70" s="360">
        <f t="shared" si="2"/>
        <v>0</v>
      </c>
      <c r="AC70" s="382">
        <v>106268.21</v>
      </c>
      <c r="AD70" s="63">
        <f>106268.22-0.01</f>
        <v>106268.21</v>
      </c>
      <c r="AE70" s="360"/>
      <c r="AF70" s="310"/>
      <c r="AG70" s="63"/>
      <c r="AH70" s="360"/>
      <c r="AI70" s="279"/>
      <c r="AJ70" s="63"/>
      <c r="AK70" s="360"/>
      <c r="AL70" s="279"/>
      <c r="AM70" s="63"/>
      <c r="AN70" s="360"/>
      <c r="AO70" s="425"/>
      <c r="AP70" s="395"/>
      <c r="AQ70" s="334">
        <v>2751884.645</v>
      </c>
      <c r="AR70" s="161">
        <f t="shared" si="22"/>
        <v>3010219.3</v>
      </c>
      <c r="AS70" s="335">
        <f t="shared" si="5"/>
        <v>258334.6549999998</v>
      </c>
      <c r="AT70" s="338">
        <v>2000000</v>
      </c>
      <c r="AU70" s="162">
        <v>2000000</v>
      </c>
      <c r="AV70" s="1019">
        <f t="shared" si="55"/>
        <v>0</v>
      </c>
      <c r="AW70" s="338">
        <v>541665.35</v>
      </c>
      <c r="AX70" s="162">
        <v>800000</v>
      </c>
      <c r="AY70" s="339">
        <f>AX70-AW70</f>
        <v>258334.65000000002</v>
      </c>
      <c r="AZ70" s="540"/>
      <c r="BA70" s="338">
        <v>210219.3</v>
      </c>
      <c r="BB70" s="162">
        <v>210219.3</v>
      </c>
      <c r="BC70" s="339">
        <f>BB70-BA70</f>
        <v>0</v>
      </c>
      <c r="BE70" s="111"/>
      <c r="BF70" s="111">
        <v>487564.3</v>
      </c>
      <c r="BL70" s="617"/>
      <c r="BM70" s="621">
        <f>AJ70-BL70</f>
        <v>0</v>
      </c>
      <c r="BN70" s="617">
        <v>2174384</v>
      </c>
      <c r="BO70" s="621">
        <f t="shared" ref="BO70:BO73" si="67">AM70-BN70</f>
        <v>-2174384</v>
      </c>
      <c r="BR70" s="629">
        <f t="shared" si="23"/>
        <v>2751884.645</v>
      </c>
      <c r="BS70" s="629">
        <f t="shared" si="15"/>
        <v>3971652.4699999997</v>
      </c>
      <c r="BT70" s="533">
        <f t="shared" si="19"/>
        <v>-1219767.8249999997</v>
      </c>
      <c r="BU70" s="533">
        <f>BR70</f>
        <v>2751884.645</v>
      </c>
      <c r="BV70" s="617">
        <f>1878568.47-81300</f>
        <v>1797268.47</v>
      </c>
      <c r="BW70" s="621">
        <f>AT70-BV70</f>
        <v>202731.53000000003</v>
      </c>
      <c r="BX70" s="617">
        <v>2174384</v>
      </c>
      <c r="BY70" s="621">
        <f t="shared" si="59"/>
        <v>-1632718.65</v>
      </c>
    </row>
    <row r="71" spans="1:79" ht="31.5" x14ac:dyDescent="0.3">
      <c r="A71" s="437" t="s">
        <v>186</v>
      </c>
      <c r="B71" s="1251"/>
      <c r="C71" s="1255">
        <v>244</v>
      </c>
      <c r="D71" s="1275">
        <f t="shared" si="51"/>
        <v>0</v>
      </c>
      <c r="E71" s="59">
        <f>H71+W71+AQ71+AP71</f>
        <v>0</v>
      </c>
      <c r="F71" s="411">
        <f t="shared" si="1"/>
        <v>0</v>
      </c>
      <c r="G71" s="297"/>
      <c r="H71" s="158">
        <f t="shared" si="52"/>
        <v>0</v>
      </c>
      <c r="I71" s="298">
        <f t="shared" si="21"/>
        <v>0</v>
      </c>
      <c r="J71" s="297"/>
      <c r="K71" s="158"/>
      <c r="L71" s="298"/>
      <c r="M71" s="297"/>
      <c r="N71" s="158">
        <f t="shared" si="53"/>
        <v>0</v>
      </c>
      <c r="O71" s="298"/>
      <c r="P71" s="1243"/>
      <c r="Q71" s="158"/>
      <c r="R71" s="316"/>
      <c r="S71" s="1243"/>
      <c r="T71" s="158"/>
      <c r="U71" s="316"/>
      <c r="V71" s="279">
        <v>0</v>
      </c>
      <c r="W71" s="310">
        <f t="shared" si="63"/>
        <v>0</v>
      </c>
      <c r="X71" s="375"/>
      <c r="Y71" s="528"/>
      <c r="Z71" s="310"/>
      <c r="AA71" s="63"/>
      <c r="AB71" s="360">
        <f t="shared" si="2"/>
        <v>0</v>
      </c>
      <c r="AC71" s="382"/>
      <c r="AD71" s="63">
        <f t="shared" si="54"/>
        <v>0</v>
      </c>
      <c r="AE71" s="360">
        <f>AC71-AB71</f>
        <v>0</v>
      </c>
      <c r="AF71" s="310"/>
      <c r="AG71" s="63"/>
      <c r="AH71" s="360"/>
      <c r="AI71" s="279"/>
      <c r="AJ71" s="63"/>
      <c r="AK71" s="360"/>
      <c r="AL71" s="279"/>
      <c r="AM71" s="63"/>
      <c r="AN71" s="360"/>
      <c r="AO71" s="425"/>
      <c r="AP71" s="395"/>
      <c r="AQ71" s="334">
        <v>0</v>
      </c>
      <c r="AR71" s="161">
        <f t="shared" si="22"/>
        <v>0</v>
      </c>
      <c r="AS71" s="335">
        <f t="shared" si="5"/>
        <v>0</v>
      </c>
      <c r="AT71" s="338"/>
      <c r="AU71" s="162">
        <f t="shared" si="61"/>
        <v>0</v>
      </c>
      <c r="AV71" s="1019">
        <f t="shared" si="55"/>
        <v>0</v>
      </c>
      <c r="AW71" s="338"/>
      <c r="AX71" s="162"/>
      <c r="AY71" s="339"/>
      <c r="AZ71" s="540"/>
      <c r="BA71" s="338"/>
      <c r="BB71" s="162"/>
      <c r="BC71" s="339"/>
      <c r="BE71" s="1256" t="s">
        <v>237</v>
      </c>
      <c r="BF71" s="1256" t="s">
        <v>197</v>
      </c>
      <c r="BL71" s="617"/>
      <c r="BM71" s="621">
        <f>AK71-BL71</f>
        <v>0</v>
      </c>
      <c r="BN71" s="617"/>
      <c r="BO71" s="621">
        <f t="shared" si="67"/>
        <v>0</v>
      </c>
      <c r="BR71" s="629">
        <f t="shared" si="23"/>
        <v>0</v>
      </c>
      <c r="BS71" s="629">
        <f t="shared" si="15"/>
        <v>0</v>
      </c>
      <c r="BT71" s="533">
        <f t="shared" si="19"/>
        <v>0</v>
      </c>
      <c r="BU71" s="533"/>
      <c r="BV71" s="617"/>
      <c r="BW71" s="621">
        <f>AU71-BV71</f>
        <v>0</v>
      </c>
      <c r="BX71" s="617"/>
      <c r="BY71" s="621">
        <f t="shared" si="59"/>
        <v>0</v>
      </c>
    </row>
    <row r="72" spans="1:79" x14ac:dyDescent="0.3">
      <c r="A72" s="1420" t="s">
        <v>187</v>
      </c>
      <c r="B72" s="1424"/>
      <c r="C72" s="1255">
        <v>243</v>
      </c>
      <c r="D72" s="1275">
        <f t="shared" si="51"/>
        <v>0</v>
      </c>
      <c r="E72" s="59">
        <f>H72+W72+AQ72+AP72</f>
        <v>0</v>
      </c>
      <c r="F72" s="411">
        <f t="shared" si="1"/>
        <v>0</v>
      </c>
      <c r="G72" s="297"/>
      <c r="H72" s="158">
        <f t="shared" si="52"/>
        <v>0</v>
      </c>
      <c r="I72" s="298">
        <f t="shared" si="21"/>
        <v>0</v>
      </c>
      <c r="J72" s="297"/>
      <c r="K72" s="158"/>
      <c r="L72" s="298"/>
      <c r="M72" s="297"/>
      <c r="N72" s="158">
        <f t="shared" si="53"/>
        <v>0</v>
      </c>
      <c r="O72" s="298"/>
      <c r="P72" s="1243"/>
      <c r="Q72" s="158"/>
      <c r="R72" s="316"/>
      <c r="S72" s="1243"/>
      <c r="T72" s="158"/>
      <c r="U72" s="316"/>
      <c r="V72" s="279">
        <v>0</v>
      </c>
      <c r="W72" s="310">
        <f t="shared" si="63"/>
        <v>0</v>
      </c>
      <c r="X72" s="375"/>
      <c r="Y72" s="528"/>
      <c r="Z72" s="310"/>
      <c r="AA72" s="63"/>
      <c r="AB72" s="360">
        <f t="shared" si="2"/>
        <v>0</v>
      </c>
      <c r="AC72" s="382"/>
      <c r="AD72" s="63">
        <f t="shared" si="54"/>
        <v>0</v>
      </c>
      <c r="AE72" s="360">
        <f>AC72-AB72</f>
        <v>0</v>
      </c>
      <c r="AF72" s="310"/>
      <c r="AG72" s="63"/>
      <c r="AH72" s="360"/>
      <c r="AI72" s="279"/>
      <c r="AJ72" s="63"/>
      <c r="AK72" s="360"/>
      <c r="AL72" s="279"/>
      <c r="AM72" s="63"/>
      <c r="AN72" s="360"/>
      <c r="AO72" s="425"/>
      <c r="AP72" s="395"/>
      <c r="AQ72" s="334">
        <v>0</v>
      </c>
      <c r="AR72" s="161">
        <f t="shared" si="22"/>
        <v>0</v>
      </c>
      <c r="AS72" s="335">
        <f t="shared" si="5"/>
        <v>0</v>
      </c>
      <c r="AT72" s="338"/>
      <c r="AU72" s="162">
        <f t="shared" si="61"/>
        <v>0</v>
      </c>
      <c r="AV72" s="1019">
        <f t="shared" si="55"/>
        <v>0</v>
      </c>
      <c r="AW72" s="338"/>
      <c r="AX72" s="162"/>
      <c r="AY72" s="339"/>
      <c r="AZ72" s="540"/>
      <c r="BA72" s="338"/>
      <c r="BB72" s="162"/>
      <c r="BC72" s="339"/>
      <c r="BE72" s="118"/>
      <c r="BF72" s="146">
        <v>-260231.34</v>
      </c>
      <c r="BL72" s="617"/>
      <c r="BM72" s="621">
        <f>AK72-BL72</f>
        <v>0</v>
      </c>
      <c r="BN72" s="617"/>
      <c r="BO72" s="621">
        <f t="shared" si="67"/>
        <v>0</v>
      </c>
      <c r="BR72" s="629">
        <f t="shared" si="23"/>
        <v>0</v>
      </c>
      <c r="BS72" s="629">
        <f t="shared" si="15"/>
        <v>0</v>
      </c>
      <c r="BT72" s="533">
        <f t="shared" si="19"/>
        <v>0</v>
      </c>
      <c r="BU72" s="533"/>
      <c r="BV72" s="617"/>
      <c r="BW72" s="621">
        <f>AU72-BV72</f>
        <v>0</v>
      </c>
      <c r="BX72" s="617"/>
      <c r="BY72" s="621">
        <f t="shared" si="59"/>
        <v>0</v>
      </c>
    </row>
    <row r="73" spans="1:79" x14ac:dyDescent="0.3">
      <c r="A73" s="1421"/>
      <c r="B73" s="1423"/>
      <c r="C73" s="1255">
        <v>244</v>
      </c>
      <c r="D73" s="1275">
        <f t="shared" si="51"/>
        <v>214289292.44999999</v>
      </c>
      <c r="E73" s="64">
        <f>H73+W73+AR73+AP73</f>
        <v>226258249.39000002</v>
      </c>
      <c r="F73" s="411">
        <f t="shared" si="1"/>
        <v>11968956.940000027</v>
      </c>
      <c r="G73" s="297">
        <v>22183509.009999998</v>
      </c>
      <c r="H73" s="158">
        <f>G73+7063961.85</f>
        <v>29247470.859999999</v>
      </c>
      <c r="I73" s="298">
        <f t="shared" si="21"/>
        <v>7063961.8500000015</v>
      </c>
      <c r="J73" s="297"/>
      <c r="K73" s="158"/>
      <c r="L73" s="298"/>
      <c r="M73" s="297">
        <v>13818675.92</v>
      </c>
      <c r="N73" s="158">
        <f>H73-Q73-T73-0.01343+0.000004515-0.000000015</f>
        <v>19472982.423187237</v>
      </c>
      <c r="O73" s="298">
        <f>N73-M73</f>
        <v>5654306.5031872373</v>
      </c>
      <c r="P73" s="1243">
        <f>8364833.09-0.01</f>
        <v>8364833.0800000001</v>
      </c>
      <c r="Q73" s="158">
        <f>8925658.79+8.82-0.013+0.0001891-0.0000000149</f>
        <v>8925667.5971890837</v>
      </c>
      <c r="R73" s="316">
        <f>Q73-P73</f>
        <v>560834.51718908362</v>
      </c>
      <c r="S73" s="1243"/>
      <c r="T73" s="158">
        <f>878820.83-30001.47-0.002+1.4682-0.000001821</f>
        <v>848820.82619817904</v>
      </c>
      <c r="U73" s="316"/>
      <c r="V73" s="279">
        <v>98659555.090000004</v>
      </c>
      <c r="W73" s="310">
        <v>98659555.090000004</v>
      </c>
      <c r="X73" s="375">
        <f>W73-V73</f>
        <v>0</v>
      </c>
      <c r="Y73" s="528">
        <f>7077043.25-1435000-109027.16</f>
        <v>5533016.0899999999</v>
      </c>
      <c r="Z73" s="310">
        <v>83895698.609999999</v>
      </c>
      <c r="AA73" s="63">
        <f>83895698.61</f>
        <v>83895698.609999999</v>
      </c>
      <c r="AB73" s="360">
        <f t="shared" si="2"/>
        <v>0</v>
      </c>
      <c r="AC73" s="382">
        <v>6369566.25</v>
      </c>
      <c r="AD73" s="63">
        <f>6369566.25+0.004999991-0.00500011</f>
        <v>6369566.2499998808</v>
      </c>
      <c r="AE73" s="360"/>
      <c r="AF73" s="310">
        <v>2861274.13</v>
      </c>
      <c r="AG73" s="63">
        <v>2861274.13</v>
      </c>
      <c r="AH73" s="360">
        <f>AG73-AF73</f>
        <v>0</v>
      </c>
      <c r="AI73" s="279"/>
      <c r="AJ73" s="63"/>
      <c r="AK73" s="360"/>
      <c r="AL73" s="279"/>
      <c r="AM73" s="63"/>
      <c r="AN73" s="360"/>
      <c r="AO73" s="425"/>
      <c r="AP73" s="395"/>
      <c r="AQ73" s="334">
        <v>93446228.350000009</v>
      </c>
      <c r="AR73" s="161">
        <f t="shared" si="22"/>
        <v>98351223.440000013</v>
      </c>
      <c r="AS73" s="335">
        <f t="shared" si="5"/>
        <v>4904995.0900000036</v>
      </c>
      <c r="AT73" s="338">
        <v>76818434.870000005</v>
      </c>
      <c r="AU73" s="162">
        <v>76818434.870000005</v>
      </c>
      <c r="AV73" s="1019">
        <f t="shared" si="55"/>
        <v>0</v>
      </c>
      <c r="AW73" s="338">
        <v>14350719.92</v>
      </c>
      <c r="AX73" s="162">
        <f>19368000-112284.99</f>
        <v>19255715.010000002</v>
      </c>
      <c r="AY73" s="339">
        <f>AX73-AW73</f>
        <v>4904995.0900000017</v>
      </c>
      <c r="AZ73" s="540"/>
      <c r="BA73" s="338">
        <v>2277073.56</v>
      </c>
      <c r="BB73" s="162">
        <f>2277073.56+0.0000000037</f>
        <v>2277073.5600000038</v>
      </c>
      <c r="BC73" s="339">
        <f>BB73-BA73</f>
        <v>3.7252902984619141E-9</v>
      </c>
      <c r="BE73" s="111">
        <v>74638998.689999998</v>
      </c>
      <c r="BF73" s="111">
        <v>25190635.949999999</v>
      </c>
      <c r="BL73" s="617"/>
      <c r="BM73" s="621">
        <f>AJ73-BL73</f>
        <v>0</v>
      </c>
      <c r="BN73" s="617">
        <v>14782649</v>
      </c>
      <c r="BO73" s="621">
        <f t="shared" si="67"/>
        <v>-14782649</v>
      </c>
      <c r="BR73" s="629">
        <f t="shared" si="23"/>
        <v>93446228.350000009</v>
      </c>
      <c r="BS73" s="629">
        <f t="shared" si="15"/>
        <v>81371069.319999993</v>
      </c>
      <c r="BT73" s="533">
        <f t="shared" si="19"/>
        <v>12075159.030000016</v>
      </c>
      <c r="BU73" s="533">
        <f>BS73</f>
        <v>81371069.319999993</v>
      </c>
      <c r="BV73" s="617">
        <f>64959183.81-3000+1195603.28+500000-63366.77</f>
        <v>66588420.32</v>
      </c>
      <c r="BW73" s="621">
        <f>AT73-BV73</f>
        <v>10230014.550000004</v>
      </c>
      <c r="BX73" s="617">
        <v>14782649</v>
      </c>
      <c r="BY73" s="621">
        <f t="shared" si="59"/>
        <v>-431929.08000000007</v>
      </c>
    </row>
    <row r="74" spans="1:79" s="115" customFormat="1" ht="21.75" customHeight="1" x14ac:dyDescent="0.3">
      <c r="A74" s="435" t="s">
        <v>188</v>
      </c>
      <c r="B74" s="1252">
        <v>300</v>
      </c>
      <c r="C74" s="436" t="s">
        <v>149</v>
      </c>
      <c r="D74" s="1275">
        <f t="shared" si="51"/>
        <v>0</v>
      </c>
      <c r="E74" s="59">
        <f t="shared" ref="D74:E79" si="68">H74+W74+AQ74+AP74</f>
        <v>0</v>
      </c>
      <c r="F74" s="411">
        <f t="shared" si="1"/>
        <v>0</v>
      </c>
      <c r="G74" s="293"/>
      <c r="H74" s="157"/>
      <c r="I74" s="298">
        <f t="shared" si="21"/>
        <v>0</v>
      </c>
      <c r="J74" s="293"/>
      <c r="K74" s="157"/>
      <c r="L74" s="294"/>
      <c r="M74" s="293"/>
      <c r="N74" s="157"/>
      <c r="O74" s="294"/>
      <c r="P74" s="521"/>
      <c r="Q74" s="157"/>
      <c r="R74" s="314"/>
      <c r="S74" s="521"/>
      <c r="T74" s="157"/>
      <c r="U74" s="314"/>
      <c r="V74" s="276"/>
      <c r="W74" s="307"/>
      <c r="X74" s="372"/>
      <c r="Y74" s="525"/>
      <c r="Z74" s="307">
        <v>0</v>
      </c>
      <c r="AA74" s="153">
        <v>0</v>
      </c>
      <c r="AB74" s="357">
        <f t="shared" si="2"/>
        <v>0</v>
      </c>
      <c r="AC74" s="379">
        <v>0</v>
      </c>
      <c r="AD74" s="153">
        <f t="shared" ref="AD74:AD82" si="69">AC74-AB74</f>
        <v>0</v>
      </c>
      <c r="AE74" s="357">
        <f t="shared" ref="AE74:AE81" si="70">AC74-AB74</f>
        <v>0</v>
      </c>
      <c r="AF74" s="307"/>
      <c r="AG74" s="153"/>
      <c r="AH74" s="357"/>
      <c r="AI74" s="276"/>
      <c r="AJ74" s="153"/>
      <c r="AK74" s="357"/>
      <c r="AL74" s="276"/>
      <c r="AM74" s="153"/>
      <c r="AN74" s="357"/>
      <c r="AO74" s="422">
        <f>AO76+AO77</f>
        <v>0</v>
      </c>
      <c r="AP74" s="396">
        <f>SUM(AP76:AP77)</f>
        <v>0</v>
      </c>
      <c r="AQ74" s="334">
        <v>0</v>
      </c>
      <c r="AR74" s="161">
        <f t="shared" si="22"/>
        <v>0</v>
      </c>
      <c r="AS74" s="335">
        <f t="shared" si="5"/>
        <v>0</v>
      </c>
      <c r="AT74" s="334"/>
      <c r="AU74" s="161"/>
      <c r="AV74" s="1019">
        <f t="shared" si="55"/>
        <v>0</v>
      </c>
      <c r="AW74" s="334"/>
      <c r="AX74" s="161"/>
      <c r="AY74" s="335"/>
      <c r="AZ74" s="539">
        <f>SUM(AZ76:AZ77)</f>
        <v>0</v>
      </c>
      <c r="BA74" s="334"/>
      <c r="BB74" s="161"/>
      <c r="BC74" s="335"/>
      <c r="BL74" s="617"/>
      <c r="BM74" s="621">
        <f t="shared" ref="BM74:BM81" si="71">AK74-BL74</f>
        <v>0</v>
      </c>
      <c r="BN74" s="617"/>
      <c r="BO74" s="621">
        <f>AM74-BN74</f>
        <v>0</v>
      </c>
      <c r="BR74" s="628">
        <f t="shared" si="23"/>
        <v>0</v>
      </c>
      <c r="BS74" s="628">
        <f t="shared" si="15"/>
        <v>0</v>
      </c>
      <c r="BT74" s="535">
        <f t="shared" si="19"/>
        <v>0</v>
      </c>
      <c r="BU74" s="533"/>
      <c r="BV74" s="617"/>
      <c r="BW74" s="621">
        <f t="shared" ref="BW74:BW81" si="72">AU74-BV74</f>
        <v>0</v>
      </c>
      <c r="BX74" s="617"/>
      <c r="BY74" s="621">
        <f>AW74-BX74</f>
        <v>0</v>
      </c>
    </row>
    <row r="75" spans="1:79" x14ac:dyDescent="0.3">
      <c r="A75" s="437" t="s">
        <v>92</v>
      </c>
      <c r="B75" s="133"/>
      <c r="C75" s="438"/>
      <c r="D75" s="1275">
        <v>0</v>
      </c>
      <c r="E75" s="59">
        <f t="shared" si="68"/>
        <v>0</v>
      </c>
      <c r="F75" s="410">
        <f t="shared" si="1"/>
        <v>0</v>
      </c>
      <c r="G75" s="297"/>
      <c r="H75" s="158"/>
      <c r="I75" s="298">
        <f t="shared" si="21"/>
        <v>0</v>
      </c>
      <c r="J75" s="297"/>
      <c r="K75" s="158"/>
      <c r="L75" s="298"/>
      <c r="M75" s="297"/>
      <c r="N75" s="158"/>
      <c r="O75" s="298"/>
      <c r="P75" s="297"/>
      <c r="Q75" s="285"/>
      <c r="R75" s="316"/>
      <c r="S75" s="297"/>
      <c r="T75" s="285"/>
      <c r="U75" s="316"/>
      <c r="V75" s="279"/>
      <c r="W75" s="310"/>
      <c r="X75" s="375"/>
      <c r="Y75" s="528"/>
      <c r="Z75" s="310"/>
      <c r="AA75" s="63"/>
      <c r="AB75" s="357">
        <f t="shared" si="2"/>
        <v>0</v>
      </c>
      <c r="AC75" s="382"/>
      <c r="AD75" s="153">
        <f t="shared" si="69"/>
        <v>0</v>
      </c>
      <c r="AE75" s="357">
        <f t="shared" si="70"/>
        <v>0</v>
      </c>
      <c r="AF75" s="310"/>
      <c r="AG75" s="63"/>
      <c r="AH75" s="360"/>
      <c r="AI75" s="279"/>
      <c r="AJ75" s="63"/>
      <c r="AK75" s="360"/>
      <c r="AL75" s="279"/>
      <c r="AM75" s="63"/>
      <c r="AN75" s="360"/>
      <c r="AO75" s="425"/>
      <c r="AP75" s="395"/>
      <c r="AQ75" s="334">
        <v>0</v>
      </c>
      <c r="AR75" s="161">
        <f t="shared" si="22"/>
        <v>0</v>
      </c>
      <c r="AS75" s="335">
        <f t="shared" si="5"/>
        <v>0</v>
      </c>
      <c r="AT75" s="338"/>
      <c r="AU75" s="162"/>
      <c r="AV75" s="1019"/>
      <c r="AW75" s="338"/>
      <c r="AX75" s="162"/>
      <c r="AY75" s="339"/>
      <c r="AZ75" s="540"/>
      <c r="BA75" s="338"/>
      <c r="BB75" s="162"/>
      <c r="BC75" s="339"/>
      <c r="BL75" s="617"/>
      <c r="BM75" s="621">
        <f t="shared" si="71"/>
        <v>0</v>
      </c>
      <c r="BN75" s="617"/>
      <c r="BO75" s="621">
        <f t="shared" ref="BO75:BO82" si="73">AM75-BN75</f>
        <v>0</v>
      </c>
      <c r="BR75" s="628">
        <f t="shared" si="23"/>
        <v>0</v>
      </c>
      <c r="BS75" s="628">
        <f t="shared" si="15"/>
        <v>0</v>
      </c>
      <c r="BT75" s="535">
        <f t="shared" si="19"/>
        <v>0</v>
      </c>
      <c r="BU75" s="533"/>
      <c r="BV75" s="617"/>
      <c r="BW75" s="621">
        <f t="shared" si="72"/>
        <v>0</v>
      </c>
      <c r="BX75" s="617"/>
      <c r="BY75" s="621">
        <f t="shared" si="59"/>
        <v>0</v>
      </c>
    </row>
    <row r="76" spans="1:79" x14ac:dyDescent="0.3">
      <c r="A76" s="437" t="s">
        <v>189</v>
      </c>
      <c r="B76" s="1251">
        <v>310</v>
      </c>
      <c r="C76" s="438"/>
      <c r="D76" s="1275">
        <v>0</v>
      </c>
      <c r="E76" s="59">
        <f t="shared" si="68"/>
        <v>0</v>
      </c>
      <c r="F76" s="410">
        <f t="shared" si="1"/>
        <v>0</v>
      </c>
      <c r="G76" s="297"/>
      <c r="H76" s="158"/>
      <c r="I76" s="298">
        <f t="shared" si="21"/>
        <v>0</v>
      </c>
      <c r="J76" s="297"/>
      <c r="K76" s="158"/>
      <c r="L76" s="298"/>
      <c r="M76" s="297"/>
      <c r="N76" s="158"/>
      <c r="O76" s="298"/>
      <c r="P76" s="297"/>
      <c r="Q76" s="285"/>
      <c r="R76" s="316"/>
      <c r="S76" s="297"/>
      <c r="T76" s="285"/>
      <c r="U76" s="316"/>
      <c r="V76" s="279"/>
      <c r="W76" s="310"/>
      <c r="X76" s="375"/>
      <c r="Y76" s="528"/>
      <c r="Z76" s="310"/>
      <c r="AA76" s="63"/>
      <c r="AB76" s="357">
        <f t="shared" si="2"/>
        <v>0</v>
      </c>
      <c r="AC76" s="382"/>
      <c r="AD76" s="153">
        <f t="shared" si="69"/>
        <v>0</v>
      </c>
      <c r="AE76" s="357">
        <f t="shared" si="70"/>
        <v>0</v>
      </c>
      <c r="AF76" s="310"/>
      <c r="AG76" s="63"/>
      <c r="AH76" s="360"/>
      <c r="AI76" s="279"/>
      <c r="AJ76" s="63"/>
      <c r="AK76" s="360"/>
      <c r="AL76" s="279"/>
      <c r="AM76" s="63"/>
      <c r="AN76" s="360"/>
      <c r="AO76" s="425"/>
      <c r="AP76" s="395"/>
      <c r="AQ76" s="334">
        <v>0</v>
      </c>
      <c r="AR76" s="161">
        <f t="shared" si="22"/>
        <v>0</v>
      </c>
      <c r="AS76" s="335">
        <f t="shared" si="5"/>
        <v>0</v>
      </c>
      <c r="AT76" s="338"/>
      <c r="AU76" s="162"/>
      <c r="AV76" s="1019"/>
      <c r="AW76" s="338"/>
      <c r="AX76" s="162"/>
      <c r="AY76" s="339"/>
      <c r="AZ76" s="540"/>
      <c r="BA76" s="338"/>
      <c r="BB76" s="162"/>
      <c r="BC76" s="339"/>
      <c r="BL76" s="617"/>
      <c r="BM76" s="621">
        <f t="shared" si="71"/>
        <v>0</v>
      </c>
      <c r="BN76" s="617"/>
      <c r="BO76" s="621">
        <f t="shared" si="73"/>
        <v>0</v>
      </c>
      <c r="BR76" s="628">
        <f t="shared" si="23"/>
        <v>0</v>
      </c>
      <c r="BS76" s="628">
        <f t="shared" si="15"/>
        <v>0</v>
      </c>
      <c r="BT76" s="535">
        <f t="shared" si="19"/>
        <v>0</v>
      </c>
      <c r="BU76" s="533"/>
      <c r="BV76" s="617"/>
      <c r="BW76" s="621">
        <f t="shared" si="72"/>
        <v>0</v>
      </c>
      <c r="BX76" s="617"/>
      <c r="BY76" s="621">
        <f t="shared" si="59"/>
        <v>0</v>
      </c>
    </row>
    <row r="77" spans="1:79" x14ac:dyDescent="0.3">
      <c r="A77" s="437" t="s">
        <v>190</v>
      </c>
      <c r="B77" s="1251">
        <v>320</v>
      </c>
      <c r="C77" s="438"/>
      <c r="D77" s="1275">
        <v>0</v>
      </c>
      <c r="E77" s="59">
        <f t="shared" si="68"/>
        <v>0</v>
      </c>
      <c r="F77" s="410">
        <f t="shared" si="1"/>
        <v>0</v>
      </c>
      <c r="G77" s="297"/>
      <c r="H77" s="158"/>
      <c r="I77" s="298">
        <f t="shared" si="21"/>
        <v>0</v>
      </c>
      <c r="J77" s="297"/>
      <c r="K77" s="158"/>
      <c r="L77" s="298"/>
      <c r="M77" s="297"/>
      <c r="N77" s="158"/>
      <c r="O77" s="298"/>
      <c r="P77" s="297"/>
      <c r="Q77" s="285"/>
      <c r="R77" s="316"/>
      <c r="S77" s="297"/>
      <c r="T77" s="285"/>
      <c r="U77" s="316"/>
      <c r="V77" s="279"/>
      <c r="W77" s="310"/>
      <c r="X77" s="375"/>
      <c r="Y77" s="528"/>
      <c r="Z77" s="310"/>
      <c r="AA77" s="63"/>
      <c r="AB77" s="357">
        <f t="shared" si="2"/>
        <v>0</v>
      </c>
      <c r="AC77" s="382"/>
      <c r="AD77" s="153">
        <f t="shared" si="69"/>
        <v>0</v>
      </c>
      <c r="AE77" s="357">
        <f t="shared" si="70"/>
        <v>0</v>
      </c>
      <c r="AF77" s="310"/>
      <c r="AG77" s="63"/>
      <c r="AH77" s="360"/>
      <c r="AI77" s="279"/>
      <c r="AJ77" s="63"/>
      <c r="AK77" s="360"/>
      <c r="AL77" s="279"/>
      <c r="AM77" s="63"/>
      <c r="AN77" s="360"/>
      <c r="AO77" s="425"/>
      <c r="AP77" s="395"/>
      <c r="AQ77" s="334">
        <v>0</v>
      </c>
      <c r="AR77" s="161">
        <f t="shared" si="22"/>
        <v>0</v>
      </c>
      <c r="AS77" s="335">
        <f t="shared" si="5"/>
        <v>0</v>
      </c>
      <c r="AT77" s="338"/>
      <c r="AU77" s="162"/>
      <c r="AV77" s="1019"/>
      <c r="AW77" s="338"/>
      <c r="AX77" s="162"/>
      <c r="AY77" s="339"/>
      <c r="AZ77" s="540"/>
      <c r="BA77" s="338"/>
      <c r="BB77" s="162"/>
      <c r="BC77" s="339"/>
      <c r="BL77" s="617"/>
      <c r="BM77" s="621">
        <f t="shared" si="71"/>
        <v>0</v>
      </c>
      <c r="BN77" s="617"/>
      <c r="BO77" s="621">
        <f t="shared" si="73"/>
        <v>0</v>
      </c>
      <c r="BR77" s="628">
        <f t="shared" si="23"/>
        <v>0</v>
      </c>
      <c r="BS77" s="628">
        <f t="shared" si="15"/>
        <v>0</v>
      </c>
      <c r="BT77" s="535">
        <f t="shared" si="19"/>
        <v>0</v>
      </c>
      <c r="BU77" s="533"/>
      <c r="BV77" s="617"/>
      <c r="BW77" s="621">
        <f t="shared" si="72"/>
        <v>0</v>
      </c>
      <c r="BX77" s="617"/>
      <c r="BY77" s="621">
        <f t="shared" si="59"/>
        <v>0</v>
      </c>
    </row>
    <row r="78" spans="1:79" s="115" customFormat="1" x14ac:dyDescent="0.3">
      <c r="A78" s="435" t="s">
        <v>191</v>
      </c>
      <c r="B78" s="1252">
        <v>400</v>
      </c>
      <c r="C78" s="442"/>
      <c r="D78" s="1274">
        <f t="shared" si="68"/>
        <v>-205614792.37</v>
      </c>
      <c r="E78" s="59">
        <f t="shared" si="68"/>
        <v>-205614792.37</v>
      </c>
      <c r="F78" s="410">
        <f t="shared" si="1"/>
        <v>0</v>
      </c>
      <c r="G78" s="293"/>
      <c r="H78" s="157"/>
      <c r="I78" s="298">
        <f t="shared" si="21"/>
        <v>0</v>
      </c>
      <c r="J78" s="293"/>
      <c r="K78" s="157"/>
      <c r="L78" s="294"/>
      <c r="M78" s="293"/>
      <c r="N78" s="157"/>
      <c r="O78" s="294"/>
      <c r="P78" s="293"/>
      <c r="Q78" s="283"/>
      <c r="R78" s="314"/>
      <c r="S78" s="293"/>
      <c r="T78" s="283"/>
      <c r="U78" s="314"/>
      <c r="V78" s="276">
        <f>V80</f>
        <v>-205614792.37</v>
      </c>
      <c r="W78" s="307">
        <f>W80</f>
        <v>-205614792.37</v>
      </c>
      <c r="X78" s="372"/>
      <c r="Y78" s="525"/>
      <c r="Z78" s="307">
        <v>0</v>
      </c>
      <c r="AA78" s="153">
        <f>AA80</f>
        <v>0</v>
      </c>
      <c r="AB78" s="357">
        <f t="shared" si="2"/>
        <v>0</v>
      </c>
      <c r="AC78" s="379">
        <v>0</v>
      </c>
      <c r="AD78" s="153">
        <f t="shared" si="69"/>
        <v>0</v>
      </c>
      <c r="AE78" s="357">
        <f t="shared" si="70"/>
        <v>0</v>
      </c>
      <c r="AF78" s="307"/>
      <c r="AG78" s="153"/>
      <c r="AH78" s="357"/>
      <c r="AI78" s="276"/>
      <c r="AJ78" s="153"/>
      <c r="AK78" s="357"/>
      <c r="AL78" s="276"/>
      <c r="AM78" s="153"/>
      <c r="AN78" s="357"/>
      <c r="AO78" s="422">
        <f>AO80+AO81</f>
        <v>0</v>
      </c>
      <c r="AP78" s="396">
        <v>0</v>
      </c>
      <c r="AQ78" s="334">
        <v>0</v>
      </c>
      <c r="AR78" s="161">
        <f t="shared" si="22"/>
        <v>0</v>
      </c>
      <c r="AS78" s="335">
        <f t="shared" si="5"/>
        <v>0</v>
      </c>
      <c r="AT78" s="334"/>
      <c r="AU78" s="161"/>
      <c r="AV78" s="406"/>
      <c r="AW78" s="334"/>
      <c r="AX78" s="161"/>
      <c r="AY78" s="335"/>
      <c r="AZ78" s="539">
        <f>AZ80+AZ81</f>
        <v>0</v>
      </c>
      <c r="BA78" s="334"/>
      <c r="BB78" s="161"/>
      <c r="BC78" s="335"/>
      <c r="BL78" s="617"/>
      <c r="BM78" s="621">
        <f t="shared" si="71"/>
        <v>0</v>
      </c>
      <c r="BN78" s="617"/>
      <c r="BO78" s="621">
        <f t="shared" si="73"/>
        <v>0</v>
      </c>
      <c r="BR78" s="628">
        <f t="shared" si="23"/>
        <v>0</v>
      </c>
      <c r="BS78" s="628">
        <f t="shared" si="15"/>
        <v>0</v>
      </c>
      <c r="BT78" s="535">
        <f t="shared" si="19"/>
        <v>0</v>
      </c>
      <c r="BU78" s="533"/>
      <c r="BV78" s="617"/>
      <c r="BW78" s="621">
        <f t="shared" si="72"/>
        <v>0</v>
      </c>
      <c r="BX78" s="617"/>
      <c r="BY78" s="621">
        <f t="shared" si="59"/>
        <v>0</v>
      </c>
    </row>
    <row r="79" spans="1:79" x14ac:dyDescent="0.3">
      <c r="A79" s="437" t="s">
        <v>92</v>
      </c>
      <c r="B79" s="133"/>
      <c r="C79" s="438"/>
      <c r="D79" s="1275">
        <v>0</v>
      </c>
      <c r="E79" s="59">
        <f t="shared" si="68"/>
        <v>0</v>
      </c>
      <c r="F79" s="410">
        <f t="shared" si="1"/>
        <v>0</v>
      </c>
      <c r="G79" s="297"/>
      <c r="H79" s="158"/>
      <c r="I79" s="298">
        <f t="shared" si="21"/>
        <v>0</v>
      </c>
      <c r="J79" s="297"/>
      <c r="K79" s="158"/>
      <c r="L79" s="298"/>
      <c r="M79" s="297"/>
      <c r="N79" s="158"/>
      <c r="O79" s="298"/>
      <c r="P79" s="297"/>
      <c r="Q79" s="285"/>
      <c r="R79" s="316"/>
      <c r="S79" s="297"/>
      <c r="T79" s="285"/>
      <c r="U79" s="316"/>
      <c r="V79" s="279"/>
      <c r="W79" s="310"/>
      <c r="X79" s="375"/>
      <c r="Y79" s="528"/>
      <c r="Z79" s="310"/>
      <c r="AA79" s="63"/>
      <c r="AB79" s="357">
        <f t="shared" si="2"/>
        <v>0</v>
      </c>
      <c r="AC79" s="382"/>
      <c r="AD79" s="153">
        <f t="shared" si="69"/>
        <v>0</v>
      </c>
      <c r="AE79" s="357">
        <f t="shared" si="70"/>
        <v>0</v>
      </c>
      <c r="AF79" s="310"/>
      <c r="AG79" s="63"/>
      <c r="AH79" s="360"/>
      <c r="AI79" s="279"/>
      <c r="AJ79" s="63"/>
      <c r="AK79" s="360"/>
      <c r="AL79" s="279"/>
      <c r="AM79" s="63"/>
      <c r="AN79" s="360"/>
      <c r="AO79" s="425"/>
      <c r="AP79" s="395"/>
      <c r="AQ79" s="334">
        <v>0</v>
      </c>
      <c r="AR79" s="161">
        <f t="shared" si="22"/>
        <v>0</v>
      </c>
      <c r="AS79" s="335">
        <f t="shared" si="5"/>
        <v>0</v>
      </c>
      <c r="AT79" s="338"/>
      <c r="AU79" s="162"/>
      <c r="AV79" s="1019"/>
      <c r="AW79" s="338"/>
      <c r="AX79" s="162"/>
      <c r="AY79" s="339"/>
      <c r="AZ79" s="540"/>
      <c r="BA79" s="338"/>
      <c r="BB79" s="162"/>
      <c r="BC79" s="339"/>
      <c r="BL79" s="617"/>
      <c r="BM79" s="621">
        <f t="shared" si="71"/>
        <v>0</v>
      </c>
      <c r="BN79" s="617"/>
      <c r="BO79" s="621">
        <f t="shared" si="73"/>
        <v>0</v>
      </c>
      <c r="BR79" s="628">
        <f t="shared" si="23"/>
        <v>0</v>
      </c>
      <c r="BS79" s="628">
        <f t="shared" si="15"/>
        <v>0</v>
      </c>
      <c r="BT79" s="535">
        <f t="shared" si="19"/>
        <v>0</v>
      </c>
      <c r="BU79" s="533"/>
      <c r="BV79" s="617"/>
      <c r="BW79" s="621">
        <f t="shared" si="72"/>
        <v>0</v>
      </c>
      <c r="BX79" s="617"/>
      <c r="BY79" s="621">
        <f t="shared" si="59"/>
        <v>0</v>
      </c>
    </row>
    <row r="80" spans="1:79" x14ac:dyDescent="0.3">
      <c r="A80" s="437" t="s">
        <v>192</v>
      </c>
      <c r="B80" s="1251">
        <v>410</v>
      </c>
      <c r="C80" s="438"/>
      <c r="D80" s="1275">
        <v>-205614792.37</v>
      </c>
      <c r="E80" s="59">
        <f>H80+W80+AQ80-AP80</f>
        <v>-205614792.37</v>
      </c>
      <c r="F80" s="410">
        <f t="shared" si="1"/>
        <v>0</v>
      </c>
      <c r="G80" s="297"/>
      <c r="H80" s="158"/>
      <c r="I80" s="298">
        <f t="shared" si="21"/>
        <v>0</v>
      </c>
      <c r="J80" s="297"/>
      <c r="K80" s="158"/>
      <c r="L80" s="298"/>
      <c r="M80" s="297"/>
      <c r="N80" s="158"/>
      <c r="O80" s="298"/>
      <c r="P80" s="297"/>
      <c r="Q80" s="285"/>
      <c r="R80" s="316"/>
      <c r="S80" s="297"/>
      <c r="T80" s="285"/>
      <c r="U80" s="316"/>
      <c r="V80" s="279">
        <v>-205614792.37</v>
      </c>
      <c r="W80" s="63">
        <v>-205614792.37</v>
      </c>
      <c r="X80" s="375"/>
      <c r="Y80" s="528"/>
      <c r="Z80" s="310"/>
      <c r="AA80" s="63"/>
      <c r="AB80" s="357">
        <f t="shared" si="2"/>
        <v>0</v>
      </c>
      <c r="AC80" s="382"/>
      <c r="AD80" s="153">
        <f t="shared" si="69"/>
        <v>0</v>
      </c>
      <c r="AE80" s="357">
        <f t="shared" si="70"/>
        <v>0</v>
      </c>
      <c r="AF80" s="310"/>
      <c r="AG80" s="63"/>
      <c r="AH80" s="360"/>
      <c r="AI80" s="279"/>
      <c r="AJ80" s="63"/>
      <c r="AK80" s="360"/>
      <c r="AL80" s="279"/>
      <c r="AM80" s="63"/>
      <c r="AN80" s="360"/>
      <c r="AO80" s="425"/>
      <c r="AP80" s="395"/>
      <c r="AQ80" s="334">
        <v>0</v>
      </c>
      <c r="AR80" s="161">
        <f t="shared" si="22"/>
        <v>0</v>
      </c>
      <c r="AS80" s="335">
        <f t="shared" si="5"/>
        <v>0</v>
      </c>
      <c r="AT80" s="338"/>
      <c r="AU80" s="162"/>
      <c r="AV80" s="1019"/>
      <c r="AW80" s="338"/>
      <c r="AX80" s="162"/>
      <c r="AY80" s="339"/>
      <c r="AZ80" s="540"/>
      <c r="BA80" s="338"/>
      <c r="BB80" s="162"/>
      <c r="BC80" s="339"/>
      <c r="BL80" s="617"/>
      <c r="BM80" s="621">
        <f t="shared" si="71"/>
        <v>0</v>
      </c>
      <c r="BN80" s="617"/>
      <c r="BO80" s="621">
        <f t="shared" si="73"/>
        <v>0</v>
      </c>
      <c r="BR80" s="628">
        <f t="shared" si="23"/>
        <v>0</v>
      </c>
      <c r="BS80" s="628">
        <f t="shared" si="15"/>
        <v>0</v>
      </c>
      <c r="BT80" s="535">
        <f t="shared" si="19"/>
        <v>0</v>
      </c>
      <c r="BU80" s="533"/>
      <c r="BV80" s="617"/>
      <c r="BW80" s="621">
        <f t="shared" si="72"/>
        <v>0</v>
      </c>
      <c r="BX80" s="617"/>
      <c r="BY80" s="621">
        <f t="shared" si="59"/>
        <v>0</v>
      </c>
    </row>
    <row r="81" spans="1:77" x14ac:dyDescent="0.3">
      <c r="A81" s="437" t="s">
        <v>193</v>
      </c>
      <c r="B81" s="1251">
        <v>420</v>
      </c>
      <c r="C81" s="438"/>
      <c r="D81" s="1275">
        <v>0</v>
      </c>
      <c r="E81" s="59">
        <f>H81+W81+AQ81+AP81</f>
        <v>0</v>
      </c>
      <c r="F81" s="410">
        <f t="shared" si="1"/>
        <v>0</v>
      </c>
      <c r="G81" s="297"/>
      <c r="H81" s="158"/>
      <c r="I81" s="298">
        <f t="shared" si="21"/>
        <v>0</v>
      </c>
      <c r="J81" s="297"/>
      <c r="K81" s="158"/>
      <c r="L81" s="298"/>
      <c r="M81" s="297"/>
      <c r="N81" s="158"/>
      <c r="O81" s="298"/>
      <c r="P81" s="297"/>
      <c r="Q81" s="285"/>
      <c r="R81" s="316"/>
      <c r="S81" s="297"/>
      <c r="T81" s="285"/>
      <c r="U81" s="316"/>
      <c r="V81" s="279"/>
      <c r="W81" s="310"/>
      <c r="X81" s="375"/>
      <c r="Y81" s="528"/>
      <c r="Z81" s="310"/>
      <c r="AA81" s="63"/>
      <c r="AB81" s="357">
        <f t="shared" si="2"/>
        <v>0</v>
      </c>
      <c r="AC81" s="382"/>
      <c r="AD81" s="153">
        <f t="shared" si="69"/>
        <v>0</v>
      </c>
      <c r="AE81" s="357">
        <f t="shared" si="70"/>
        <v>0</v>
      </c>
      <c r="AF81" s="310"/>
      <c r="AG81" s="63"/>
      <c r="AH81" s="360"/>
      <c r="AI81" s="279"/>
      <c r="AJ81" s="63"/>
      <c r="AK81" s="360"/>
      <c r="AL81" s="279"/>
      <c r="AM81" s="63"/>
      <c r="AN81" s="360"/>
      <c r="AO81" s="425"/>
      <c r="AP81" s="395"/>
      <c r="AQ81" s="334">
        <v>0</v>
      </c>
      <c r="AR81" s="161">
        <f t="shared" si="8"/>
        <v>0</v>
      </c>
      <c r="AS81" s="335">
        <f t="shared" si="5"/>
        <v>0</v>
      </c>
      <c r="AT81" s="338"/>
      <c r="AU81" s="162"/>
      <c r="AV81" s="1019"/>
      <c r="AW81" s="338"/>
      <c r="AX81" s="162"/>
      <c r="AY81" s="339"/>
      <c r="AZ81" s="540"/>
      <c r="BA81" s="338"/>
      <c r="BB81" s="162"/>
      <c r="BC81" s="339"/>
      <c r="BL81" s="617"/>
      <c r="BM81" s="621">
        <f t="shared" si="71"/>
        <v>0</v>
      </c>
      <c r="BN81" s="617"/>
      <c r="BO81" s="621">
        <f t="shared" si="73"/>
        <v>0</v>
      </c>
      <c r="BR81" s="628">
        <f t="shared" si="23"/>
        <v>0</v>
      </c>
      <c r="BS81" s="628">
        <f t="shared" si="15"/>
        <v>0</v>
      </c>
      <c r="BT81" s="535">
        <f t="shared" si="19"/>
        <v>0</v>
      </c>
      <c r="BU81" s="533"/>
      <c r="BV81" s="617"/>
      <c r="BW81" s="621">
        <f t="shared" si="72"/>
        <v>0</v>
      </c>
      <c r="BX81" s="617"/>
      <c r="BY81" s="621">
        <f t="shared" si="59"/>
        <v>0</v>
      </c>
    </row>
    <row r="82" spans="1:77" s="115" customFormat="1" ht="17.25" customHeight="1" thickBot="1" x14ac:dyDescent="0.35">
      <c r="A82" s="446" t="s">
        <v>194</v>
      </c>
      <c r="B82" s="447">
        <v>500</v>
      </c>
      <c r="C82" s="448" t="s">
        <v>149</v>
      </c>
      <c r="D82" s="1245">
        <f>G82+V82+AO82+AQ82</f>
        <v>625060898.94276321</v>
      </c>
      <c r="E82" s="412">
        <f>H82+W82+AP82+AR82</f>
        <v>625060898.94342506</v>
      </c>
      <c r="F82" s="1277"/>
      <c r="G82" s="303">
        <f>G30-G18</f>
        <v>21072590.980000019</v>
      </c>
      <c r="H82" s="304">
        <f>H30-H18</f>
        <v>21072590.983425558</v>
      </c>
      <c r="I82" s="1259"/>
      <c r="J82" s="303">
        <f>J30-J18</f>
        <v>16524140.510000005</v>
      </c>
      <c r="K82" s="303">
        <f>K30-K18</f>
        <v>16524140.50999999</v>
      </c>
      <c r="L82" s="1260"/>
      <c r="M82" s="303">
        <f>M30-M18</f>
        <v>4548450.4600000083</v>
      </c>
      <c r="N82" s="304">
        <f>N30-N18</f>
        <v>4548450.4600000083</v>
      </c>
      <c r="O82" s="1260">
        <f>N82-M82</f>
        <v>0</v>
      </c>
      <c r="P82" s="303">
        <f t="shared" ref="P82:U82" si="74">P30-P18</f>
        <v>0</v>
      </c>
      <c r="Q82" s="1257">
        <f t="shared" si="74"/>
        <v>0</v>
      </c>
      <c r="R82" s="1261">
        <f t="shared" si="74"/>
        <v>0</v>
      </c>
      <c r="S82" s="303">
        <f t="shared" si="74"/>
        <v>0</v>
      </c>
      <c r="T82" s="1258">
        <f t="shared" si="74"/>
        <v>0</v>
      </c>
      <c r="U82" s="305">
        <f t="shared" si="74"/>
        <v>0</v>
      </c>
      <c r="V82" s="1025">
        <f>V30-V18-V78</f>
        <v>593808468.51999962</v>
      </c>
      <c r="W82" s="1025">
        <f>W30-W18-W78</f>
        <v>593808468.51999962</v>
      </c>
      <c r="X82" s="1281">
        <f>W82-V82</f>
        <v>0</v>
      </c>
      <c r="Y82" s="525">
        <v>593808468.51999998</v>
      </c>
      <c r="Z82" s="63">
        <f>Z18-Z30</f>
        <v>0</v>
      </c>
      <c r="AA82" s="63">
        <f>AA18-AA30</f>
        <v>0</v>
      </c>
      <c r="AB82" s="357">
        <f>AA82-Z82</f>
        <v>0</v>
      </c>
      <c r="AC82" s="357">
        <f t="shared" ref="AC82" si="75">AB82-AA82</f>
        <v>0</v>
      </c>
      <c r="AD82" s="357">
        <f t="shared" si="69"/>
        <v>0</v>
      </c>
      <c r="AE82" s="357">
        <f>AD82-AC82</f>
        <v>0</v>
      </c>
      <c r="AF82" s="63">
        <f t="shared" ref="AF82:AG82" si="76">AF30-AF18</f>
        <v>0</v>
      </c>
      <c r="AG82" s="63">
        <f t="shared" si="76"/>
        <v>0</v>
      </c>
      <c r="AH82" s="63">
        <f>AH30-AH18</f>
        <v>0</v>
      </c>
      <c r="AI82" s="357">
        <f t="shared" ref="AI82:AJ82" si="77">AH82-AG82</f>
        <v>0</v>
      </c>
      <c r="AJ82" s="357">
        <f t="shared" si="77"/>
        <v>0</v>
      </c>
      <c r="AK82" s="357">
        <f>AJ82-AI82</f>
        <v>0</v>
      </c>
      <c r="AL82" s="357">
        <f t="shared" ref="AL82:AM82" si="78">AK82-AJ82</f>
        <v>0</v>
      </c>
      <c r="AM82" s="357">
        <f t="shared" si="78"/>
        <v>0</v>
      </c>
      <c r="AN82" s="357">
        <f>AM82-AL82</f>
        <v>0</v>
      </c>
      <c r="AO82" s="422">
        <v>0</v>
      </c>
      <c r="AP82" s="395"/>
      <c r="AQ82" s="344">
        <v>10179839.442763567</v>
      </c>
      <c r="AR82" s="345">
        <f t="shared" ref="AR82" si="79">AR30-AR18</f>
        <v>10179839.439999938</v>
      </c>
      <c r="AS82" s="1270"/>
      <c r="AT82" s="344">
        <v>9808185.4527635574</v>
      </c>
      <c r="AU82" s="390">
        <f>AU30-AU18</f>
        <v>9808185.4499999881</v>
      </c>
      <c r="AV82" s="1265">
        <f>AV30-AV18</f>
        <v>0</v>
      </c>
      <c r="AW82" s="344">
        <f>AW30-AW18</f>
        <v>371653.99000000209</v>
      </c>
      <c r="AX82" s="390">
        <f>AX30-AX18</f>
        <v>371653.99000000954</v>
      </c>
      <c r="AY82" s="1265">
        <f t="shared" ref="AY82" si="80">AY30-AY18</f>
        <v>0</v>
      </c>
      <c r="AZ82" s="545">
        <v>0</v>
      </c>
      <c r="BA82" s="344"/>
      <c r="BB82" s="390">
        <f t="shared" ref="BB82:BC82" si="81">BB30-BB18</f>
        <v>0</v>
      </c>
      <c r="BC82" s="1269">
        <f t="shared" si="81"/>
        <v>0</v>
      </c>
      <c r="BL82" s="619"/>
      <c r="BM82" s="620"/>
      <c r="BN82" s="617">
        <v>1222485.57</v>
      </c>
      <c r="BO82" s="621">
        <f t="shared" si="73"/>
        <v>-1222485.57</v>
      </c>
      <c r="BR82" s="632">
        <f>BR30-BR18</f>
        <v>10179839.435000002</v>
      </c>
      <c r="BS82" s="632">
        <f>BS30-BS18</f>
        <v>-12791385.120000064</v>
      </c>
      <c r="BT82" s="632"/>
      <c r="BU82" s="632">
        <f t="shared" ref="BU82" si="82">BU30-BU18</f>
        <v>-4989655.8849999905</v>
      </c>
      <c r="BV82" s="619"/>
      <c r="BW82" s="620"/>
      <c r="BX82" s="617">
        <v>1222485.57</v>
      </c>
      <c r="BY82" s="621">
        <f t="shared" si="59"/>
        <v>-850831.57999999798</v>
      </c>
    </row>
    <row r="83" spans="1:77" s="115" customFormat="1" ht="19.5" hidden="1" thickBot="1" x14ac:dyDescent="0.35">
      <c r="A83" s="1278" t="s">
        <v>195</v>
      </c>
      <c r="B83" s="1279">
        <v>600</v>
      </c>
      <c r="C83" s="1280" t="s">
        <v>149</v>
      </c>
      <c r="D83" s="1271">
        <f>D82+D18-D30+D78</f>
        <v>-2.2369623184204102E-3</v>
      </c>
      <c r="E83" s="1272">
        <f>E82+E18-E30+E78</f>
        <v>3.5762786865234375E-7</v>
      </c>
      <c r="F83" s="1273">
        <f t="shared" ref="F83" si="83">E83-D83</f>
        <v>2.2373199462890625E-3</v>
      </c>
      <c r="G83" s="1238">
        <f>G18+G82-G30</f>
        <v>0</v>
      </c>
      <c r="H83" s="1239">
        <f>H18+H82-H30</f>
        <v>0</v>
      </c>
      <c r="I83" s="1240">
        <f t="shared" ref="I83:AJ83" si="84">I18+I82-I30</f>
        <v>-3.4255385398864746E-3</v>
      </c>
      <c r="J83" s="1249">
        <f t="shared" si="84"/>
        <v>0</v>
      </c>
      <c r="K83" s="1249"/>
      <c r="L83" s="1242"/>
      <c r="M83" s="1238">
        <f t="shared" si="84"/>
        <v>0</v>
      </c>
      <c r="N83" s="1239">
        <f t="shared" si="84"/>
        <v>0</v>
      </c>
      <c r="O83" s="1239">
        <f t="shared" si="84"/>
        <v>0</v>
      </c>
      <c r="P83" s="1241">
        <f t="shared" si="84"/>
        <v>0</v>
      </c>
      <c r="Q83" s="1239">
        <f t="shared" si="84"/>
        <v>0</v>
      </c>
      <c r="R83" s="1242"/>
      <c r="S83" s="370"/>
      <c r="T83" s="370"/>
      <c r="U83" s="370"/>
      <c r="V83" s="1246">
        <f>V82+V18-V30+V78</f>
        <v>0</v>
      </c>
      <c r="W83" s="1247">
        <f>W82+W18-W30+W78</f>
        <v>0</v>
      </c>
      <c r="X83" s="1066">
        <f t="shared" si="84"/>
        <v>0</v>
      </c>
      <c r="Y83" s="530">
        <f>Y18+Y82-Y30+Y78</f>
        <v>205614792.37</v>
      </c>
      <c r="Z83" s="388">
        <f t="shared" si="84"/>
        <v>0</v>
      </c>
      <c r="AA83" s="388">
        <f>AA18+AA82-AA30</f>
        <v>0</v>
      </c>
      <c r="AB83" s="362">
        <f t="shared" ref="AB83" si="85">AA83-Z83</f>
        <v>0</v>
      </c>
      <c r="AC83" s="376">
        <f t="shared" si="84"/>
        <v>0</v>
      </c>
      <c r="AD83" s="388">
        <f t="shared" si="84"/>
        <v>1.1920928955078125E-7</v>
      </c>
      <c r="AE83" s="362">
        <f t="shared" si="84"/>
        <v>0</v>
      </c>
      <c r="AF83" s="388">
        <f t="shared" si="84"/>
        <v>0</v>
      </c>
      <c r="AG83" s="388">
        <f t="shared" si="84"/>
        <v>0</v>
      </c>
      <c r="AH83" s="388">
        <f t="shared" si="84"/>
        <v>0</v>
      </c>
      <c r="AI83" s="281">
        <v>0</v>
      </c>
      <c r="AJ83" s="388">
        <f t="shared" si="84"/>
        <v>0</v>
      </c>
      <c r="AK83" s="362">
        <f t="shared" ref="AK83" si="86">AJ83-AI83</f>
        <v>0</v>
      </c>
      <c r="AL83" s="281"/>
      <c r="AM83" s="388">
        <f>AM18+AM82-AM30</f>
        <v>9.9999997764825821E-3</v>
      </c>
      <c r="AN83" s="362">
        <f t="shared" ref="AN83" si="87">AM83-AL83</f>
        <v>9.9999997764825821E-3</v>
      </c>
      <c r="AO83" s="428">
        <f t="shared" ref="AO83:AZ83" si="88">AO18+AO82-AO30</f>
        <v>0</v>
      </c>
      <c r="AP83" s="399">
        <f t="shared" si="88"/>
        <v>0</v>
      </c>
      <c r="AQ83" s="1262">
        <v>0</v>
      </c>
      <c r="AR83" s="1263">
        <f>AR18+AR82-AR30</f>
        <v>0</v>
      </c>
      <c r="AS83" s="1266">
        <f t="shared" ref="AS83:AX83" si="89">AS18+AS82-AS30</f>
        <v>-4.9999356269836426E-3</v>
      </c>
      <c r="AT83" s="1262">
        <v>0</v>
      </c>
      <c r="AU83" s="1263">
        <f t="shared" si="89"/>
        <v>0</v>
      </c>
      <c r="AV83" s="1264">
        <f t="shared" si="89"/>
        <v>0</v>
      </c>
      <c r="AW83" s="1267">
        <v>0</v>
      </c>
      <c r="AX83" s="1263">
        <f t="shared" si="89"/>
        <v>0</v>
      </c>
      <c r="AY83" s="1264"/>
      <c r="AZ83" s="1268">
        <f t="shared" si="88"/>
        <v>0</v>
      </c>
      <c r="BA83" s="1267">
        <v>0</v>
      </c>
      <c r="BB83" s="1263">
        <f t="shared" ref="BB83" si="90">BB18+BB82-BB30</f>
        <v>0</v>
      </c>
      <c r="BC83" s="1264"/>
      <c r="BL83" s="623">
        <f>BL30</f>
        <v>0</v>
      </c>
      <c r="BM83" s="624">
        <f>SUM(BM33:BM81)</f>
        <v>15071900</v>
      </c>
      <c r="BN83" s="623">
        <f>BN30</f>
        <v>69438047.340000004</v>
      </c>
      <c r="BO83" s="624">
        <f>SUM(BO33:BO81)</f>
        <v>-77779061.369999975</v>
      </c>
      <c r="BR83" s="628">
        <f t="shared" si="23"/>
        <v>0</v>
      </c>
      <c r="BS83" s="628"/>
      <c r="BT83" s="604"/>
      <c r="BU83" s="531"/>
      <c r="BV83" s="623">
        <f>BV30</f>
        <v>262223617.94999999</v>
      </c>
      <c r="BW83" s="624">
        <f>SUM(BW33:BW81)</f>
        <v>124216264.25</v>
      </c>
      <c r="BX83" s="623">
        <f>BX30</f>
        <v>69438047.340000004</v>
      </c>
      <c r="BY83" s="624">
        <f>SUM(BY33:BY81)</f>
        <v>-15086122.66</v>
      </c>
    </row>
    <row r="84" spans="1:77" s="115" customFormat="1" ht="19.5" hidden="1" customHeight="1" thickBot="1" x14ac:dyDescent="0.35">
      <c r="A84" s="463"/>
      <c r="B84" s="464"/>
      <c r="C84" s="465"/>
      <c r="D84" s="466"/>
      <c r="E84" s="466"/>
      <c r="F84" s="466"/>
      <c r="G84" s="466"/>
      <c r="H84" s="466"/>
      <c r="I84" s="471"/>
      <c r="J84" s="466"/>
      <c r="K84" s="466"/>
      <c r="L84" s="466"/>
      <c r="M84" s="466"/>
      <c r="N84" s="466"/>
      <c r="O84" s="466"/>
      <c r="P84" s="466"/>
      <c r="Q84" s="466"/>
      <c r="R84" s="466"/>
      <c r="S84" s="466"/>
      <c r="T84" s="466"/>
      <c r="U84" s="466"/>
      <c r="V84" s="466"/>
      <c r="W84" s="466"/>
      <c r="X84" s="466"/>
      <c r="Y84" s="466"/>
      <c r="Z84" s="466"/>
      <c r="AA84" s="466"/>
      <c r="AB84" s="466"/>
      <c r="AC84" s="466"/>
      <c r="AD84" s="466"/>
      <c r="AE84" s="466"/>
      <c r="AF84" s="466"/>
      <c r="AG84" s="466"/>
      <c r="AH84" s="466"/>
      <c r="AI84" s="466"/>
      <c r="AJ84" s="466"/>
      <c r="AK84" s="466"/>
      <c r="AL84" s="466"/>
      <c r="AM84" s="466"/>
      <c r="AN84" s="466"/>
      <c r="AO84" s="466"/>
      <c r="AP84" s="466"/>
      <c r="AQ84" s="466"/>
      <c r="AR84" s="466"/>
      <c r="AS84" s="466"/>
      <c r="AT84" s="466"/>
      <c r="AU84" s="466"/>
      <c r="AV84" s="466"/>
      <c r="AW84" s="466"/>
      <c r="AX84" s="466"/>
      <c r="AY84" s="466"/>
      <c r="AZ84" s="466"/>
      <c r="BA84" s="466"/>
      <c r="BB84" s="466"/>
      <c r="BC84" s="466"/>
      <c r="BR84" s="604"/>
      <c r="BS84" s="604"/>
      <c r="BT84" s="604"/>
      <c r="BU84" s="531"/>
      <c r="BV84" s="607"/>
    </row>
    <row r="85" spans="1:77" s="115" customFormat="1" hidden="1" x14ac:dyDescent="0.3">
      <c r="A85" s="463"/>
      <c r="B85" s="464"/>
      <c r="C85" s="465"/>
      <c r="D85" s="157">
        <f>D30-D18</f>
        <v>419446106.57500029</v>
      </c>
      <c r="E85" s="157">
        <f t="shared" ref="E85:AZ85" si="91">E30-E18</f>
        <v>419446106.57342482</v>
      </c>
      <c r="F85" s="157">
        <f t="shared" si="91"/>
        <v>-1.575469970703125E-3</v>
      </c>
      <c r="G85" s="157">
        <f t="shared" si="91"/>
        <v>21072590.980000019</v>
      </c>
      <c r="H85" s="157">
        <f t="shared" si="91"/>
        <v>21072590.983425558</v>
      </c>
      <c r="I85" s="157">
        <f t="shared" si="91"/>
        <v>3.4255385398864746E-3</v>
      </c>
      <c r="J85" s="157">
        <f t="shared" si="91"/>
        <v>16524140.510000005</v>
      </c>
      <c r="K85" s="157"/>
      <c r="L85" s="157"/>
      <c r="M85" s="157">
        <f t="shared" si="91"/>
        <v>4548450.4600000083</v>
      </c>
      <c r="N85" s="157">
        <f t="shared" si="91"/>
        <v>4548450.4600000083</v>
      </c>
      <c r="O85" s="157">
        <f t="shared" si="91"/>
        <v>0</v>
      </c>
      <c r="P85" s="157">
        <f t="shared" si="91"/>
        <v>0</v>
      </c>
      <c r="Q85" s="157">
        <f t="shared" si="91"/>
        <v>0</v>
      </c>
      <c r="R85" s="157">
        <f t="shared" si="91"/>
        <v>0</v>
      </c>
      <c r="S85" s="157"/>
      <c r="T85" s="157"/>
      <c r="U85" s="157"/>
      <c r="V85" s="157">
        <f t="shared" si="91"/>
        <v>388193676.14999962</v>
      </c>
      <c r="W85" s="157">
        <f t="shared" si="91"/>
        <v>388193676.14999962</v>
      </c>
      <c r="X85" s="157">
        <f t="shared" si="91"/>
        <v>0</v>
      </c>
      <c r="Y85" s="157">
        <f t="shared" si="91"/>
        <v>388193676.14999998</v>
      </c>
      <c r="Z85" s="157">
        <f t="shared" si="91"/>
        <v>0</v>
      </c>
      <c r="AA85" s="157">
        <f t="shared" si="91"/>
        <v>0</v>
      </c>
      <c r="AB85" s="157">
        <f t="shared" si="91"/>
        <v>0</v>
      </c>
      <c r="AC85" s="157">
        <f t="shared" si="91"/>
        <v>0</v>
      </c>
      <c r="AD85" s="157">
        <f t="shared" si="91"/>
        <v>-1.1920928955078125E-7</v>
      </c>
      <c r="AE85" s="157">
        <f t="shared" si="91"/>
        <v>0</v>
      </c>
      <c r="AF85" s="157">
        <f t="shared" si="91"/>
        <v>0</v>
      </c>
      <c r="AG85" s="157">
        <f t="shared" si="91"/>
        <v>0</v>
      </c>
      <c r="AH85" s="157">
        <f t="shared" si="91"/>
        <v>0</v>
      </c>
      <c r="AI85" s="157"/>
      <c r="AJ85" s="157"/>
      <c r="AK85" s="157"/>
      <c r="AL85" s="157"/>
      <c r="AM85" s="157"/>
      <c r="AN85" s="157"/>
      <c r="AO85" s="157">
        <f t="shared" si="91"/>
        <v>0</v>
      </c>
      <c r="AP85" s="157">
        <f t="shared" si="91"/>
        <v>0</v>
      </c>
      <c r="AQ85" s="157">
        <f t="shared" si="91"/>
        <v>10179839.435000002</v>
      </c>
      <c r="AR85" s="157">
        <f t="shared" si="91"/>
        <v>10179839.439999938</v>
      </c>
      <c r="AS85" s="157">
        <f t="shared" si="91"/>
        <v>4.9999356269836426E-3</v>
      </c>
      <c r="AT85" s="157">
        <f t="shared" si="91"/>
        <v>9808185.4499999881</v>
      </c>
      <c r="AU85" s="157">
        <f t="shared" si="91"/>
        <v>9808185.4499999881</v>
      </c>
      <c r="AV85" s="157">
        <f t="shared" si="91"/>
        <v>0</v>
      </c>
      <c r="AW85" s="157">
        <f t="shared" si="91"/>
        <v>371653.99000000209</v>
      </c>
      <c r="AX85" s="157">
        <f t="shared" si="91"/>
        <v>371653.99000000954</v>
      </c>
      <c r="AY85" s="157">
        <f t="shared" si="91"/>
        <v>0</v>
      </c>
      <c r="AZ85" s="157">
        <f t="shared" si="91"/>
        <v>0</v>
      </c>
      <c r="BA85" s="467"/>
      <c r="BB85" s="467"/>
      <c r="BC85" s="467"/>
      <c r="BR85" s="604"/>
      <c r="BS85" s="604"/>
      <c r="BT85" s="604"/>
      <c r="BU85" s="531"/>
      <c r="BV85" s="607"/>
    </row>
    <row r="86" spans="1:77" s="115" customFormat="1" hidden="1" x14ac:dyDescent="0.3">
      <c r="A86" s="463"/>
      <c r="B86" s="464"/>
      <c r="C86" s="465"/>
      <c r="D86" s="466">
        <f>D85+D83</f>
        <v>419446106.57276332</v>
      </c>
      <c r="E86" s="466">
        <f t="shared" ref="E86:AZ86" si="92">E85+E83</f>
        <v>419446106.57342517</v>
      </c>
      <c r="F86" s="466">
        <f t="shared" si="92"/>
        <v>6.618499755859375E-4</v>
      </c>
      <c r="G86" s="466">
        <f t="shared" si="92"/>
        <v>21072590.980000019</v>
      </c>
      <c r="H86" s="466">
        <f t="shared" si="92"/>
        <v>21072590.983425558</v>
      </c>
      <c r="I86" s="466">
        <f t="shared" si="92"/>
        <v>0</v>
      </c>
      <c r="J86" s="466">
        <f t="shared" si="92"/>
        <v>16524140.510000005</v>
      </c>
      <c r="K86" s="466"/>
      <c r="L86" s="466"/>
      <c r="M86" s="466">
        <f t="shared" si="92"/>
        <v>4548450.4600000083</v>
      </c>
      <c r="N86" s="466">
        <f t="shared" si="92"/>
        <v>4548450.4600000083</v>
      </c>
      <c r="O86" s="466">
        <f t="shared" si="92"/>
        <v>0</v>
      </c>
      <c r="P86" s="466">
        <f t="shared" si="92"/>
        <v>0</v>
      </c>
      <c r="Q86" s="466">
        <f t="shared" si="92"/>
        <v>0</v>
      </c>
      <c r="R86" s="466">
        <f t="shared" si="92"/>
        <v>0</v>
      </c>
      <c r="S86" s="466"/>
      <c r="T86" s="466"/>
      <c r="U86" s="466"/>
      <c r="V86" s="466">
        <f t="shared" si="92"/>
        <v>388193676.14999962</v>
      </c>
      <c r="W86" s="466">
        <f t="shared" si="92"/>
        <v>388193676.14999962</v>
      </c>
      <c r="X86" s="466">
        <f t="shared" si="92"/>
        <v>0</v>
      </c>
      <c r="Y86" s="466">
        <f t="shared" si="92"/>
        <v>593808468.51999998</v>
      </c>
      <c r="Z86" s="466">
        <f t="shared" si="92"/>
        <v>0</v>
      </c>
      <c r="AA86" s="466">
        <f t="shared" si="92"/>
        <v>0</v>
      </c>
      <c r="AB86" s="466">
        <f t="shared" si="92"/>
        <v>0</v>
      </c>
      <c r="AC86" s="466">
        <f t="shared" si="92"/>
        <v>0</v>
      </c>
      <c r="AD86" s="466">
        <f t="shared" si="92"/>
        <v>0</v>
      </c>
      <c r="AE86" s="466">
        <f t="shared" si="92"/>
        <v>0</v>
      </c>
      <c r="AF86" s="466">
        <f t="shared" si="92"/>
        <v>0</v>
      </c>
      <c r="AG86" s="466">
        <f t="shared" si="92"/>
        <v>0</v>
      </c>
      <c r="AH86" s="466">
        <f t="shared" si="92"/>
        <v>0</v>
      </c>
      <c r="AI86" s="466"/>
      <c r="AJ86" s="466"/>
      <c r="AK86" s="466"/>
      <c r="AL86" s="466"/>
      <c r="AM86" s="466"/>
      <c r="AN86" s="466"/>
      <c r="AO86" s="466">
        <f t="shared" si="92"/>
        <v>0</v>
      </c>
      <c r="AP86" s="466">
        <f t="shared" si="92"/>
        <v>0</v>
      </c>
      <c r="AQ86" s="466">
        <f t="shared" si="92"/>
        <v>10179839.435000002</v>
      </c>
      <c r="AR86" s="466">
        <f t="shared" si="92"/>
        <v>10179839.439999938</v>
      </c>
      <c r="AS86" s="466">
        <f t="shared" si="92"/>
        <v>0</v>
      </c>
      <c r="AT86" s="466">
        <f t="shared" si="92"/>
        <v>9808185.4499999881</v>
      </c>
      <c r="AU86" s="466">
        <f t="shared" si="92"/>
        <v>9808185.4499999881</v>
      </c>
      <c r="AV86" s="466">
        <f t="shared" si="92"/>
        <v>0</v>
      </c>
      <c r="AW86" s="466">
        <f t="shared" si="92"/>
        <v>371653.99000000209</v>
      </c>
      <c r="AX86" s="466">
        <f t="shared" si="92"/>
        <v>371653.99000000954</v>
      </c>
      <c r="AY86" s="466">
        <f t="shared" si="92"/>
        <v>0</v>
      </c>
      <c r="AZ86" s="466">
        <f t="shared" si="92"/>
        <v>0</v>
      </c>
      <c r="BA86" s="466"/>
      <c r="BB86" s="466"/>
      <c r="BC86" s="466"/>
      <c r="BR86" s="604"/>
      <c r="BS86" s="604"/>
      <c r="BT86" s="604"/>
      <c r="BU86" s="531"/>
      <c r="BV86" s="607"/>
    </row>
    <row r="87" spans="1:77" s="115" customFormat="1" hidden="1" x14ac:dyDescent="0.3">
      <c r="A87" s="463"/>
      <c r="B87" s="464"/>
      <c r="C87" s="465"/>
      <c r="D87" s="466" t="b">
        <f>D82=D86</f>
        <v>0</v>
      </c>
      <c r="E87" s="466" t="b">
        <f t="shared" ref="E87:AZ87" si="93">E82=E86</f>
        <v>0</v>
      </c>
      <c r="F87" s="466" t="b">
        <f t="shared" si="93"/>
        <v>0</v>
      </c>
      <c r="G87" s="466" t="b">
        <f t="shared" si="93"/>
        <v>1</v>
      </c>
      <c r="H87" s="466" t="b">
        <f t="shared" si="93"/>
        <v>1</v>
      </c>
      <c r="I87" s="466" t="b">
        <f t="shared" si="93"/>
        <v>1</v>
      </c>
      <c r="J87" s="466" t="b">
        <f t="shared" si="93"/>
        <v>1</v>
      </c>
      <c r="K87" s="466"/>
      <c r="L87" s="466"/>
      <c r="M87" s="466" t="b">
        <f t="shared" si="93"/>
        <v>1</v>
      </c>
      <c r="N87" s="466" t="b">
        <f t="shared" si="93"/>
        <v>1</v>
      </c>
      <c r="O87" s="466" t="b">
        <f t="shared" si="93"/>
        <v>1</v>
      </c>
      <c r="P87" s="466" t="b">
        <f t="shared" si="93"/>
        <v>1</v>
      </c>
      <c r="Q87" s="466" t="b">
        <f t="shared" si="93"/>
        <v>1</v>
      </c>
      <c r="R87" s="466" t="b">
        <f t="shared" si="93"/>
        <v>1</v>
      </c>
      <c r="S87" s="466"/>
      <c r="T87" s="466"/>
      <c r="U87" s="466"/>
      <c r="V87" s="466" t="b">
        <f t="shared" si="93"/>
        <v>0</v>
      </c>
      <c r="W87" s="466" t="b">
        <f t="shared" si="93"/>
        <v>0</v>
      </c>
      <c r="X87" s="466" t="b">
        <f t="shared" si="93"/>
        <v>1</v>
      </c>
      <c r="Y87" s="466" t="b">
        <f t="shared" si="93"/>
        <v>1</v>
      </c>
      <c r="Z87" s="466" t="b">
        <f t="shared" si="93"/>
        <v>1</v>
      </c>
      <c r="AA87" s="466" t="b">
        <f t="shared" si="93"/>
        <v>1</v>
      </c>
      <c r="AB87" s="466" t="b">
        <f t="shared" si="93"/>
        <v>1</v>
      </c>
      <c r="AC87" s="466" t="b">
        <f t="shared" si="93"/>
        <v>1</v>
      </c>
      <c r="AD87" s="466" t="b">
        <f t="shared" si="93"/>
        <v>1</v>
      </c>
      <c r="AE87" s="466" t="b">
        <f t="shared" si="93"/>
        <v>1</v>
      </c>
      <c r="AF87" s="466" t="b">
        <f t="shared" si="93"/>
        <v>1</v>
      </c>
      <c r="AG87" s="466" t="b">
        <f t="shared" si="93"/>
        <v>1</v>
      </c>
      <c r="AH87" s="466" t="b">
        <f t="shared" si="93"/>
        <v>1</v>
      </c>
      <c r="AI87" s="466"/>
      <c r="AJ87" s="466"/>
      <c r="AK87" s="466"/>
      <c r="AL87" s="466"/>
      <c r="AM87" s="466"/>
      <c r="AN87" s="466"/>
      <c r="AO87" s="466" t="b">
        <f t="shared" si="93"/>
        <v>1</v>
      </c>
      <c r="AP87" s="466" t="b">
        <f t="shared" si="93"/>
        <v>1</v>
      </c>
      <c r="AQ87" s="466" t="b">
        <f t="shared" si="93"/>
        <v>0</v>
      </c>
      <c r="AR87" s="466" t="b">
        <f t="shared" si="93"/>
        <v>1</v>
      </c>
      <c r="AS87" s="466" t="b">
        <f t="shared" si="93"/>
        <v>1</v>
      </c>
      <c r="AT87" s="466" t="b">
        <f t="shared" si="93"/>
        <v>0</v>
      </c>
      <c r="AU87" s="466" t="b">
        <f t="shared" si="93"/>
        <v>1</v>
      </c>
      <c r="AV87" s="466" t="b">
        <f t="shared" si="93"/>
        <v>1</v>
      </c>
      <c r="AW87" s="466" t="b">
        <f t="shared" si="93"/>
        <v>1</v>
      </c>
      <c r="AX87" s="466" t="b">
        <f t="shared" si="93"/>
        <v>1</v>
      </c>
      <c r="AY87" s="466" t="b">
        <f t="shared" si="93"/>
        <v>1</v>
      </c>
      <c r="AZ87" s="466" t="b">
        <f t="shared" si="93"/>
        <v>1</v>
      </c>
      <c r="BA87" s="466"/>
      <c r="BB87" s="466"/>
      <c r="BC87" s="466"/>
      <c r="BR87" s="604"/>
      <c r="BS87" s="604"/>
      <c r="BT87" s="604"/>
      <c r="BU87" s="531"/>
      <c r="BV87" s="607"/>
    </row>
    <row r="88" spans="1:77" s="115" customFormat="1" hidden="1" x14ac:dyDescent="0.3">
      <c r="A88" s="463"/>
      <c r="B88" s="464"/>
      <c r="C88" s="465"/>
      <c r="D88" s="466"/>
      <c r="E88" s="466">
        <f>E30-E18</f>
        <v>419446106.57342482</v>
      </c>
      <c r="F88" s="466"/>
      <c r="G88" s="466"/>
      <c r="H88" s="466"/>
      <c r="I88" s="466"/>
      <c r="J88" s="466"/>
      <c r="K88" s="466"/>
      <c r="L88" s="466"/>
      <c r="M88" s="466"/>
      <c r="N88" s="466"/>
      <c r="O88" s="466"/>
      <c r="P88" s="466"/>
      <c r="Q88" s="466"/>
      <c r="R88" s="466"/>
      <c r="S88" s="466"/>
      <c r="T88" s="466"/>
      <c r="U88" s="466"/>
      <c r="V88" s="466"/>
      <c r="W88" s="466"/>
      <c r="X88" s="466"/>
      <c r="Y88" s="466"/>
      <c r="Z88" s="466"/>
      <c r="AA88" s="466"/>
      <c r="AB88" s="466"/>
      <c r="AC88" s="466"/>
      <c r="AD88" s="466"/>
      <c r="AE88" s="466"/>
      <c r="AF88" s="466"/>
      <c r="AG88" s="466"/>
      <c r="AH88" s="466"/>
      <c r="AI88" s="466"/>
      <c r="AJ88" s="466"/>
      <c r="AK88" s="466"/>
      <c r="AL88" s="466"/>
      <c r="AM88" s="466"/>
      <c r="AN88" s="466"/>
      <c r="AO88" s="466"/>
      <c r="AP88" s="466"/>
      <c r="AQ88" s="466"/>
      <c r="AR88" s="466"/>
      <c r="AS88" s="466"/>
      <c r="AT88" s="466"/>
      <c r="AU88" s="466"/>
      <c r="AV88" s="466"/>
      <c r="AW88" s="466"/>
      <c r="AX88" s="466"/>
      <c r="AY88" s="466"/>
      <c r="AZ88" s="466"/>
      <c r="BA88" s="466"/>
      <c r="BB88" s="466"/>
      <c r="BC88" s="466"/>
      <c r="BR88" s="604"/>
      <c r="BS88" s="604"/>
      <c r="BT88" s="604"/>
      <c r="BU88" s="531"/>
      <c r="BV88" s="607"/>
    </row>
    <row r="89" spans="1:77" s="115" customFormat="1" hidden="1" x14ac:dyDescent="0.3">
      <c r="A89" s="463"/>
      <c r="B89" s="464"/>
      <c r="C89" s="465"/>
      <c r="D89" s="466"/>
      <c r="E89" s="466"/>
      <c r="F89" s="466"/>
      <c r="G89" s="466"/>
      <c r="H89" s="466"/>
      <c r="I89" s="466"/>
      <c r="J89" s="466"/>
      <c r="K89" s="466"/>
      <c r="L89" s="466"/>
      <c r="M89" s="466"/>
      <c r="N89" s="466"/>
      <c r="O89" s="466"/>
      <c r="P89" s="466"/>
      <c r="Q89" s="466"/>
      <c r="R89" s="466"/>
      <c r="S89" s="466"/>
      <c r="T89" s="466"/>
      <c r="U89" s="466"/>
      <c r="V89" s="466"/>
      <c r="W89" s="466"/>
      <c r="X89" s="466"/>
      <c r="Y89" s="466"/>
      <c r="Z89" s="466"/>
      <c r="AA89" s="466">
        <v>824053700</v>
      </c>
      <c r="AB89" s="466"/>
      <c r="AC89" s="466"/>
      <c r="AD89" s="466"/>
      <c r="AE89" s="466"/>
      <c r="AF89" s="466"/>
      <c r="AG89" s="466"/>
      <c r="AH89" s="466"/>
      <c r="AI89" s="466"/>
      <c r="AJ89" s="466"/>
      <c r="AK89" s="466"/>
      <c r="AL89" s="466"/>
      <c r="AM89" s="466"/>
      <c r="AN89" s="466"/>
      <c r="AO89" s="466"/>
      <c r="AP89" s="466"/>
      <c r="AQ89" s="466"/>
      <c r="AR89" s="466"/>
      <c r="AS89" s="466"/>
      <c r="AT89" s="466"/>
      <c r="AU89" s="466">
        <f>AT82-AU82</f>
        <v>2.7635693550109863E-3</v>
      </c>
      <c r="AV89" s="466"/>
      <c r="AW89" s="466"/>
      <c r="AX89" s="466"/>
      <c r="AY89" s="466"/>
      <c r="AZ89" s="466"/>
      <c r="BA89" s="466"/>
      <c r="BB89" s="466"/>
      <c r="BC89" s="466"/>
      <c r="BR89" s="604"/>
      <c r="BS89" s="604"/>
      <c r="BT89" s="604"/>
      <c r="BU89" s="531"/>
      <c r="BV89" s="607"/>
    </row>
    <row r="90" spans="1:77" s="115" customFormat="1" hidden="1" x14ac:dyDescent="0.3">
      <c r="A90" s="463"/>
      <c r="B90" s="464"/>
      <c r="C90" s="465"/>
      <c r="D90" s="466"/>
      <c r="E90" s="466"/>
      <c r="F90" s="466">
        <f>F18-F30</f>
        <v>1.575469970703125E-3</v>
      </c>
      <c r="G90" s="466"/>
      <c r="H90" s="466"/>
      <c r="I90" s="466"/>
      <c r="J90" s="466"/>
      <c r="K90" s="466"/>
      <c r="L90" s="466"/>
      <c r="M90" s="466"/>
      <c r="N90" s="466"/>
      <c r="O90" s="466"/>
      <c r="P90" s="466"/>
      <c r="Q90" s="466"/>
      <c r="R90" s="466"/>
      <c r="S90" s="466"/>
      <c r="T90" s="466"/>
      <c r="U90" s="466"/>
      <c r="V90" s="466"/>
      <c r="W90" s="466"/>
      <c r="X90" s="466"/>
      <c r="Y90" s="466"/>
      <c r="Z90" s="466"/>
      <c r="AA90" s="466">
        <f>AA89-AC18-AF18-1896500.82-6372300</f>
        <v>786775320.70999992</v>
      </c>
      <c r="AB90" s="466"/>
      <c r="AC90" s="466"/>
      <c r="AD90" s="466"/>
      <c r="AE90" s="466"/>
      <c r="AF90" s="466"/>
      <c r="AG90" s="466"/>
      <c r="AH90" s="466"/>
      <c r="AI90" s="466"/>
      <c r="AJ90" s="466"/>
      <c r="AK90" s="466"/>
      <c r="AL90" s="466"/>
      <c r="AM90" s="466"/>
      <c r="AN90" s="466"/>
      <c r="AO90" s="466"/>
      <c r="AP90" s="466"/>
      <c r="AQ90" s="466"/>
      <c r="AR90" s="466"/>
      <c r="AS90" s="466"/>
      <c r="AT90" s="466"/>
      <c r="AU90" s="466"/>
      <c r="AV90" s="466"/>
      <c r="AW90" s="466"/>
      <c r="AX90" s="466"/>
      <c r="AY90" s="466"/>
      <c r="AZ90" s="466"/>
      <c r="BA90" s="466"/>
      <c r="BB90" s="466"/>
      <c r="BC90" s="466"/>
      <c r="BR90" s="604"/>
      <c r="BS90" s="604"/>
      <c r="BT90" s="604"/>
      <c r="BU90" s="531"/>
      <c r="BV90" s="607"/>
    </row>
    <row r="91" spans="1:77" s="115" customFormat="1" hidden="1" x14ac:dyDescent="0.3">
      <c r="A91" s="463"/>
      <c r="B91" s="464"/>
      <c r="C91" s="465"/>
      <c r="D91" s="466"/>
      <c r="E91" s="466"/>
      <c r="F91" s="466" t="b">
        <f>F83=F90</f>
        <v>0</v>
      </c>
      <c r="G91" s="466"/>
      <c r="H91" s="466"/>
      <c r="I91" s="466"/>
      <c r="J91" s="466"/>
      <c r="K91" s="466"/>
      <c r="L91" s="466"/>
      <c r="M91" s="466"/>
      <c r="N91" s="466"/>
      <c r="O91" s="466"/>
      <c r="P91" s="466"/>
      <c r="Q91" s="466"/>
      <c r="R91" s="466"/>
      <c r="S91" s="466"/>
      <c r="T91" s="466"/>
      <c r="U91" s="466"/>
      <c r="V91" s="466"/>
      <c r="W91" s="466"/>
      <c r="X91" s="466"/>
      <c r="Y91" s="466"/>
      <c r="Z91" s="466"/>
      <c r="AA91" s="466"/>
      <c r="AB91" s="466"/>
      <c r="AC91" s="466"/>
      <c r="AD91" s="466"/>
      <c r="AE91" s="466"/>
      <c r="AF91" s="466"/>
      <c r="AG91" s="466"/>
      <c r="AH91" s="466"/>
      <c r="AI91" s="466"/>
      <c r="AJ91" s="466"/>
      <c r="AK91" s="466"/>
      <c r="AL91" s="466"/>
      <c r="AM91" s="466"/>
      <c r="AN91" s="466"/>
      <c r="AO91" s="466"/>
      <c r="AP91" s="466"/>
      <c r="AQ91" s="466"/>
      <c r="AR91" s="466"/>
      <c r="AS91" s="466"/>
      <c r="AT91" s="466"/>
      <c r="AU91" s="466"/>
      <c r="AV91" s="466"/>
      <c r="AW91" s="466"/>
      <c r="AX91" s="466"/>
      <c r="AY91" s="466"/>
      <c r="AZ91" s="466"/>
      <c r="BA91" s="466"/>
      <c r="BB91" s="466"/>
      <c r="BC91" s="466"/>
      <c r="BR91" s="604"/>
      <c r="BS91" s="604"/>
      <c r="BT91" s="604"/>
      <c r="BU91" s="531"/>
      <c r="BV91" s="607"/>
    </row>
    <row r="92" spans="1:77" s="115" customFormat="1" hidden="1" x14ac:dyDescent="0.3">
      <c r="A92" s="463"/>
      <c r="B92" s="464"/>
      <c r="C92" s="465"/>
      <c r="D92" s="466"/>
      <c r="E92" s="466"/>
      <c r="F92" s="466"/>
      <c r="G92" s="466"/>
      <c r="H92" s="466"/>
      <c r="I92" s="466"/>
      <c r="J92" s="466"/>
      <c r="K92" s="466"/>
      <c r="L92" s="466"/>
      <c r="M92" s="466"/>
      <c r="N92" s="466"/>
      <c r="O92" s="466"/>
      <c r="P92" s="466"/>
      <c r="Q92" s="466"/>
      <c r="R92" s="466"/>
      <c r="S92" s="466"/>
      <c r="T92" s="466"/>
      <c r="U92" s="466"/>
      <c r="V92" s="466"/>
      <c r="W92" s="466"/>
      <c r="X92" s="466"/>
      <c r="Y92" s="466"/>
      <c r="Z92" s="466"/>
      <c r="AA92" s="466"/>
      <c r="AB92" s="466"/>
      <c r="AC92" s="466"/>
      <c r="AD92" s="466"/>
      <c r="AE92" s="466"/>
      <c r="AF92" s="466"/>
      <c r="AG92" s="466"/>
      <c r="AH92" s="466"/>
      <c r="AI92" s="466"/>
      <c r="AJ92" s="466"/>
      <c r="AK92" s="466"/>
      <c r="AL92" s="466"/>
      <c r="AM92" s="466"/>
      <c r="AN92" s="466"/>
      <c r="AO92" s="466"/>
      <c r="AP92" s="466"/>
      <c r="AQ92" s="466"/>
      <c r="AR92" s="466"/>
      <c r="AS92" s="466"/>
      <c r="AT92" s="466"/>
      <c r="AU92" s="466"/>
      <c r="AV92" s="466"/>
      <c r="AW92" s="466"/>
      <c r="AX92" s="466"/>
      <c r="AY92" s="466"/>
      <c r="AZ92" s="466"/>
      <c r="BA92" s="466"/>
      <c r="BB92" s="466"/>
      <c r="BC92" s="466"/>
      <c r="BR92" s="604"/>
      <c r="BS92" s="604"/>
      <c r="BT92" s="604"/>
      <c r="BU92" s="531"/>
      <c r="BV92" s="607"/>
    </row>
    <row r="93" spans="1:77" s="115" customFormat="1" hidden="1" x14ac:dyDescent="0.3">
      <c r="A93" s="463"/>
      <c r="B93" s="464"/>
      <c r="C93" s="465"/>
      <c r="D93" s="466"/>
      <c r="E93" s="466"/>
      <c r="F93" s="466"/>
      <c r="G93" s="283">
        <v>493797.89</v>
      </c>
      <c r="H93" s="157">
        <v>493797.8900000155</v>
      </c>
      <c r="I93" s="298">
        <v>1.548323780298233E-8</v>
      </c>
      <c r="J93" s="467"/>
      <c r="K93" s="467"/>
      <c r="L93" s="467"/>
      <c r="M93" s="467"/>
      <c r="N93" s="467"/>
      <c r="O93" s="467"/>
      <c r="P93" s="467"/>
      <c r="Q93" s="467"/>
      <c r="R93" s="467"/>
      <c r="S93" s="467"/>
      <c r="T93" s="467"/>
      <c r="U93" s="467"/>
      <c r="V93" s="468"/>
      <c r="W93" s="468"/>
      <c r="X93" s="468"/>
      <c r="Y93" s="468"/>
      <c r="Z93" s="468"/>
      <c r="AA93" s="468"/>
      <c r="AB93" s="468"/>
      <c r="AC93" s="468"/>
      <c r="AD93" s="468"/>
      <c r="AE93" s="468"/>
      <c r="AF93" s="468"/>
      <c r="AG93" s="468"/>
      <c r="AH93" s="468"/>
      <c r="AI93" s="468"/>
      <c r="AJ93" s="468"/>
      <c r="AK93" s="468"/>
      <c r="AL93" s="468"/>
      <c r="AM93" s="468"/>
      <c r="AN93" s="468"/>
      <c r="AO93" s="469"/>
      <c r="AP93" s="469"/>
      <c r="AQ93" s="470"/>
      <c r="AR93" s="470"/>
      <c r="AS93" s="470"/>
      <c r="AT93" s="470"/>
      <c r="AU93" s="470"/>
      <c r="AV93" s="470"/>
      <c r="AW93" s="470"/>
      <c r="AX93" s="470"/>
      <c r="AY93" s="470"/>
      <c r="AZ93" s="470"/>
      <c r="BA93" s="470"/>
      <c r="BB93" s="470"/>
      <c r="BC93" s="470"/>
      <c r="BR93" s="604"/>
      <c r="BS93" s="604"/>
      <c r="BT93" s="604"/>
      <c r="BU93" s="531"/>
      <c r="BV93" s="607"/>
    </row>
    <row r="94" spans="1:77" ht="19.5" hidden="1" thickBot="1" x14ac:dyDescent="0.35">
      <c r="G94" s="407">
        <v>-2.1200180053710938E-3</v>
      </c>
      <c r="H94" s="304">
        <v>0</v>
      </c>
      <c r="I94" s="377">
        <v>2.1200180053710938E-3</v>
      </c>
      <c r="J94" s="117"/>
      <c r="K94" s="117"/>
      <c r="L94" s="117"/>
      <c r="M94" s="117"/>
      <c r="N94" s="117"/>
      <c r="O94" s="117"/>
      <c r="P94" s="117"/>
      <c r="Q94" s="117"/>
      <c r="R94" s="117"/>
      <c r="S94" s="117"/>
      <c r="T94" s="117"/>
      <c r="U94" s="117"/>
      <c r="V94" s="117"/>
      <c r="W94" s="117"/>
      <c r="X94" s="117"/>
      <c r="Y94" s="111">
        <v>49006743.600000001</v>
      </c>
      <c r="Z94" s="117" t="s">
        <v>237</v>
      </c>
      <c r="AA94" s="117"/>
      <c r="AB94" s="117"/>
      <c r="AC94" s="117"/>
      <c r="AD94" s="117"/>
      <c r="AE94" s="117"/>
      <c r="AF94" s="117"/>
      <c r="AG94" s="117"/>
      <c r="AH94" s="117"/>
      <c r="AI94" s="117"/>
      <c r="AJ94" s="117"/>
      <c r="AK94" s="117"/>
      <c r="AL94" s="117"/>
      <c r="AM94" s="117"/>
      <c r="AN94" s="117"/>
      <c r="AQ94" s="137">
        <f>AQ30-AQ18</f>
        <v>10179839.435000002</v>
      </c>
      <c r="AR94" s="137">
        <f>AR30-AR18</f>
        <v>10179839.439999938</v>
      </c>
      <c r="AT94" s="137">
        <f>AT30-AT18</f>
        <v>9808185.4499999881</v>
      </c>
      <c r="AU94" s="137">
        <f>AU30-AU18</f>
        <v>9808185.4499999881</v>
      </c>
      <c r="AV94" s="137"/>
      <c r="AW94" s="137">
        <f t="shared" ref="AW94:AX94" si="94">AW30-AW18</f>
        <v>371653.99000000209</v>
      </c>
      <c r="AX94" s="137">
        <f t="shared" si="94"/>
        <v>371653.99000000954</v>
      </c>
    </row>
    <row r="95" spans="1:77" hidden="1" x14ac:dyDescent="0.3">
      <c r="D95" s="111">
        <f>D30-D18</f>
        <v>419446106.57500029</v>
      </c>
      <c r="G95" s="466"/>
      <c r="H95" s="466"/>
      <c r="I95" s="471"/>
      <c r="J95" s="117"/>
      <c r="K95" s="117"/>
      <c r="L95" s="117"/>
      <c r="M95" s="111"/>
      <c r="N95" s="111"/>
      <c r="O95" s="111"/>
      <c r="P95" s="117"/>
      <c r="Q95" s="117"/>
      <c r="R95" s="117"/>
      <c r="S95" s="117"/>
      <c r="T95" s="117"/>
      <c r="U95" s="117"/>
      <c r="V95" s="117"/>
      <c r="W95" s="117"/>
      <c r="X95" s="117"/>
      <c r="Y95" s="111">
        <f>Y83-Y94</f>
        <v>156608048.77000001</v>
      </c>
      <c r="Z95" s="117" t="s">
        <v>197</v>
      </c>
      <c r="AA95" s="117"/>
      <c r="AB95" s="117"/>
      <c r="AC95" s="117"/>
      <c r="AD95" s="117"/>
      <c r="AE95" s="117"/>
      <c r="AF95" s="117"/>
      <c r="AG95" s="117"/>
      <c r="AH95" s="117"/>
      <c r="AI95" s="117"/>
      <c r="AJ95" s="117"/>
      <c r="AK95" s="117"/>
      <c r="AL95" s="117"/>
      <c r="AM95" s="117"/>
      <c r="AN95" s="117"/>
    </row>
    <row r="96" spans="1:77" hidden="1" x14ac:dyDescent="0.3">
      <c r="G96" s="157">
        <v>493797.8921200037</v>
      </c>
      <c r="H96" s="157">
        <v>493797.8900000155</v>
      </c>
      <c r="I96" s="157">
        <v>-2.1199882030487061E-3</v>
      </c>
      <c r="J96" s="117">
        <v>211</v>
      </c>
      <c r="K96" s="117"/>
      <c r="L96" s="117"/>
      <c r="M96" s="111">
        <v>170582.06</v>
      </c>
      <c r="N96" s="111"/>
      <c r="O96" s="111"/>
      <c r="P96" s="117"/>
      <c r="Q96" s="117"/>
      <c r="R96" s="117"/>
      <c r="S96" s="117"/>
      <c r="T96" s="117"/>
      <c r="U96" s="117"/>
      <c r="V96" s="117"/>
      <c r="W96" s="117"/>
      <c r="X96" s="117"/>
      <c r="Y96" s="117"/>
      <c r="Z96" s="117"/>
      <c r="AA96" s="117"/>
      <c r="AB96" s="117"/>
      <c r="AC96" s="117"/>
      <c r="AD96" s="117"/>
      <c r="AE96" s="117"/>
      <c r="AF96" s="117"/>
      <c r="AG96" s="117"/>
      <c r="AH96" s="117"/>
      <c r="AI96" s="117"/>
      <c r="AJ96" s="117"/>
      <c r="AK96" s="117"/>
      <c r="AL96" s="117"/>
      <c r="AM96" s="117"/>
      <c r="AN96" s="117"/>
      <c r="AO96" s="117">
        <v>211</v>
      </c>
      <c r="AP96" s="137">
        <v>109680.99846390169</v>
      </c>
      <c r="AT96" s="263"/>
      <c r="AU96" s="263"/>
      <c r="AV96" s="263"/>
      <c r="AW96" s="137">
        <v>2818.05</v>
      </c>
      <c r="AX96" s="137"/>
      <c r="AY96" s="137"/>
      <c r="AZ96" s="151">
        <v>221</v>
      </c>
      <c r="BA96" s="151"/>
      <c r="BB96" s="151"/>
      <c r="BC96" s="151"/>
    </row>
    <row r="97" spans="3:74" hidden="1" x14ac:dyDescent="0.3">
      <c r="G97" s="466">
        <v>493797.88999998569</v>
      </c>
      <c r="H97" s="466">
        <v>493797.8900000155</v>
      </c>
      <c r="I97" s="466">
        <v>2.9802322387695313E-8</v>
      </c>
      <c r="J97" s="117">
        <v>213</v>
      </c>
      <c r="K97" s="117"/>
      <c r="L97" s="117"/>
      <c r="M97" s="111">
        <f>M96*30.2%+0.01</f>
        <v>51515.792119999998</v>
      </c>
      <c r="N97" s="111"/>
      <c r="O97" s="111"/>
      <c r="P97" s="117"/>
      <c r="Q97" s="117"/>
      <c r="R97" s="117"/>
      <c r="S97" s="117"/>
      <c r="T97" s="117"/>
      <c r="U97" s="117"/>
      <c r="V97" s="117"/>
      <c r="W97" s="117"/>
      <c r="X97" s="117"/>
      <c r="Y97" s="117"/>
      <c r="Z97" s="117"/>
      <c r="AA97" s="117"/>
      <c r="AB97" s="117"/>
      <c r="AC97" s="117"/>
      <c r="AD97" s="117"/>
      <c r="AE97" s="117"/>
      <c r="AF97" s="117"/>
      <c r="AG97" s="117"/>
      <c r="AH97" s="117"/>
      <c r="AI97" s="117"/>
      <c r="AJ97" s="117"/>
      <c r="AK97" s="117"/>
      <c r="AL97" s="117"/>
      <c r="AM97" s="117"/>
      <c r="AN97" s="117"/>
      <c r="AO97" s="117">
        <v>213</v>
      </c>
      <c r="AP97" s="137">
        <v>33123.660000000003</v>
      </c>
      <c r="AT97" s="263"/>
      <c r="AU97" s="263"/>
      <c r="AV97" s="263"/>
      <c r="AW97" s="137">
        <v>63920</v>
      </c>
      <c r="AX97" s="137"/>
      <c r="AY97" s="137"/>
      <c r="AZ97" s="151">
        <v>310</v>
      </c>
      <c r="BA97" s="151"/>
      <c r="BB97" s="151"/>
      <c r="BC97" s="151"/>
    </row>
    <row r="98" spans="3:74" hidden="1" x14ac:dyDescent="0.3">
      <c r="G98" s="466" t="b">
        <v>0</v>
      </c>
      <c r="H98" s="466" t="b">
        <v>1</v>
      </c>
      <c r="I98" s="466" t="b">
        <v>0</v>
      </c>
      <c r="J98" s="117">
        <v>226</v>
      </c>
      <c r="K98" s="117"/>
      <c r="L98" s="117"/>
      <c r="M98" s="111">
        <v>176906.04</v>
      </c>
      <c r="N98" s="111"/>
      <c r="O98" s="111"/>
      <c r="P98" s="117"/>
      <c r="Q98" s="117"/>
      <c r="R98" s="117"/>
      <c r="S98" s="117"/>
      <c r="T98" s="117"/>
      <c r="U98" s="117"/>
      <c r="V98" s="111"/>
      <c r="W98" s="111"/>
      <c r="X98" s="111"/>
      <c r="Y98" s="111"/>
      <c r="Z98" s="117"/>
      <c r="AA98" s="117"/>
      <c r="AB98" s="117"/>
      <c r="AC98" s="117"/>
      <c r="AD98" s="117"/>
      <c r="AE98" s="117"/>
      <c r="AF98" s="117"/>
      <c r="AG98" s="117"/>
      <c r="AH98" s="117"/>
      <c r="AI98" s="117"/>
      <c r="AJ98" s="117"/>
      <c r="AK98" s="117"/>
      <c r="AL98" s="117"/>
      <c r="AM98" s="117"/>
      <c r="AN98" s="117"/>
      <c r="AP98" s="137">
        <f>SUM(AP96:AP97)</f>
        <v>142804.65846390169</v>
      </c>
      <c r="AT98" s="264">
        <f>AT82</f>
        <v>9808185.4527635574</v>
      </c>
      <c r="AU98" s="264"/>
      <c r="AV98" s="264"/>
      <c r="AW98" s="137">
        <v>1155747.52</v>
      </c>
      <c r="AX98" s="137"/>
      <c r="AY98" s="137"/>
      <c r="AZ98" s="151">
        <v>340</v>
      </c>
      <c r="BA98" s="151"/>
      <c r="BB98" s="151"/>
      <c r="BC98" s="151"/>
    </row>
    <row r="99" spans="3:74" hidden="1" x14ac:dyDescent="0.3">
      <c r="G99" s="117"/>
      <c r="H99" s="117"/>
      <c r="I99" s="117"/>
      <c r="J99" s="117">
        <v>340</v>
      </c>
      <c r="K99" s="117"/>
      <c r="L99" s="117"/>
      <c r="M99" s="111">
        <v>94794</v>
      </c>
      <c r="N99" s="111"/>
      <c r="O99" s="111"/>
      <c r="P99" s="117"/>
      <c r="Q99" s="117"/>
      <c r="R99" s="117"/>
      <c r="S99" s="117"/>
      <c r="T99" s="117"/>
      <c r="U99" s="117"/>
      <c r="V99" s="117"/>
      <c r="W99" s="117"/>
      <c r="X99" s="117"/>
      <c r="Y99" s="117"/>
      <c r="Z99" s="117"/>
      <c r="AA99" s="117"/>
      <c r="AB99" s="117"/>
      <c r="AC99" s="117"/>
      <c r="AD99" s="117"/>
      <c r="AE99" s="117"/>
      <c r="AF99" s="117"/>
      <c r="AG99" s="117"/>
      <c r="AH99" s="117"/>
      <c r="AI99" s="117"/>
      <c r="AJ99" s="117"/>
      <c r="AK99" s="117"/>
      <c r="AL99" s="117"/>
      <c r="AM99" s="117"/>
      <c r="AN99" s="117"/>
    </row>
    <row r="100" spans="3:74" s="531" customFormat="1" hidden="1" x14ac:dyDescent="0.3">
      <c r="C100" s="532"/>
      <c r="H100" s="535">
        <f>H30-H93</f>
        <v>327644893.08884037</v>
      </c>
      <c r="M100" s="533">
        <f>SUM(M96:M99)</f>
        <v>493797.89211999997</v>
      </c>
      <c r="N100" s="533"/>
      <c r="O100" s="533"/>
      <c r="AP100" s="534"/>
      <c r="AQ100" s="534"/>
      <c r="AR100" s="534"/>
      <c r="AS100" s="534"/>
      <c r="BV100" s="602"/>
    </row>
    <row r="101" spans="3:74" s="531" customFormat="1" hidden="1" x14ac:dyDescent="0.3">
      <c r="C101" s="532"/>
      <c r="G101" s="531" t="s">
        <v>450</v>
      </c>
      <c r="H101" s="535">
        <f>212239200+57300000</f>
        <v>269539200</v>
      </c>
      <c r="I101" s="533">
        <f>H101+H93</f>
        <v>270032997.88999999</v>
      </c>
      <c r="M101" s="533"/>
      <c r="N101" s="533"/>
      <c r="O101" s="533"/>
      <c r="AP101" s="534"/>
      <c r="AQ101" s="534"/>
      <c r="AR101" s="534"/>
      <c r="AS101" s="534"/>
      <c r="BV101" s="602"/>
    </row>
    <row r="102" spans="3:74" hidden="1" x14ac:dyDescent="0.3">
      <c r="G102" s="117"/>
      <c r="H102" s="111">
        <f>H101-H100</f>
        <v>-58105693.088840365</v>
      </c>
      <c r="I102" s="117"/>
      <c r="J102" s="117"/>
      <c r="K102" s="117"/>
      <c r="L102" s="117"/>
      <c r="M102" s="111"/>
      <c r="N102" s="111"/>
      <c r="O102" s="111"/>
      <c r="P102" s="117"/>
      <c r="Q102" s="117"/>
      <c r="R102" s="117"/>
      <c r="S102" s="117"/>
      <c r="T102" s="117"/>
      <c r="U102" s="117"/>
      <c r="V102" s="117"/>
      <c r="W102" s="117"/>
      <c r="X102" s="117"/>
      <c r="Y102" s="117"/>
      <c r="Z102" s="117"/>
      <c r="AA102" s="117"/>
      <c r="AB102" s="117"/>
      <c r="AC102" s="117"/>
      <c r="AD102" s="117"/>
      <c r="AE102" s="117"/>
      <c r="AF102" s="117"/>
      <c r="AG102" s="117"/>
      <c r="AH102" s="117"/>
      <c r="AI102" s="117"/>
      <c r="AJ102" s="117"/>
      <c r="AK102" s="117"/>
      <c r="AL102" s="117"/>
      <c r="AM102" s="117"/>
      <c r="AN102" s="117"/>
    </row>
    <row r="103" spans="3:74" hidden="1" x14ac:dyDescent="0.3">
      <c r="G103" s="117"/>
      <c r="H103" s="117"/>
      <c r="I103" s="117"/>
      <c r="J103" s="117"/>
      <c r="K103" s="117"/>
      <c r="L103" s="117"/>
      <c r="M103" s="117"/>
      <c r="N103" s="117"/>
      <c r="O103" s="117"/>
      <c r="P103" s="117"/>
      <c r="Q103" s="117"/>
      <c r="R103" s="117"/>
      <c r="S103" s="117"/>
      <c r="T103" s="117"/>
      <c r="U103" s="117"/>
      <c r="V103" s="117"/>
      <c r="W103" s="117"/>
      <c r="X103" s="117"/>
      <c r="Y103" s="117"/>
      <c r="Z103" s="117"/>
      <c r="AA103" s="117"/>
      <c r="AB103" s="117"/>
      <c r="AC103" s="117"/>
      <c r="AD103" s="117"/>
      <c r="AE103" s="117"/>
      <c r="AF103" s="117"/>
      <c r="AG103" s="117"/>
      <c r="AH103" s="117"/>
      <c r="AI103" s="117"/>
      <c r="AJ103" s="117"/>
      <c r="AK103" s="117"/>
      <c r="AL103" s="117"/>
      <c r="AM103" s="117"/>
      <c r="AN103" s="117"/>
    </row>
    <row r="104" spans="3:74" hidden="1" x14ac:dyDescent="0.3">
      <c r="E104" s="111">
        <f>E52-Y52-AR52</f>
        <v>2223001646.42944</v>
      </c>
      <c r="G104" s="117"/>
      <c r="H104" s="117"/>
      <c r="I104" s="117"/>
      <c r="J104" s="117"/>
      <c r="K104" s="117"/>
      <c r="L104" s="117"/>
      <c r="M104" s="117"/>
      <c r="N104" s="117"/>
      <c r="O104" s="117"/>
      <c r="P104" s="117"/>
      <c r="Q104" s="117"/>
      <c r="R104" s="117"/>
      <c r="S104" s="117"/>
      <c r="T104" s="117"/>
      <c r="U104" s="117"/>
      <c r="V104" s="117"/>
      <c r="W104" s="117"/>
      <c r="X104" s="117"/>
      <c r="Y104" s="117"/>
      <c r="Z104" s="117"/>
      <c r="AA104" s="117"/>
      <c r="AB104" s="117"/>
      <c r="AC104" s="117"/>
      <c r="AD104" s="117"/>
      <c r="AE104" s="117"/>
      <c r="AF104" s="117"/>
      <c r="AG104" s="117"/>
      <c r="AH104" s="117"/>
      <c r="AI104" s="117"/>
      <c r="AJ104" s="117"/>
      <c r="AK104" s="117"/>
      <c r="AL104" s="117"/>
      <c r="AM104" s="117"/>
      <c r="AN104" s="117"/>
    </row>
    <row r="105" spans="3:74" hidden="1" x14ac:dyDescent="0.3">
      <c r="G105" s="117"/>
      <c r="H105" s="117"/>
      <c r="I105" s="117"/>
      <c r="J105" s="117"/>
      <c r="K105" s="117"/>
      <c r="L105" s="117"/>
      <c r="M105" s="117"/>
      <c r="N105" s="117"/>
      <c r="O105" s="117"/>
      <c r="P105" s="117"/>
      <c r="Q105" s="117"/>
      <c r="R105" s="117"/>
      <c r="S105" s="117"/>
      <c r="T105" s="117"/>
      <c r="U105" s="117"/>
      <c r="V105" s="117"/>
      <c r="W105" s="117"/>
      <c r="X105" s="117"/>
      <c r="Y105" s="117"/>
      <c r="Z105" s="117"/>
      <c r="AA105" s="117"/>
      <c r="AB105" s="117"/>
      <c r="AC105" s="117"/>
      <c r="AD105" s="117"/>
      <c r="AE105" s="117"/>
      <c r="AF105" s="117"/>
      <c r="AG105" s="117"/>
      <c r="AH105" s="117"/>
      <c r="AI105" s="117"/>
      <c r="AJ105" s="117"/>
      <c r="AK105" s="117"/>
      <c r="AL105" s="117"/>
      <c r="AM105" s="117"/>
      <c r="AN105" s="117"/>
    </row>
    <row r="106" spans="3:74" hidden="1" x14ac:dyDescent="0.3">
      <c r="G106" s="117"/>
      <c r="H106" s="117"/>
      <c r="I106" s="117"/>
      <c r="J106" s="117"/>
      <c r="K106" s="117"/>
      <c r="L106" s="117"/>
      <c r="M106" s="117"/>
      <c r="N106" s="117"/>
      <c r="O106" s="117"/>
      <c r="P106" s="117"/>
      <c r="Q106" s="117"/>
      <c r="R106" s="117"/>
      <c r="S106" s="117"/>
      <c r="T106" s="117"/>
      <c r="U106" s="117"/>
      <c r="V106" s="117"/>
      <c r="W106" s="1030" t="s">
        <v>908</v>
      </c>
      <c r="X106" s="117"/>
      <c r="Y106" s="117"/>
      <c r="Z106" s="117"/>
      <c r="AA106" s="602" t="s">
        <v>905</v>
      </c>
      <c r="AB106" s="111">
        <f>SUM(AB58:AB105)</f>
        <v>-88396500</v>
      </c>
      <c r="AC106" s="602" t="s">
        <v>906</v>
      </c>
      <c r="AD106" s="117"/>
      <c r="AE106" s="117"/>
      <c r="AF106" s="117"/>
      <c r="AG106" s="602" t="s">
        <v>907</v>
      </c>
      <c r="AH106" s="117"/>
      <c r="AI106" s="117"/>
      <c r="AJ106" s="117"/>
      <c r="AK106" s="117"/>
      <c r="AL106" s="117"/>
      <c r="AM106" s="117"/>
      <c r="AN106" s="117"/>
      <c r="BV106" s="605"/>
    </row>
    <row r="107" spans="3:74" hidden="1" x14ac:dyDescent="0.3">
      <c r="E107" s="111"/>
      <c r="G107" s="117"/>
      <c r="H107" s="111">
        <f>H31-N107-N108-N109</f>
        <v>242766462.94940001</v>
      </c>
      <c r="I107" s="117"/>
      <c r="J107" s="117"/>
      <c r="K107" s="117"/>
      <c r="L107" s="117"/>
      <c r="M107" s="117">
        <v>211</v>
      </c>
      <c r="N107" s="111">
        <f>Санкционирование!AV25</f>
        <v>12712935.3365745</v>
      </c>
      <c r="O107" s="111">
        <f>N107</f>
        <v>12712935.3365745</v>
      </c>
      <c r="P107" s="117"/>
      <c r="Q107" s="117"/>
      <c r="R107" s="117"/>
      <c r="S107" s="117"/>
      <c r="T107" s="117"/>
      <c r="U107" s="117"/>
      <c r="V107" s="880" t="s">
        <v>917</v>
      </c>
      <c r="W107" s="111">
        <v>146375908.19999999</v>
      </c>
      <c r="X107" s="117"/>
      <c r="Y107" s="117"/>
      <c r="Z107" s="117"/>
      <c r="AA107" s="117">
        <v>211</v>
      </c>
      <c r="AB107" s="117"/>
      <c r="AC107" s="111">
        <f>'расчет норматив'!AC10</f>
        <v>130723623.19</v>
      </c>
      <c r="AD107" s="117"/>
      <c r="AE107" s="117"/>
      <c r="AF107" s="117"/>
      <c r="AG107" s="111">
        <f>115806600+15362600</f>
        <v>131169200</v>
      </c>
      <c r="AH107" s="117"/>
      <c r="AI107" s="117"/>
      <c r="AJ107" s="117"/>
      <c r="AK107" s="117"/>
      <c r="AL107" s="117"/>
      <c r="AM107" s="117"/>
      <c r="AN107" s="117"/>
      <c r="AP107" s="1032">
        <v>530061.06000000006</v>
      </c>
      <c r="AU107" s="970">
        <v>9808185.4700000044</v>
      </c>
      <c r="AX107" s="111">
        <f>AX82-AW82</f>
        <v>7.4505805969238281E-9</v>
      </c>
      <c r="BU107" s="533">
        <f>BU82-AQ82</f>
        <v>-15169495.327763557</v>
      </c>
      <c r="BV107" s="605">
        <v>261252050.31999999</v>
      </c>
    </row>
    <row r="108" spans="3:74" hidden="1" x14ac:dyDescent="0.3">
      <c r="E108" s="117">
        <v>205614792.37</v>
      </c>
      <c r="G108" s="117"/>
      <c r="H108" s="111">
        <f>AG110-H107</f>
        <v>-71984062.949400008</v>
      </c>
      <c r="I108" s="117"/>
      <c r="J108" s="117"/>
      <c r="K108" s="117"/>
      <c r="L108" s="117"/>
      <c r="M108" s="117">
        <v>213</v>
      </c>
      <c r="N108" s="111">
        <f>Санкционирование!AV26</f>
        <v>4311035.7434254978</v>
      </c>
      <c r="O108" s="111">
        <f>'Лист2 (2)'!F13</f>
        <v>3811205.169999999</v>
      </c>
      <c r="P108" s="111">
        <f>N108-O108</f>
        <v>499830.57342549879</v>
      </c>
      <c r="Q108" s="111">
        <f>'расчет норматив'!AC8+N107+N108</f>
        <v>187806371.08477378</v>
      </c>
      <c r="R108" s="117"/>
      <c r="S108" s="117"/>
      <c r="T108" s="117"/>
      <c r="U108" s="117"/>
      <c r="V108" s="880" t="s">
        <v>919</v>
      </c>
      <c r="W108" s="111">
        <v>429259.19</v>
      </c>
      <c r="X108" s="117"/>
      <c r="Y108" s="117">
        <v>205614792.37</v>
      </c>
      <c r="Z108" s="117"/>
      <c r="AA108" s="117">
        <v>213</v>
      </c>
      <c r="AB108" s="117"/>
      <c r="AC108" s="111">
        <f>'расчет норматив'!AC11</f>
        <v>39613200</v>
      </c>
      <c r="AD108" s="117"/>
      <c r="AE108" s="117"/>
      <c r="AF108" s="117"/>
      <c r="AG108" s="111">
        <f>34973700+4639500</f>
        <v>39613200</v>
      </c>
      <c r="AH108" s="117"/>
      <c r="AI108" s="117"/>
      <c r="AJ108" s="117"/>
      <c r="AK108" s="117"/>
      <c r="AL108" s="117"/>
      <c r="AM108" s="117"/>
      <c r="AN108" s="117"/>
      <c r="AO108" s="117">
        <v>211</v>
      </c>
      <c r="AP108" s="1032">
        <f>AP107/1.302</f>
        <v>407112.94930875581</v>
      </c>
      <c r="BV108" s="605">
        <f>BV107-BV83</f>
        <v>-971567.62999999523</v>
      </c>
    </row>
    <row r="109" spans="3:74" hidden="1" x14ac:dyDescent="0.3">
      <c r="E109" s="111">
        <f>E18+E82-E30</f>
        <v>205614792.37000036</v>
      </c>
      <c r="G109" s="117"/>
      <c r="H109" s="117"/>
      <c r="I109" s="117"/>
      <c r="J109" s="117"/>
      <c r="K109" s="117"/>
      <c r="L109" s="117"/>
      <c r="M109" s="117">
        <v>212</v>
      </c>
      <c r="N109" s="111">
        <f>Санкционирование!AV27</f>
        <v>79091.530000000028</v>
      </c>
      <c r="O109" s="117"/>
      <c r="P109" s="111">
        <f>N109</f>
        <v>79091.530000000028</v>
      </c>
      <c r="Q109" s="111">
        <f>H31</f>
        <v>259869525.55939999</v>
      </c>
      <c r="R109" s="117"/>
      <c r="S109" s="117"/>
      <c r="T109" s="117"/>
      <c r="U109" s="117"/>
      <c r="V109" s="880" t="s">
        <v>918</v>
      </c>
      <c r="W109" s="111">
        <v>4389110</v>
      </c>
      <c r="X109" s="117"/>
      <c r="Y109" s="117">
        <v>203001361.21000001</v>
      </c>
      <c r="Z109" s="117"/>
      <c r="AA109" s="117">
        <v>212</v>
      </c>
      <c r="AB109" s="117"/>
      <c r="AC109" s="111">
        <f>'расчет норматив'!AC12</f>
        <v>445576.81477379624</v>
      </c>
      <c r="AD109" s="117"/>
      <c r="AE109" s="117"/>
      <c r="AF109" s="117"/>
      <c r="AG109" s="117"/>
      <c r="AH109" s="117"/>
      <c r="AI109" s="117"/>
      <c r="AJ109" s="117"/>
      <c r="AK109" s="117"/>
      <c r="AL109" s="117"/>
      <c r="AM109" s="117"/>
      <c r="AN109" s="117"/>
      <c r="AO109" s="117">
        <v>213</v>
      </c>
      <c r="AP109" s="1032">
        <f>AP108*0.302</f>
        <v>122948.11069124425</v>
      </c>
    </row>
    <row r="110" spans="3:74" hidden="1" x14ac:dyDescent="0.3">
      <c r="G110" s="117"/>
      <c r="H110" s="117"/>
      <c r="I110" s="117"/>
      <c r="J110" s="117"/>
      <c r="K110" s="117"/>
      <c r="L110" s="117"/>
      <c r="M110" s="117">
        <v>221</v>
      </c>
      <c r="N110" s="111">
        <f>Санкционирование!AV47</f>
        <v>385393.10000000003</v>
      </c>
      <c r="O110" s="117"/>
      <c r="P110" s="111">
        <f t="shared" ref="P110:P120" si="95">N110</f>
        <v>385393.10000000003</v>
      </c>
      <c r="Q110" s="117"/>
      <c r="R110" s="117"/>
      <c r="S110" s="117"/>
      <c r="T110" s="117"/>
      <c r="U110" s="117"/>
      <c r="V110" s="880" t="s">
        <v>920</v>
      </c>
      <c r="W110" s="111">
        <v>137961180.06</v>
      </c>
      <c r="X110" s="117"/>
      <c r="Y110" s="117">
        <f>Y108-Y109</f>
        <v>2613431.1599999964</v>
      </c>
      <c r="Z110" s="117"/>
      <c r="AA110" s="117"/>
      <c r="AB110" s="117"/>
      <c r="AC110" s="111">
        <f>SUM(AC107:AC109)</f>
        <v>170782400.0047738</v>
      </c>
      <c r="AD110" s="117"/>
      <c r="AE110" s="117"/>
      <c r="AF110" s="117"/>
      <c r="AG110" s="111">
        <f>SUM(AG107:AG109)</f>
        <v>170782400</v>
      </c>
      <c r="AH110" s="117"/>
      <c r="AI110" s="117"/>
      <c r="AJ110" s="137">
        <f>AC110-AG110</f>
        <v>4.7737956047058105E-3</v>
      </c>
      <c r="AK110" s="117"/>
      <c r="AL110" s="117"/>
      <c r="AM110" s="117"/>
      <c r="AN110" s="117"/>
      <c r="AP110" s="1032">
        <f>AP108+AP109</f>
        <v>530061.06000000006</v>
      </c>
    </row>
    <row r="111" spans="3:74" hidden="1" x14ac:dyDescent="0.3">
      <c r="E111" s="111">
        <f>E82-D82</f>
        <v>6.618499755859375E-4</v>
      </c>
      <c r="G111" s="117"/>
      <c r="H111" s="117"/>
      <c r="I111" s="117"/>
      <c r="J111" s="117"/>
      <c r="K111" s="117"/>
      <c r="L111" s="117"/>
      <c r="M111" s="117">
        <v>222</v>
      </c>
      <c r="N111" s="111">
        <f>Санкционирование!AV48</f>
        <v>0</v>
      </c>
      <c r="O111" s="117"/>
      <c r="P111" s="111">
        <f t="shared" si="95"/>
        <v>0</v>
      </c>
      <c r="Q111" s="117"/>
      <c r="R111" s="117"/>
      <c r="S111" s="117"/>
      <c r="T111" s="117"/>
      <c r="U111" s="117"/>
      <c r="V111" s="880" t="s">
        <v>922</v>
      </c>
      <c r="W111" s="111">
        <v>860103.18</v>
      </c>
      <c r="X111" s="117"/>
      <c r="Y111" s="117"/>
      <c r="Z111" s="117"/>
      <c r="AA111" s="117"/>
      <c r="AB111" s="117"/>
      <c r="AC111" s="117"/>
      <c r="AD111" s="117"/>
      <c r="AE111" s="117"/>
      <c r="AF111" s="117"/>
      <c r="AG111" s="602" t="s">
        <v>908</v>
      </c>
      <c r="AH111" s="117"/>
      <c r="AI111" s="117"/>
      <c r="AJ111" s="117"/>
      <c r="AK111" s="117"/>
      <c r="AL111" s="117"/>
      <c r="AM111" s="117"/>
      <c r="AN111" s="117"/>
    </row>
    <row r="112" spans="3:74" hidden="1" x14ac:dyDescent="0.3">
      <c r="G112" s="117"/>
      <c r="H112" s="117"/>
      <c r="I112" s="117"/>
      <c r="J112" s="117"/>
      <c r="K112" s="117"/>
      <c r="L112" s="117"/>
      <c r="M112" s="117">
        <v>223</v>
      </c>
      <c r="N112" s="111">
        <f>Санкционирование!AV49</f>
        <v>804094.59999999963</v>
      </c>
      <c r="O112" s="117"/>
      <c r="P112" s="111">
        <f t="shared" si="95"/>
        <v>804094.59999999963</v>
      </c>
      <c r="Q112" s="117"/>
      <c r="R112" s="117"/>
      <c r="S112" s="117"/>
      <c r="T112" s="117"/>
      <c r="U112" s="117"/>
      <c r="V112" s="880" t="s">
        <v>921</v>
      </c>
      <c r="W112" s="111">
        <v>87456589.090000004</v>
      </c>
      <c r="X112" s="117"/>
      <c r="Y112" s="117"/>
      <c r="Z112" s="117"/>
      <c r="AA112" s="117">
        <v>211</v>
      </c>
      <c r="AB112" s="117"/>
      <c r="AC112" s="111">
        <f>N107</f>
        <v>12712935.3365745</v>
      </c>
      <c r="AD112" s="117"/>
      <c r="AE112" s="117"/>
      <c r="AF112" s="117"/>
      <c r="AG112" s="111">
        <f>N107</f>
        <v>12712935.3365745</v>
      </c>
      <c r="AH112" s="117"/>
      <c r="AI112" s="117"/>
      <c r="AJ112" s="117"/>
      <c r="AK112" s="117"/>
      <c r="AL112" s="117"/>
      <c r="AM112" s="117"/>
      <c r="AN112" s="117"/>
    </row>
    <row r="113" spans="7:40" hidden="1" x14ac:dyDescent="0.3">
      <c r="G113" s="117"/>
      <c r="H113" s="117"/>
      <c r="I113" s="117"/>
      <c r="J113" s="117"/>
      <c r="K113" s="117"/>
      <c r="L113" s="117"/>
      <c r="M113" s="117">
        <v>225</v>
      </c>
      <c r="N113" s="111">
        <f>Санкционирование!AV54</f>
        <v>9226.5200000004843</v>
      </c>
      <c r="O113" s="117"/>
      <c r="P113" s="111">
        <f t="shared" si="95"/>
        <v>9226.5200000004843</v>
      </c>
      <c r="Q113" s="117"/>
      <c r="R113" s="117"/>
      <c r="S113" s="117"/>
      <c r="T113" s="117"/>
      <c r="U113" s="117"/>
      <c r="V113" s="880" t="s">
        <v>923</v>
      </c>
      <c r="W113" s="111">
        <v>5533016.0999999996</v>
      </c>
      <c r="X113" s="117"/>
      <c r="Y113" s="117"/>
      <c r="Z113" s="117"/>
      <c r="AA113" s="117">
        <v>213</v>
      </c>
      <c r="AB113" s="117"/>
      <c r="AC113" s="111">
        <f>N108</f>
        <v>4311035.7434254978</v>
      </c>
      <c r="AD113" s="117"/>
      <c r="AE113" s="117"/>
      <c r="AF113" s="117"/>
      <c r="AG113" s="111">
        <f>N108</f>
        <v>4311035.7434254978</v>
      </c>
      <c r="AH113" s="117"/>
      <c r="AI113" s="117"/>
      <c r="AJ113" s="117"/>
      <c r="AK113" s="117"/>
      <c r="AL113" s="117"/>
      <c r="AM113" s="117"/>
      <c r="AN113" s="117"/>
    </row>
    <row r="114" spans="7:40" hidden="1" x14ac:dyDescent="0.3">
      <c r="G114" s="117"/>
      <c r="H114" s="117"/>
      <c r="I114" s="117"/>
      <c r="J114" s="117"/>
      <c r="K114" s="117"/>
      <c r="L114" s="117"/>
      <c r="M114" s="117">
        <v>226</v>
      </c>
      <c r="N114" s="111">
        <f>Санкционирование!AV58</f>
        <v>213871.7200000002</v>
      </c>
      <c r="O114" s="117"/>
      <c r="P114" s="111">
        <f t="shared" si="95"/>
        <v>213871.7200000002</v>
      </c>
      <c r="Q114" s="117"/>
      <c r="R114" s="117"/>
      <c r="S114" s="117"/>
      <c r="T114" s="117"/>
      <c r="U114" s="117"/>
      <c r="V114" s="880"/>
      <c r="W114" s="111"/>
      <c r="X114" s="117"/>
      <c r="Y114" s="117"/>
      <c r="Z114" s="117"/>
      <c r="AA114" s="117">
        <v>212</v>
      </c>
      <c r="AB114" s="117"/>
      <c r="AC114" s="111">
        <f>N109</f>
        <v>79091.530000000028</v>
      </c>
      <c r="AD114" s="117"/>
      <c r="AE114" s="117"/>
      <c r="AF114" s="117"/>
      <c r="AG114" s="111">
        <f>N109</f>
        <v>79091.530000000028</v>
      </c>
      <c r="AH114" s="117"/>
      <c r="AI114" s="117"/>
      <c r="AJ114" s="117"/>
      <c r="AK114" s="117"/>
      <c r="AL114" s="117"/>
      <c r="AM114" s="117"/>
      <c r="AN114" s="117"/>
    </row>
    <row r="115" spans="7:40" hidden="1" x14ac:dyDescent="0.3">
      <c r="G115" s="117"/>
      <c r="H115" s="117"/>
      <c r="I115" s="117"/>
      <c r="J115" s="117"/>
      <c r="K115" s="117"/>
      <c r="L115" s="117"/>
      <c r="M115" s="117">
        <v>290</v>
      </c>
      <c r="N115" s="111">
        <f>Санкционирование!AV60</f>
        <v>1034</v>
      </c>
      <c r="O115" s="117"/>
      <c r="P115" s="111">
        <f t="shared" si="95"/>
        <v>1034</v>
      </c>
      <c r="Q115" s="117"/>
      <c r="R115" s="111">
        <v>3814919.6568</v>
      </c>
      <c r="S115" s="111"/>
      <c r="T115" s="111"/>
      <c r="U115" s="111"/>
      <c r="V115" s="880"/>
      <c r="W115" s="111"/>
      <c r="X115" s="117"/>
      <c r="Y115" s="117"/>
      <c r="Z115" s="117"/>
      <c r="AA115" s="117"/>
      <c r="AB115" s="117"/>
      <c r="AC115" s="117"/>
      <c r="AD115" s="117"/>
      <c r="AE115" s="117"/>
      <c r="AF115" s="117"/>
      <c r="AG115" s="117"/>
      <c r="AH115" s="117"/>
      <c r="AI115" s="117"/>
      <c r="AJ115" s="117"/>
      <c r="AK115" s="117"/>
      <c r="AL115" s="117"/>
      <c r="AM115" s="117"/>
      <c r="AN115" s="117"/>
    </row>
    <row r="116" spans="7:40" hidden="1" x14ac:dyDescent="0.3">
      <c r="G116" s="117"/>
      <c r="H116" s="117"/>
      <c r="I116" s="117"/>
      <c r="J116" s="117"/>
      <c r="K116" s="117"/>
      <c r="L116" s="117"/>
      <c r="M116" s="117">
        <v>310</v>
      </c>
      <c r="N116" s="111">
        <f>Санкционирование!AV62</f>
        <v>73247.479999999981</v>
      </c>
      <c r="O116" s="117"/>
      <c r="P116" s="111">
        <f t="shared" si="95"/>
        <v>73247.479999999981</v>
      </c>
      <c r="Q116" s="117"/>
      <c r="R116" s="111">
        <f>R115+N118+N119+N120</f>
        <v>5201006.3068000004</v>
      </c>
      <c r="S116" s="111"/>
      <c r="T116" s="111"/>
      <c r="U116" s="111"/>
      <c r="V116" s="880"/>
      <c r="W116" s="111"/>
      <c r="X116" s="117"/>
      <c r="Y116" s="117"/>
      <c r="Z116" s="117"/>
      <c r="AA116" s="117"/>
      <c r="AB116" s="117"/>
      <c r="AC116" s="111">
        <f>AC107+AC108+AC109+AC113+AC112+AC114</f>
        <v>187885462.61477378</v>
      </c>
      <c r="AD116" s="117"/>
      <c r="AE116" s="117"/>
      <c r="AF116" s="117"/>
      <c r="AG116" s="111">
        <f>AG107+AG108+AG112+AG113+AG114</f>
        <v>187885462.60999998</v>
      </c>
      <c r="AH116" s="117"/>
      <c r="AI116" s="117"/>
      <c r="AJ116" s="137">
        <f>AC116-AG116</f>
        <v>4.7737956047058105E-3</v>
      </c>
      <c r="AK116" s="117"/>
      <c r="AL116" s="117"/>
      <c r="AM116" s="117"/>
      <c r="AN116" s="117"/>
    </row>
    <row r="117" spans="7:40" hidden="1" x14ac:dyDescent="0.3">
      <c r="G117" s="117"/>
      <c r="H117" s="117"/>
      <c r="I117" s="117"/>
      <c r="J117" s="117"/>
      <c r="K117" s="117"/>
      <c r="L117" s="117"/>
      <c r="M117" s="117">
        <v>340</v>
      </c>
      <c r="N117" s="111">
        <f>Санкционирование!AV65</f>
        <v>1096574.299999997</v>
      </c>
      <c r="O117" s="117"/>
      <c r="P117" s="111">
        <f t="shared" si="95"/>
        <v>1096574.299999997</v>
      </c>
      <c r="Q117" s="117"/>
      <c r="R117" s="117"/>
      <c r="S117" s="117"/>
      <c r="T117" s="117"/>
      <c r="U117" s="117"/>
      <c r="V117" s="880"/>
      <c r="W117" s="111"/>
      <c r="X117" s="117"/>
      <c r="Y117" s="117"/>
      <c r="Z117" s="117"/>
      <c r="AA117" s="117"/>
      <c r="AB117" s="117"/>
      <c r="AC117" s="117"/>
      <c r="AD117" s="117"/>
      <c r="AE117" s="117"/>
      <c r="AF117" s="117"/>
      <c r="AG117" s="117"/>
      <c r="AH117" s="117"/>
      <c r="AI117" s="117"/>
      <c r="AJ117" s="117"/>
      <c r="AK117" s="117"/>
      <c r="AL117" s="117"/>
      <c r="AM117" s="117"/>
      <c r="AN117" s="117"/>
    </row>
    <row r="118" spans="7:40" hidden="1" x14ac:dyDescent="0.3">
      <c r="G118" s="117"/>
      <c r="H118" s="117"/>
      <c r="I118" s="117"/>
      <c r="J118" s="117"/>
      <c r="K118" s="117"/>
      <c r="L118" s="117"/>
      <c r="M118" s="117">
        <v>851</v>
      </c>
      <c r="N118" s="111">
        <f>Санкционирование!AV37</f>
        <v>1075176.6200000001</v>
      </c>
      <c r="O118" s="117"/>
      <c r="P118" s="111">
        <f t="shared" si="95"/>
        <v>1075176.6200000001</v>
      </c>
      <c r="Q118" s="117"/>
      <c r="R118" s="117"/>
      <c r="S118" s="117"/>
      <c r="T118" s="117"/>
      <c r="U118" s="117"/>
      <c r="V118" s="880"/>
      <c r="W118" s="111">
        <f>W82-X82</f>
        <v>593808468.51999962</v>
      </c>
      <c r="X118" s="117"/>
      <c r="Y118" s="117"/>
      <c r="Z118" s="117"/>
      <c r="AA118" s="117"/>
      <c r="AB118" s="117"/>
      <c r="AC118" s="117"/>
      <c r="AD118" s="117"/>
      <c r="AE118" s="117"/>
      <c r="AF118" s="117"/>
      <c r="AG118" s="117"/>
      <c r="AH118" s="117"/>
      <c r="AI118" s="117"/>
      <c r="AJ118" s="117"/>
      <c r="AK118" s="117"/>
      <c r="AL118" s="117"/>
      <c r="AM118" s="117"/>
      <c r="AN118" s="117"/>
    </row>
    <row r="119" spans="7:40" hidden="1" x14ac:dyDescent="0.3">
      <c r="G119" s="117"/>
      <c r="H119" s="117"/>
      <c r="I119" s="117"/>
      <c r="J119" s="117"/>
      <c r="K119" s="117"/>
      <c r="L119" s="117"/>
      <c r="M119" s="117">
        <v>852</v>
      </c>
      <c r="N119" s="111">
        <f>Санкционирование!AV38</f>
        <v>209267.46000000002</v>
      </c>
      <c r="O119" s="117"/>
      <c r="P119" s="111">
        <f t="shared" si="95"/>
        <v>209267.46000000002</v>
      </c>
      <c r="Q119" s="117"/>
      <c r="R119" s="117"/>
      <c r="S119" s="117"/>
      <c r="T119" s="117"/>
      <c r="U119" s="117"/>
      <c r="V119" s="880"/>
      <c r="W119" s="111"/>
      <c r="X119" s="117"/>
      <c r="Y119" s="117"/>
      <c r="Z119" s="117"/>
      <c r="AA119" s="117"/>
      <c r="AB119" s="117"/>
      <c r="AC119" s="117"/>
      <c r="AD119" s="117"/>
      <c r="AE119" s="117"/>
      <c r="AF119" s="117"/>
      <c r="AG119" s="117"/>
      <c r="AH119" s="117"/>
      <c r="AI119" s="117"/>
      <c r="AJ119" s="117"/>
      <c r="AK119" s="117"/>
      <c r="AL119" s="117"/>
      <c r="AM119" s="117"/>
      <c r="AN119" s="117"/>
    </row>
    <row r="120" spans="7:40" hidden="1" x14ac:dyDescent="0.3">
      <c r="G120" s="117"/>
      <c r="H120" s="117"/>
      <c r="I120" s="117"/>
      <c r="J120" s="117"/>
      <c r="K120" s="117"/>
      <c r="L120" s="117"/>
      <c r="M120" s="117">
        <v>853</v>
      </c>
      <c r="N120" s="111">
        <f>Санкционирование!AV39</f>
        <v>101642.56999999999</v>
      </c>
      <c r="O120" s="117"/>
      <c r="P120" s="111">
        <f t="shared" si="95"/>
        <v>101642.56999999999</v>
      </c>
      <c r="Q120" s="117"/>
      <c r="R120" s="117"/>
      <c r="S120" s="117"/>
      <c r="T120" s="117"/>
      <c r="U120" s="117"/>
      <c r="V120" s="880"/>
      <c r="W120" s="111"/>
      <c r="X120" s="117"/>
      <c r="Y120" s="117"/>
      <c r="Z120" s="111">
        <f>1216891000.01-AA18</f>
        <v>-916603499.99000001</v>
      </c>
      <c r="AA120" s="117"/>
      <c r="AB120" s="117"/>
      <c r="AC120" s="117"/>
      <c r="AD120" s="117"/>
      <c r="AE120" s="117"/>
      <c r="AF120" s="117"/>
      <c r="AG120" s="117"/>
      <c r="AH120" s="117"/>
      <c r="AI120" s="117"/>
      <c r="AJ120" s="117"/>
      <c r="AK120" s="117"/>
      <c r="AL120" s="117"/>
      <c r="AM120" s="117"/>
      <c r="AN120" s="117"/>
    </row>
    <row r="121" spans="7:40" hidden="1" x14ac:dyDescent="0.3">
      <c r="G121" s="117"/>
      <c r="H121" s="117"/>
      <c r="I121" s="117"/>
      <c r="J121" s="117"/>
      <c r="K121" s="117"/>
      <c r="L121" s="117"/>
      <c r="M121" s="880" t="s">
        <v>293</v>
      </c>
      <c r="N121" s="111">
        <f>SUM(N107:N120)</f>
        <v>21072590.98</v>
      </c>
      <c r="O121" s="117"/>
      <c r="P121" s="111">
        <f>SUM(P107:P120)</f>
        <v>4548450.4734254964</v>
      </c>
      <c r="Q121" s="117"/>
      <c r="R121" s="117"/>
      <c r="S121" s="117"/>
      <c r="T121" s="117"/>
      <c r="U121" s="117"/>
      <c r="V121" s="880"/>
      <c r="W121" s="111"/>
      <c r="X121" s="117"/>
      <c r="Y121" s="117"/>
      <c r="Z121" s="117"/>
      <c r="AA121" s="117"/>
      <c r="AB121" s="117"/>
      <c r="AC121" s="117"/>
      <c r="AD121" s="117"/>
      <c r="AE121" s="117"/>
      <c r="AF121" s="117"/>
      <c r="AG121" s="117"/>
      <c r="AH121" s="117"/>
      <c r="AI121" s="117"/>
      <c r="AJ121" s="117"/>
      <c r="AK121" s="117"/>
      <c r="AL121" s="117"/>
      <c r="AM121" s="117"/>
      <c r="AN121" s="117"/>
    </row>
    <row r="122" spans="7:40" hidden="1" x14ac:dyDescent="0.3">
      <c r="G122" s="117"/>
      <c r="H122" s="117"/>
      <c r="I122" s="117"/>
      <c r="J122" s="117"/>
      <c r="K122" s="117"/>
      <c r="L122" s="117"/>
      <c r="M122" s="117"/>
      <c r="N122" s="111" t="b">
        <f>N121=Санкционирование!AV22</f>
        <v>1</v>
      </c>
      <c r="O122" s="117"/>
      <c r="P122" s="117"/>
      <c r="Q122" s="117"/>
      <c r="R122" s="117"/>
      <c r="S122" s="117"/>
      <c r="T122" s="117"/>
      <c r="U122" s="117"/>
      <c r="V122" s="880"/>
      <c r="W122" s="117"/>
      <c r="X122" s="117"/>
      <c r="Y122" s="117"/>
      <c r="Z122" s="117"/>
      <c r="AA122" s="117"/>
      <c r="AB122" s="117"/>
      <c r="AC122" s="117"/>
      <c r="AD122" s="117"/>
      <c r="AE122" s="117"/>
      <c r="AF122" s="117"/>
      <c r="AG122" s="117"/>
      <c r="AH122" s="117"/>
      <c r="AI122" s="117"/>
      <c r="AJ122" s="117"/>
      <c r="AK122" s="117"/>
      <c r="AL122" s="117"/>
      <c r="AM122" s="117"/>
      <c r="AN122" s="117"/>
    </row>
    <row r="123" spans="7:40" hidden="1" x14ac:dyDescent="0.3">
      <c r="G123" s="117"/>
      <c r="H123" s="117"/>
      <c r="I123" s="117"/>
      <c r="J123" s="117"/>
      <c r="K123" s="117"/>
      <c r="L123" s="117"/>
      <c r="M123" s="117"/>
      <c r="N123" s="111">
        <f>'[2]декабрь 2018'!$M$39</f>
        <v>21072590.979999892</v>
      </c>
      <c r="O123" s="117"/>
      <c r="P123" s="117"/>
      <c r="Q123" s="117"/>
      <c r="R123" s="117"/>
      <c r="S123" s="117"/>
      <c r="T123" s="117"/>
      <c r="U123" s="117"/>
      <c r="V123" s="880"/>
      <c r="W123" s="117"/>
      <c r="X123" s="117"/>
      <c r="Y123" s="117"/>
      <c r="Z123" s="117"/>
      <c r="AA123" s="117"/>
      <c r="AB123" s="117"/>
      <c r="AC123" s="117"/>
      <c r="AD123" s="117"/>
      <c r="AE123" s="117"/>
      <c r="AF123" s="117"/>
      <c r="AG123" s="117"/>
      <c r="AH123" s="117"/>
      <c r="AI123" s="117"/>
      <c r="AJ123" s="117"/>
      <c r="AK123" s="117"/>
      <c r="AL123" s="117"/>
      <c r="AM123" s="117"/>
      <c r="AN123" s="117"/>
    </row>
    <row r="124" spans="7:40" hidden="1" x14ac:dyDescent="0.3">
      <c r="G124" s="117"/>
      <c r="H124" s="117"/>
      <c r="I124" s="117"/>
      <c r="J124" s="117"/>
      <c r="K124" s="117"/>
      <c r="L124" s="117"/>
      <c r="M124" s="117"/>
      <c r="N124" s="111">
        <f>H82-N121</f>
        <v>3.4255571663379669E-3</v>
      </c>
      <c r="O124" s="117"/>
      <c r="P124" s="117"/>
      <c r="Q124" s="117"/>
      <c r="R124" s="117"/>
      <c r="S124" s="117"/>
      <c r="T124" s="117"/>
      <c r="U124" s="117"/>
      <c r="V124" s="880"/>
      <c r="W124" s="117"/>
      <c r="X124" s="117"/>
      <c r="Y124" s="117"/>
      <c r="Z124" s="117"/>
      <c r="AA124" s="117"/>
      <c r="AB124" s="117"/>
      <c r="AC124" s="117"/>
      <c r="AD124" s="117"/>
      <c r="AE124" s="117"/>
      <c r="AF124" s="117"/>
      <c r="AG124" s="117"/>
      <c r="AH124" s="117"/>
      <c r="AI124" s="117"/>
      <c r="AJ124" s="117"/>
      <c r="AK124" s="117"/>
      <c r="AL124" s="117"/>
      <c r="AM124" s="117"/>
      <c r="AN124" s="117"/>
    </row>
    <row r="125" spans="7:40" hidden="1" x14ac:dyDescent="0.3">
      <c r="G125" s="117"/>
      <c r="H125" s="117"/>
      <c r="I125" s="117"/>
      <c r="J125" s="117"/>
      <c r="K125" s="117"/>
      <c r="L125" s="117"/>
      <c r="M125" s="117"/>
      <c r="N125" s="117"/>
      <c r="O125" s="117"/>
      <c r="P125" s="117"/>
      <c r="Q125" s="117"/>
      <c r="R125" s="117"/>
      <c r="S125" s="117"/>
      <c r="T125" s="117"/>
      <c r="U125" s="117"/>
      <c r="V125" s="117"/>
      <c r="W125" s="117"/>
      <c r="X125" s="117"/>
      <c r="Y125" s="117"/>
      <c r="Z125" s="117"/>
      <c r="AA125" s="117"/>
      <c r="AB125" s="117"/>
      <c r="AC125" s="117"/>
      <c r="AD125" s="117"/>
      <c r="AE125" s="117"/>
      <c r="AF125" s="117"/>
      <c r="AG125" s="117"/>
      <c r="AH125" s="117"/>
      <c r="AI125" s="117"/>
      <c r="AJ125" s="117"/>
      <c r="AK125" s="117"/>
      <c r="AL125" s="117"/>
      <c r="AM125" s="117"/>
      <c r="AN125" s="117"/>
    </row>
    <row r="126" spans="7:40" hidden="1" x14ac:dyDescent="0.3">
      <c r="G126" s="117"/>
      <c r="H126" s="117"/>
      <c r="I126" s="117"/>
      <c r="J126" s="117"/>
      <c r="K126" s="117"/>
      <c r="L126" s="117"/>
      <c r="M126" s="117"/>
      <c r="N126" s="117"/>
      <c r="O126" s="117"/>
      <c r="P126" s="117"/>
      <c r="Q126" s="117"/>
      <c r="R126" s="117"/>
      <c r="S126" s="117"/>
      <c r="T126" s="117"/>
      <c r="U126" s="117"/>
      <c r="V126" s="117"/>
      <c r="W126" s="117"/>
      <c r="X126" s="117"/>
      <c r="Y126" s="117"/>
      <c r="Z126" s="117"/>
      <c r="AA126" s="117"/>
      <c r="AB126" s="117"/>
      <c r="AC126" s="117"/>
      <c r="AD126" s="117"/>
      <c r="AE126" s="117"/>
      <c r="AF126" s="117"/>
      <c r="AG126" s="117"/>
      <c r="AH126" s="117"/>
      <c r="AI126" s="117"/>
      <c r="AJ126" s="117"/>
      <c r="AK126" s="117"/>
      <c r="AL126" s="117"/>
      <c r="AM126" s="117"/>
      <c r="AN126" s="117"/>
    </row>
    <row r="127" spans="7:40" hidden="1" x14ac:dyDescent="0.3">
      <c r="G127" s="117"/>
      <c r="H127" s="117"/>
      <c r="I127" s="117"/>
      <c r="J127" s="117"/>
      <c r="K127" s="117"/>
      <c r="L127" s="117"/>
      <c r="M127" s="117"/>
      <c r="N127" s="117"/>
      <c r="O127" s="117"/>
      <c r="P127" s="117"/>
      <c r="Q127" s="117"/>
      <c r="R127" s="117"/>
      <c r="S127" s="117"/>
      <c r="T127" s="117"/>
      <c r="U127" s="117"/>
      <c r="V127" s="117"/>
      <c r="W127" s="117"/>
      <c r="X127" s="117"/>
      <c r="Y127" s="117"/>
      <c r="Z127" s="117"/>
      <c r="AA127" s="117"/>
      <c r="AB127" s="117"/>
      <c r="AC127" s="117"/>
      <c r="AD127" s="117"/>
      <c r="AE127" s="117"/>
      <c r="AF127" s="117"/>
      <c r="AG127" s="117"/>
      <c r="AH127" s="117"/>
      <c r="AI127" s="117"/>
      <c r="AJ127" s="117"/>
      <c r="AK127" s="117"/>
      <c r="AL127" s="117"/>
      <c r="AM127" s="117"/>
      <c r="AN127" s="117"/>
    </row>
    <row r="128" spans="7:40" hidden="1" x14ac:dyDescent="0.3">
      <c r="G128" s="117"/>
      <c r="H128" s="117"/>
      <c r="I128" s="117"/>
      <c r="J128" s="117"/>
      <c r="K128" s="117"/>
      <c r="L128" s="117"/>
      <c r="M128" s="117"/>
      <c r="N128" s="117"/>
      <c r="O128" s="117"/>
      <c r="P128" s="117"/>
      <c r="Q128" s="117"/>
      <c r="R128" s="117"/>
      <c r="S128" s="117"/>
      <c r="T128" s="117"/>
      <c r="U128" s="117"/>
      <c r="V128" s="117"/>
      <c r="W128" s="117"/>
      <c r="X128" s="117"/>
      <c r="Y128" s="117"/>
      <c r="Z128" s="117"/>
      <c r="AA128" s="117"/>
      <c r="AB128" s="117"/>
      <c r="AC128" s="117"/>
      <c r="AD128" s="117"/>
      <c r="AE128" s="117"/>
      <c r="AF128" s="117"/>
      <c r="AG128" s="117"/>
      <c r="AH128" s="117"/>
      <c r="AI128" s="117"/>
      <c r="AJ128" s="117"/>
      <c r="AK128" s="117"/>
      <c r="AL128" s="117"/>
      <c r="AM128" s="117"/>
      <c r="AN128" s="117"/>
    </row>
    <row r="129" spans="7:40" hidden="1" x14ac:dyDescent="0.3">
      <c r="G129" s="117"/>
      <c r="H129" s="117"/>
      <c r="I129" s="117"/>
      <c r="J129" s="117"/>
      <c r="K129" s="117"/>
      <c r="L129" s="117"/>
      <c r="M129" s="117"/>
      <c r="N129" s="117"/>
      <c r="O129" s="117"/>
      <c r="P129" s="117"/>
      <c r="Q129" s="117"/>
      <c r="R129" s="117"/>
      <c r="S129" s="117"/>
      <c r="T129" s="117"/>
      <c r="U129" s="117"/>
      <c r="V129" s="117"/>
      <c r="W129" s="117"/>
      <c r="X129" s="117"/>
      <c r="Y129" s="117"/>
      <c r="Z129" s="117"/>
      <c r="AA129" s="117"/>
      <c r="AB129" s="117"/>
      <c r="AC129" s="117"/>
      <c r="AD129" s="117"/>
      <c r="AE129" s="117"/>
      <c r="AF129" s="117"/>
      <c r="AG129" s="117"/>
      <c r="AH129" s="117"/>
      <c r="AI129" s="117"/>
      <c r="AJ129" s="117"/>
      <c r="AK129" s="117"/>
      <c r="AL129" s="117"/>
      <c r="AM129" s="117"/>
      <c r="AN129" s="117"/>
    </row>
    <row r="130" spans="7:40" hidden="1" x14ac:dyDescent="0.3"/>
    <row r="131" spans="7:40" hidden="1" x14ac:dyDescent="0.3">
      <c r="H131" s="1250">
        <f>G82+H18</f>
        <v>328138690.97541481</v>
      </c>
    </row>
    <row r="132" spans="7:40" hidden="1" x14ac:dyDescent="0.3"/>
    <row r="133" spans="7:40" hidden="1" x14ac:dyDescent="0.3">
      <c r="J133" s="1250">
        <v>16524140.510000005</v>
      </c>
      <c r="K133" s="155">
        <v>12691352.16</v>
      </c>
      <c r="L133" s="155">
        <f>K133*0.302</f>
        <v>3832788.3523200001</v>
      </c>
      <c r="M133" s="155">
        <f>K133+L133</f>
        <v>16524140.512320001</v>
      </c>
    </row>
    <row r="134" spans="7:40" hidden="1" x14ac:dyDescent="0.3">
      <c r="J134" s="1250">
        <f>J133-J135</f>
        <v>11533850.075980004</v>
      </c>
      <c r="K134" s="155">
        <f>J134*1.302</f>
        <v>15017072.798925966</v>
      </c>
    </row>
    <row r="135" spans="7:40" hidden="1" x14ac:dyDescent="0.3">
      <c r="J135" s="155">
        <f>J133*0.302</f>
        <v>4990290.4340200014</v>
      </c>
    </row>
    <row r="136" spans="7:40" hidden="1" x14ac:dyDescent="0.3"/>
    <row r="137" spans="7:40" hidden="1" x14ac:dyDescent="0.3"/>
    <row r="138" spans="7:40" hidden="1" x14ac:dyDescent="0.3"/>
    <row r="139" spans="7:40" hidden="1" x14ac:dyDescent="0.3"/>
    <row r="140" spans="7:40" hidden="1" x14ac:dyDescent="0.3"/>
    <row r="141" spans="7:40" hidden="1" x14ac:dyDescent="0.3"/>
    <row r="142" spans="7:40" hidden="1" x14ac:dyDescent="0.3"/>
    <row r="143" spans="7:40" hidden="1" x14ac:dyDescent="0.3"/>
    <row r="144" spans="7:40" hidden="1" x14ac:dyDescent="0.3"/>
    <row r="145" hidden="1" x14ac:dyDescent="0.3"/>
    <row r="146" hidden="1" x14ac:dyDescent="0.3"/>
    <row r="147" hidden="1" x14ac:dyDescent="0.3"/>
    <row r="148" hidden="1" x14ac:dyDescent="0.3"/>
    <row r="149" hidden="1" x14ac:dyDescent="0.3"/>
    <row r="150" hidden="1" x14ac:dyDescent="0.3"/>
    <row r="151" hidden="1" x14ac:dyDescent="0.3"/>
    <row r="152" hidden="1" x14ac:dyDescent="0.3"/>
    <row r="153" hidden="1" x14ac:dyDescent="0.3"/>
    <row r="154" hidden="1" x14ac:dyDescent="0.3"/>
    <row r="155" hidden="1" x14ac:dyDescent="0.3"/>
  </sheetData>
  <mergeCells count="53">
    <mergeCell ref="C63:C65"/>
    <mergeCell ref="A67:A68"/>
    <mergeCell ref="A69:A70"/>
    <mergeCell ref="B69:B70"/>
    <mergeCell ref="A72:A73"/>
    <mergeCell ref="B72:B73"/>
    <mergeCell ref="A63:A66"/>
    <mergeCell ref="A38:A39"/>
    <mergeCell ref="B43:B47"/>
    <mergeCell ref="B49:B51"/>
    <mergeCell ref="B52:B53"/>
    <mergeCell ref="A59:A62"/>
    <mergeCell ref="C59:C61"/>
    <mergeCell ref="BL15:BM15"/>
    <mergeCell ref="BN15:BO15"/>
    <mergeCell ref="BV15:BW15"/>
    <mergeCell ref="BX15:BY15"/>
    <mergeCell ref="AO15:AO16"/>
    <mergeCell ref="AP15:AP16"/>
    <mergeCell ref="AQ15:BC15"/>
    <mergeCell ref="AE15:AE16"/>
    <mergeCell ref="I15:I16"/>
    <mergeCell ref="J15:R15"/>
    <mergeCell ref="V15:V16"/>
    <mergeCell ref="W15:W16"/>
    <mergeCell ref="X15:X16"/>
    <mergeCell ref="Y15:Y16"/>
    <mergeCell ref="B33:B35"/>
    <mergeCell ref="B36:B39"/>
    <mergeCell ref="AL15:AL16"/>
    <mergeCell ref="AM15:AM16"/>
    <mergeCell ref="AN15:AN16"/>
    <mergeCell ref="AF15:AF16"/>
    <mergeCell ref="AG15:AG16"/>
    <mergeCell ref="AH15:AH16"/>
    <mergeCell ref="AI15:AI16"/>
    <mergeCell ref="AJ15:AJ16"/>
    <mergeCell ref="AK15:AK16"/>
    <mergeCell ref="Z15:Z16"/>
    <mergeCell ref="AA15:AA16"/>
    <mergeCell ref="AB15:AB16"/>
    <mergeCell ref="AC15:AC16"/>
    <mergeCell ref="AD15:AD16"/>
    <mergeCell ref="A13:A16"/>
    <mergeCell ref="B13:B16"/>
    <mergeCell ref="C13:C16"/>
    <mergeCell ref="D13:BC13"/>
    <mergeCell ref="D14:D16"/>
    <mergeCell ref="E14:E16"/>
    <mergeCell ref="F14:F16"/>
    <mergeCell ref="G14:BC14"/>
    <mergeCell ref="G15:G16"/>
    <mergeCell ref="H15:H16"/>
  </mergeCells>
  <pageMargins left="0" right="0" top="0.31496062992125984" bottom="0.15748031496062992" header="0.19685039370078741" footer="0.15748031496062992"/>
  <pageSetup paperSize="8" scale="48" fitToWidth="0" orientation="landscape" r:id="rId1"/>
  <rowBreaks count="1" manualBreakCount="1">
    <brk id="42" max="38" man="1"/>
  </rowBreaks>
  <legacy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  <pageSetUpPr fitToPage="1"/>
  </sheetPr>
  <dimension ref="A1:AR105"/>
  <sheetViews>
    <sheetView topLeftCell="B1" zoomScale="85" zoomScaleNormal="85" zoomScaleSheetLayoutView="115" workbookViewId="0">
      <pane xSplit="1" ySplit="8" topLeftCell="C9" activePane="bottomRight" state="frozen"/>
      <selection activeCell="B1" sqref="B1"/>
      <selection pane="topRight" activeCell="C1" sqref="C1"/>
      <selection pane="bottomLeft" activeCell="B9" sqref="B9"/>
      <selection pane="bottomRight" activeCell="P9" sqref="P9"/>
    </sheetView>
  </sheetViews>
  <sheetFormatPr defaultColWidth="9.140625" defaultRowHeight="18.75" x14ac:dyDescent="0.3"/>
  <cols>
    <col min="1" max="1" width="5.5703125" style="1077" hidden="1" customWidth="1"/>
    <col min="2" max="2" width="43.5703125" style="1143" customWidth="1"/>
    <col min="3" max="3" width="17.5703125" style="1079" customWidth="1"/>
    <col min="4" max="4" width="19.7109375" style="1079" customWidth="1"/>
    <col min="5" max="5" width="21.140625" style="1079" customWidth="1"/>
    <col min="6" max="6" width="15.5703125" style="1150" customWidth="1"/>
    <col min="7" max="7" width="21" style="1150" customWidth="1"/>
    <col min="8" max="8" width="18.85546875" style="1151" customWidth="1"/>
    <col min="9" max="9" width="18.140625" style="1151" customWidth="1"/>
    <col min="10" max="10" width="6.85546875" style="1076" customWidth="1"/>
    <col min="11" max="11" width="55.5703125" style="1076" customWidth="1"/>
    <col min="12" max="12" width="17.7109375" style="1076" customWidth="1"/>
    <col min="13" max="13" width="18.5703125" style="1076" customWidth="1"/>
    <col min="14" max="14" width="13.7109375" style="1076" customWidth="1"/>
    <col min="15" max="15" width="9.140625" style="1076"/>
    <col min="16" max="18" width="18.85546875" style="1151" customWidth="1"/>
    <col min="19" max="19" width="6.85546875" style="1076" customWidth="1"/>
    <col min="20" max="20" width="55.5703125" style="1076" customWidth="1"/>
    <col min="21" max="21" width="17.7109375" style="1076" customWidth="1"/>
    <col min="22" max="22" width="18.5703125" style="1076" customWidth="1"/>
    <col min="23" max="23" width="13.7109375" style="1076" customWidth="1"/>
    <col min="24" max="24" width="9.140625" style="1150"/>
    <col min="25" max="25" width="19.140625" style="1150" customWidth="1"/>
    <col min="26" max="26" width="17.42578125" style="1150" customWidth="1"/>
    <col min="27" max="27" width="15.42578125" style="1150" customWidth="1"/>
    <col min="28" max="28" width="12.5703125" style="1076" customWidth="1"/>
    <col min="29" max="29" width="40.42578125" style="1076" customWidth="1"/>
    <col min="30" max="32" width="23.28515625" style="1076" customWidth="1"/>
    <col min="33" max="33" width="18.85546875" style="1150" customWidth="1"/>
    <col min="34" max="35" width="23.28515625" style="1150" customWidth="1"/>
    <col min="36" max="36" width="18.28515625" style="1150" customWidth="1"/>
    <col min="37" max="37" width="17.140625" style="1149" customWidth="1"/>
    <col min="38" max="38" width="7" style="1150" customWidth="1"/>
    <col min="39" max="41" width="23.28515625" style="1150" customWidth="1"/>
    <col min="42" max="43" width="26" style="1150" customWidth="1"/>
    <col min="44" max="44" width="24.140625" style="1150" customWidth="1"/>
    <col min="45" max="16384" width="9.140625" style="1076"/>
  </cols>
  <sheetData>
    <row r="1" spans="1:44" ht="33" customHeight="1" x14ac:dyDescent="0.3">
      <c r="A1" s="1486" t="s">
        <v>975</v>
      </c>
      <c r="B1" s="1486"/>
      <c r="C1" s="1486"/>
      <c r="D1" s="1486"/>
      <c r="E1" s="1486"/>
      <c r="J1" s="1486" t="s">
        <v>975</v>
      </c>
      <c r="K1" s="1486"/>
      <c r="L1" s="1486"/>
      <c r="M1" s="1486"/>
      <c r="N1" s="1486"/>
      <c r="S1" s="1486" t="s">
        <v>975</v>
      </c>
      <c r="T1" s="1486"/>
      <c r="U1" s="1486"/>
      <c r="V1" s="1486"/>
      <c r="W1" s="1486"/>
      <c r="AB1" s="1486" t="s">
        <v>975</v>
      </c>
      <c r="AC1" s="1486"/>
      <c r="AD1" s="1486"/>
      <c r="AE1" s="1486"/>
      <c r="AF1" s="1486"/>
    </row>
    <row r="2" spans="1:44" ht="20.25" x14ac:dyDescent="0.3">
      <c r="B2" s="1078"/>
      <c r="J2" s="1487" t="s">
        <v>365</v>
      </c>
      <c r="K2" s="1487"/>
      <c r="L2" s="1487"/>
      <c r="M2" s="1487"/>
      <c r="N2" s="1487"/>
      <c r="S2" s="1487" t="s">
        <v>984</v>
      </c>
      <c r="T2" s="1487"/>
      <c r="U2" s="1487"/>
      <c r="V2" s="1487"/>
      <c r="W2" s="1487"/>
      <c r="AB2" s="1487" t="s">
        <v>197</v>
      </c>
      <c r="AC2" s="1487"/>
      <c r="AD2" s="1487"/>
      <c r="AE2" s="1487"/>
      <c r="AF2" s="1487"/>
    </row>
    <row r="3" spans="1:44" x14ac:dyDescent="0.3">
      <c r="A3" s="1488" t="s">
        <v>255</v>
      </c>
      <c r="B3" s="1491" t="s">
        <v>256</v>
      </c>
      <c r="C3" s="1494" t="s">
        <v>259</v>
      </c>
      <c r="D3" s="1494"/>
      <c r="E3" s="1494"/>
      <c r="J3" s="1488" t="s">
        <v>255</v>
      </c>
      <c r="K3" s="1491" t="s">
        <v>256</v>
      </c>
      <c r="L3" s="1494" t="s">
        <v>259</v>
      </c>
      <c r="M3" s="1494"/>
      <c r="N3" s="1494"/>
      <c r="S3" s="1488" t="s">
        <v>255</v>
      </c>
      <c r="T3" s="1491" t="s">
        <v>256</v>
      </c>
      <c r="U3" s="1494" t="s">
        <v>259</v>
      </c>
      <c r="V3" s="1494"/>
      <c r="W3" s="1494"/>
      <c r="AB3" s="1488" t="s">
        <v>255</v>
      </c>
      <c r="AC3" s="1491" t="s">
        <v>256</v>
      </c>
      <c r="AD3" s="1494" t="s">
        <v>259</v>
      </c>
      <c r="AE3" s="1494"/>
      <c r="AF3" s="1494"/>
    </row>
    <row r="4" spans="1:44" ht="15" customHeight="1" x14ac:dyDescent="0.3">
      <c r="A4" s="1489"/>
      <c r="B4" s="1492"/>
      <c r="C4" s="1495" t="s">
        <v>261</v>
      </c>
      <c r="D4" s="1495"/>
      <c r="E4" s="1495"/>
      <c r="J4" s="1489"/>
      <c r="K4" s="1492"/>
      <c r="L4" s="1495" t="s">
        <v>261</v>
      </c>
      <c r="M4" s="1495"/>
      <c r="N4" s="1495"/>
      <c r="S4" s="1489"/>
      <c r="T4" s="1492"/>
      <c r="U4" s="1495" t="s">
        <v>261</v>
      </c>
      <c r="V4" s="1495"/>
      <c r="W4" s="1495"/>
      <c r="AB4" s="1489"/>
      <c r="AC4" s="1492"/>
      <c r="AD4" s="1495" t="s">
        <v>261</v>
      </c>
      <c r="AE4" s="1495"/>
      <c r="AF4" s="1495"/>
    </row>
    <row r="5" spans="1:44" s="1081" customFormat="1" x14ac:dyDescent="0.3">
      <c r="A5" s="1489"/>
      <c r="B5" s="1492"/>
      <c r="C5" s="1080" t="s">
        <v>262</v>
      </c>
      <c r="D5" s="1496">
        <v>16076</v>
      </c>
      <c r="E5" s="1496"/>
      <c r="F5" s="1151"/>
      <c r="G5" s="1151"/>
      <c r="H5" s="1151"/>
      <c r="I5" s="1151"/>
      <c r="J5" s="1489"/>
      <c r="K5" s="1492"/>
      <c r="L5" s="1080" t="s">
        <v>262</v>
      </c>
      <c r="M5" s="1496">
        <v>41150</v>
      </c>
      <c r="N5" s="1496"/>
      <c r="P5" s="1151"/>
      <c r="Q5" s="1151"/>
      <c r="R5" s="1151"/>
      <c r="S5" s="1489"/>
      <c r="T5" s="1492"/>
      <c r="U5" s="1080" t="s">
        <v>262</v>
      </c>
      <c r="V5" s="1496">
        <v>2000</v>
      </c>
      <c r="W5" s="1496"/>
      <c r="X5" s="1151"/>
      <c r="Y5" s="1151"/>
      <c r="Z5" s="1151"/>
      <c r="AA5" s="1151"/>
      <c r="AB5" s="1489"/>
      <c r="AC5" s="1492"/>
      <c r="AD5" s="1080" t="s">
        <v>262</v>
      </c>
      <c r="AE5" s="1496">
        <v>12000</v>
      </c>
      <c r="AF5" s="1496"/>
      <c r="AG5" s="1151"/>
      <c r="AH5" s="1151"/>
      <c r="AI5" s="1151"/>
      <c r="AJ5" s="1151"/>
      <c r="AK5" s="1149"/>
      <c r="AL5" s="1151"/>
      <c r="AM5" s="1151"/>
      <c r="AN5" s="1151"/>
      <c r="AO5" s="1151"/>
      <c r="AP5" s="1151"/>
      <c r="AQ5" s="1151"/>
      <c r="AR5" s="1151"/>
    </row>
    <row r="6" spans="1:44" s="1161" customFormat="1" ht="24" customHeight="1" x14ac:dyDescent="0.3">
      <c r="A6" s="1498"/>
      <c r="B6" s="1493"/>
      <c r="C6" s="1497" t="s">
        <v>263</v>
      </c>
      <c r="D6" s="1497"/>
      <c r="E6" s="1162" t="s">
        <v>264</v>
      </c>
      <c r="F6" s="1187"/>
      <c r="G6" s="1187"/>
      <c r="H6" s="1479" t="s">
        <v>988</v>
      </c>
      <c r="I6" s="1479"/>
      <c r="J6" s="1490"/>
      <c r="K6" s="1493"/>
      <c r="L6" s="1497" t="s">
        <v>263</v>
      </c>
      <c r="M6" s="1497"/>
      <c r="N6" s="1159" t="s">
        <v>264</v>
      </c>
      <c r="P6" s="1187"/>
      <c r="Q6" s="1479" t="s">
        <v>365</v>
      </c>
      <c r="R6" s="1479"/>
      <c r="S6" s="1490"/>
      <c r="T6" s="1493"/>
      <c r="U6" s="1497" t="s">
        <v>263</v>
      </c>
      <c r="V6" s="1497"/>
      <c r="W6" s="1159" t="s">
        <v>264</v>
      </c>
      <c r="X6" s="1160"/>
      <c r="Y6" s="1187"/>
      <c r="Z6" s="1479" t="s">
        <v>984</v>
      </c>
      <c r="AA6" s="1479"/>
      <c r="AB6" s="1490"/>
      <c r="AC6" s="1493"/>
      <c r="AD6" s="1497" t="s">
        <v>263</v>
      </c>
      <c r="AE6" s="1497"/>
      <c r="AF6" s="1159" t="s">
        <v>264</v>
      </c>
      <c r="AG6" s="1160"/>
      <c r="AH6" s="1187"/>
      <c r="AI6" s="1479" t="s">
        <v>197</v>
      </c>
      <c r="AJ6" s="1479"/>
      <c r="AK6" s="1221"/>
      <c r="AL6" s="1160"/>
      <c r="AM6" s="1500" t="s">
        <v>991</v>
      </c>
      <c r="AN6" s="1501"/>
      <c r="AO6" s="1501"/>
      <c r="AP6" s="1501"/>
      <c r="AQ6" s="1501"/>
      <c r="AR6" s="1502"/>
    </row>
    <row r="7" spans="1:44" ht="46.5" customHeight="1" x14ac:dyDescent="0.3">
      <c r="A7" s="1082">
        <v>1</v>
      </c>
      <c r="B7" s="1482" t="s">
        <v>265</v>
      </c>
      <c r="C7" s="1482"/>
      <c r="D7" s="1482"/>
      <c r="E7" s="1473"/>
      <c r="F7" s="1188"/>
      <c r="G7" s="1188" t="s">
        <v>989</v>
      </c>
      <c r="H7" s="1189" t="s">
        <v>985</v>
      </c>
      <c r="I7" s="1189" t="s">
        <v>986</v>
      </c>
      <c r="J7" s="1176">
        <v>1</v>
      </c>
      <c r="K7" s="1482" t="s">
        <v>265</v>
      </c>
      <c r="L7" s="1482"/>
      <c r="M7" s="1482"/>
      <c r="N7" s="1482"/>
      <c r="P7" s="1188" t="s">
        <v>989</v>
      </c>
      <c r="Q7" s="1189" t="s">
        <v>985</v>
      </c>
      <c r="R7" s="1189" t="s">
        <v>986</v>
      </c>
      <c r="S7" s="1176">
        <v>1</v>
      </c>
      <c r="T7" s="1482" t="s">
        <v>265</v>
      </c>
      <c r="U7" s="1482"/>
      <c r="V7" s="1482"/>
      <c r="W7" s="1482"/>
      <c r="Y7" s="1188" t="s">
        <v>989</v>
      </c>
      <c r="Z7" s="1189" t="s">
        <v>985</v>
      </c>
      <c r="AA7" s="1189" t="s">
        <v>986</v>
      </c>
      <c r="AB7" s="1176">
        <v>1</v>
      </c>
      <c r="AC7" s="1482" t="s">
        <v>265</v>
      </c>
      <c r="AD7" s="1482"/>
      <c r="AE7" s="1482"/>
      <c r="AF7" s="1482"/>
      <c r="AH7" s="1188" t="s">
        <v>989</v>
      </c>
      <c r="AI7" s="1189" t="s">
        <v>985</v>
      </c>
      <c r="AJ7" s="1189" t="s">
        <v>986</v>
      </c>
      <c r="AM7" s="1189" t="s">
        <v>356</v>
      </c>
      <c r="AN7" s="1188" t="s">
        <v>989</v>
      </c>
      <c r="AO7" s="1189" t="s">
        <v>356</v>
      </c>
      <c r="AP7" s="1189" t="s">
        <v>985</v>
      </c>
      <c r="AQ7" s="1189" t="s">
        <v>356</v>
      </c>
      <c r="AR7" s="1189" t="s">
        <v>986</v>
      </c>
    </row>
    <row r="8" spans="1:44" ht="36.75" customHeight="1" x14ac:dyDescent="0.3">
      <c r="A8" s="1083" t="s">
        <v>266</v>
      </c>
      <c r="B8" s="1483" t="s">
        <v>267</v>
      </c>
      <c r="C8" s="1483"/>
      <c r="D8" s="1483"/>
      <c r="E8" s="1477"/>
      <c r="F8" s="1188"/>
      <c r="G8" s="1188"/>
      <c r="H8" s="1189"/>
      <c r="I8" s="1189"/>
      <c r="J8" s="1177" t="s">
        <v>266</v>
      </c>
      <c r="K8" s="1483" t="s">
        <v>267</v>
      </c>
      <c r="L8" s="1483"/>
      <c r="M8" s="1483"/>
      <c r="N8" s="1483"/>
      <c r="P8" s="1189"/>
      <c r="Q8" s="1189"/>
      <c r="R8" s="1189"/>
      <c r="S8" s="1177" t="s">
        <v>266</v>
      </c>
      <c r="T8" s="1483" t="s">
        <v>267</v>
      </c>
      <c r="U8" s="1483"/>
      <c r="V8" s="1483"/>
      <c r="W8" s="1483"/>
      <c r="Y8" s="1188"/>
      <c r="Z8" s="1188"/>
      <c r="AA8" s="1188"/>
      <c r="AB8" s="1177" t="s">
        <v>266</v>
      </c>
      <c r="AC8" s="1483" t="s">
        <v>267</v>
      </c>
      <c r="AD8" s="1483"/>
      <c r="AE8" s="1483"/>
      <c r="AF8" s="1483"/>
      <c r="AH8" s="1188"/>
      <c r="AI8" s="1188"/>
      <c r="AJ8" s="1188"/>
      <c r="AM8" s="1188"/>
      <c r="AN8" s="1188"/>
      <c r="AO8" s="1188"/>
      <c r="AP8" s="1188"/>
      <c r="AQ8" s="1188"/>
      <c r="AR8" s="1188"/>
    </row>
    <row r="9" spans="1:44" ht="48" customHeight="1" x14ac:dyDescent="0.3">
      <c r="A9" s="1084" t="s">
        <v>270</v>
      </c>
      <c r="B9" s="1085" t="s">
        <v>271</v>
      </c>
      <c r="C9" s="1086">
        <v>899.35509999999999</v>
      </c>
      <c r="D9" s="1087">
        <f>C9*$D$5</f>
        <v>14458032.5876</v>
      </c>
      <c r="E9" s="1163">
        <f>D9/1000</f>
        <v>14458.032587600001</v>
      </c>
      <c r="F9" s="1188">
        <v>211</v>
      </c>
      <c r="G9" s="1190">
        <f>D9+D70</f>
        <v>20778582.2523387</v>
      </c>
      <c r="H9" s="1190">
        <f>30201086.87+19857336.32</f>
        <v>50058423.189999998</v>
      </c>
      <c r="I9" s="1191">
        <f>G9-H9</f>
        <v>-29279840.937661298</v>
      </c>
      <c r="J9" s="1178" t="s">
        <v>270</v>
      </c>
      <c r="K9" s="1085" t="s">
        <v>271</v>
      </c>
      <c r="L9" s="1086">
        <v>899.35509999999999</v>
      </c>
      <c r="M9" s="1087">
        <f t="shared" ref="M9:M15" si="0">L9*$M$5</f>
        <v>37008462.365000002</v>
      </c>
      <c r="N9" s="1087">
        <f>M9/1000</f>
        <v>37008.462364999999</v>
      </c>
      <c r="O9" s="1076">
        <v>211</v>
      </c>
      <c r="P9" s="1191">
        <f>M9+M70</f>
        <v>53187276.666069768</v>
      </c>
      <c r="Q9" s="1191">
        <f>30201086.87-Z9</f>
        <v>21663713.620000001</v>
      </c>
      <c r="R9" s="1191"/>
      <c r="S9" s="1178" t="s">
        <v>270</v>
      </c>
      <c r="T9" s="1085" t="s">
        <v>271</v>
      </c>
      <c r="U9" s="1086">
        <v>899.35509999999999</v>
      </c>
      <c r="V9" s="1087">
        <f>U9*$V$5</f>
        <v>1798710.2</v>
      </c>
      <c r="W9" s="1087">
        <f>V9/1000</f>
        <v>1798.7102</v>
      </c>
      <c r="X9" s="1150">
        <v>211</v>
      </c>
      <c r="Y9" s="1190">
        <f>V9+V70</f>
        <v>2585043.8233812763</v>
      </c>
      <c r="Z9" s="1190">
        <v>8537373.25</v>
      </c>
      <c r="AA9" s="1190"/>
      <c r="AB9" s="1178" t="s">
        <v>270</v>
      </c>
      <c r="AC9" s="1085" t="s">
        <v>271</v>
      </c>
      <c r="AD9" s="1086">
        <v>899.35509999999999</v>
      </c>
      <c r="AE9" s="1087">
        <f>AD9*$AE$5</f>
        <v>10792261.199999999</v>
      </c>
      <c r="AF9" s="1087">
        <f>AE9/1000</f>
        <v>10792.261199999999</v>
      </c>
      <c r="AG9" s="1150">
        <v>211</v>
      </c>
      <c r="AH9" s="1190">
        <f>AE9+AE70</f>
        <v>15510262.940287659</v>
      </c>
      <c r="AI9" s="1190">
        <v>19857336.32</v>
      </c>
      <c r="AJ9" s="1188"/>
      <c r="AK9" s="1149" t="b">
        <f>AM9=G10</f>
        <v>0</v>
      </c>
      <c r="AL9" s="1150">
        <v>211</v>
      </c>
      <c r="AM9" s="1190">
        <f>P10+Y10+AH10</f>
        <v>109723997.41</v>
      </c>
      <c r="AN9" s="1190">
        <f>P9+Y9+AH9</f>
        <v>71282583.4297387</v>
      </c>
      <c r="AO9" s="1190">
        <f>H10</f>
        <v>93378135.340000004</v>
      </c>
      <c r="AP9" s="1190">
        <f>Q9+Z9+AI9</f>
        <v>50058423.189999998</v>
      </c>
      <c r="AQ9" s="1190"/>
      <c r="AR9" s="1188"/>
    </row>
    <row r="10" spans="1:44" ht="29.25" customHeight="1" x14ac:dyDescent="0.3">
      <c r="A10" s="1084" t="s">
        <v>272</v>
      </c>
      <c r="B10" s="1085" t="s">
        <v>235</v>
      </c>
      <c r="C10" s="1086">
        <v>1090.4974999999999</v>
      </c>
      <c r="D10" s="1087">
        <f t="shared" ref="D10:D15" si="1">C10*$D$5</f>
        <v>17530837.809999999</v>
      </c>
      <c r="E10" s="1163">
        <f t="shared" ref="E10:E24" si="2">D10/1000</f>
        <v>17530.837809999997</v>
      </c>
      <c r="F10" s="1192" t="s">
        <v>982</v>
      </c>
      <c r="G10" s="1190">
        <f>D10+D11+D12+D13+D14+D15</f>
        <v>33187638.426399998</v>
      </c>
      <c r="H10" s="1190">
        <v>93378135.340000004</v>
      </c>
      <c r="I10" s="1191">
        <f>G10-H10</f>
        <v>-60190496.913600005</v>
      </c>
      <c r="J10" s="1178" t="s">
        <v>272</v>
      </c>
      <c r="K10" s="1085" t="s">
        <v>235</v>
      </c>
      <c r="L10" s="1086">
        <v>1090.4974999999999</v>
      </c>
      <c r="M10" s="1087">
        <f t="shared" si="0"/>
        <v>44873972.125</v>
      </c>
      <c r="N10" s="1087">
        <f t="shared" ref="N10:N15" si="3">M10/1000</f>
        <v>44873.972125</v>
      </c>
      <c r="O10" s="1149" t="s">
        <v>982</v>
      </c>
      <c r="P10" s="1191">
        <f>M10+M11+M12+M13+M14+M15</f>
        <v>84950940.609999999</v>
      </c>
      <c r="Q10" s="1191">
        <v>93378135.340000004</v>
      </c>
      <c r="R10" s="1189"/>
      <c r="S10" s="1178" t="s">
        <v>272</v>
      </c>
      <c r="T10" s="1085" t="s">
        <v>235</v>
      </c>
      <c r="U10" s="1086">
        <v>1090.4974999999999</v>
      </c>
      <c r="V10" s="1087">
        <f t="shared" ref="V10:V15" si="4">U10*$V$5</f>
        <v>2180995</v>
      </c>
      <c r="W10" s="1087">
        <f t="shared" ref="W10:W15" si="5">V10/1000</f>
        <v>2180.9949999999999</v>
      </c>
      <c r="X10" s="1157" t="s">
        <v>982</v>
      </c>
      <c r="Y10" s="1190"/>
      <c r="Z10" s="1188"/>
      <c r="AA10" s="1188"/>
      <c r="AB10" s="1178" t="s">
        <v>272</v>
      </c>
      <c r="AC10" s="1085" t="s">
        <v>235</v>
      </c>
      <c r="AD10" s="1086">
        <v>1090.4974999999999</v>
      </c>
      <c r="AE10" s="1087">
        <f t="shared" ref="AE10:AE15" si="6">AD10*$AE$5</f>
        <v>13085970</v>
      </c>
      <c r="AF10" s="1087">
        <f t="shared" ref="AF10:AF15" si="7">AE10/1000</f>
        <v>13085.97</v>
      </c>
      <c r="AG10" s="1157" t="s">
        <v>982</v>
      </c>
      <c r="AH10" s="1190">
        <f>AE10+AE11+AE12+AE13+AE14+AE15</f>
        <v>24773056.800000001</v>
      </c>
      <c r="AI10" s="1188"/>
      <c r="AJ10" s="1188"/>
      <c r="AK10" s="1149" t="b">
        <f>AN9=G9</f>
        <v>0</v>
      </c>
      <c r="AL10" s="1157"/>
      <c r="AM10" s="1190"/>
      <c r="AN10" s="1190"/>
      <c r="AO10" s="1190"/>
      <c r="AP10" s="1188"/>
      <c r="AQ10" s="1188"/>
      <c r="AR10" s="1188"/>
    </row>
    <row r="11" spans="1:44" ht="29.25" customHeight="1" x14ac:dyDescent="0.3">
      <c r="A11" s="1084"/>
      <c r="B11" s="1085" t="s">
        <v>630</v>
      </c>
      <c r="C11" s="1086">
        <v>155.37700000000001</v>
      </c>
      <c r="D11" s="1087">
        <f t="shared" si="1"/>
        <v>2497840.6520000002</v>
      </c>
      <c r="E11" s="1163">
        <f t="shared" si="2"/>
        <v>2497.8406520000003</v>
      </c>
      <c r="F11" s="1188">
        <v>212</v>
      </c>
      <c r="G11" s="1190">
        <f>H11</f>
        <v>524668.34</v>
      </c>
      <c r="H11" s="1190">
        <v>524668.34</v>
      </c>
      <c r="I11" s="1191">
        <f>G11-H11</f>
        <v>0</v>
      </c>
      <c r="J11" s="1178"/>
      <c r="K11" s="1085" t="s">
        <v>630</v>
      </c>
      <c r="L11" s="1086">
        <v>155.37700000000001</v>
      </c>
      <c r="M11" s="1087">
        <f t="shared" si="0"/>
        <v>6393763.5500000007</v>
      </c>
      <c r="N11" s="1087">
        <f t="shared" si="3"/>
        <v>6393.7635500000006</v>
      </c>
      <c r="P11" s="1189"/>
      <c r="Q11" s="1191">
        <f>347915.5-Z11</f>
        <v>271923.18</v>
      </c>
      <c r="R11" s="1189"/>
      <c r="S11" s="1178"/>
      <c r="T11" s="1085" t="s">
        <v>630</v>
      </c>
      <c r="U11" s="1086">
        <v>155.37700000000001</v>
      </c>
      <c r="V11" s="1087">
        <f t="shared" si="4"/>
        <v>310754</v>
      </c>
      <c r="W11" s="1087">
        <f t="shared" si="5"/>
        <v>310.75400000000002</v>
      </c>
      <c r="Y11" s="1188"/>
      <c r="Z11" s="1199">
        <v>75992.320000000007</v>
      </c>
      <c r="AA11" s="1188"/>
      <c r="AB11" s="1178"/>
      <c r="AC11" s="1085" t="s">
        <v>630</v>
      </c>
      <c r="AD11" s="1086">
        <v>155.37700000000001</v>
      </c>
      <c r="AE11" s="1087">
        <f t="shared" si="6"/>
        <v>1864524</v>
      </c>
      <c r="AF11" s="1087">
        <f t="shared" si="7"/>
        <v>1864.5239999999999</v>
      </c>
      <c r="AH11" s="1188"/>
      <c r="AI11" s="1190">
        <v>176752.84</v>
      </c>
      <c r="AJ11" s="1188"/>
      <c r="AK11" s="1149" t="b">
        <f>AN11=G11</f>
        <v>1</v>
      </c>
      <c r="AL11" s="1150">
        <v>212</v>
      </c>
      <c r="AM11" s="1188"/>
      <c r="AN11" s="1190">
        <f>Q11+Z11+AI11</f>
        <v>524668.34</v>
      </c>
      <c r="AO11" s="1188"/>
      <c r="AP11" s="1190">
        <f>Q11+Z11+AI11</f>
        <v>524668.34</v>
      </c>
      <c r="AQ11" s="1188"/>
      <c r="AR11" s="1188"/>
    </row>
    <row r="12" spans="1:44" ht="29.25" customHeight="1" x14ac:dyDescent="0.3">
      <c r="A12" s="1084"/>
      <c r="B12" s="1085" t="s">
        <v>631</v>
      </c>
      <c r="C12" s="1086">
        <v>0</v>
      </c>
      <c r="D12" s="1087">
        <f t="shared" si="1"/>
        <v>0</v>
      </c>
      <c r="E12" s="1163">
        <f t="shared" si="2"/>
        <v>0</v>
      </c>
      <c r="F12" s="1188"/>
      <c r="G12" s="1188"/>
      <c r="H12" s="1190"/>
      <c r="I12" s="1189"/>
      <c r="J12" s="1178"/>
      <c r="K12" s="1085" t="s">
        <v>631</v>
      </c>
      <c r="L12" s="1086">
        <v>0</v>
      </c>
      <c r="M12" s="1087">
        <f t="shared" si="0"/>
        <v>0</v>
      </c>
      <c r="N12" s="1087">
        <f t="shared" si="3"/>
        <v>0</v>
      </c>
      <c r="P12" s="1189"/>
      <c r="Q12" s="1191"/>
      <c r="R12" s="1189"/>
      <c r="S12" s="1178"/>
      <c r="T12" s="1085" t="s">
        <v>631</v>
      </c>
      <c r="U12" s="1086">
        <v>0</v>
      </c>
      <c r="V12" s="1087">
        <f t="shared" si="4"/>
        <v>0</v>
      </c>
      <c r="W12" s="1087">
        <f t="shared" si="5"/>
        <v>0</v>
      </c>
      <c r="Y12" s="1188"/>
      <c r="Z12" s="1199"/>
      <c r="AA12" s="1188"/>
      <c r="AB12" s="1178"/>
      <c r="AC12" s="1085" t="s">
        <v>631</v>
      </c>
      <c r="AD12" s="1086">
        <v>0</v>
      </c>
      <c r="AE12" s="1087">
        <f t="shared" si="6"/>
        <v>0</v>
      </c>
      <c r="AF12" s="1087">
        <f t="shared" si="7"/>
        <v>0</v>
      </c>
      <c r="AH12" s="1188"/>
      <c r="AI12" s="1188"/>
      <c r="AJ12" s="1188"/>
      <c r="AM12" s="1188"/>
      <c r="AN12" s="1188"/>
      <c r="AO12" s="1188"/>
      <c r="AP12" s="1188"/>
      <c r="AQ12" s="1188"/>
      <c r="AR12" s="1188"/>
    </row>
    <row r="13" spans="1:44" ht="29.25" customHeight="1" x14ac:dyDescent="0.3">
      <c r="A13" s="1084"/>
      <c r="B13" s="1085" t="s">
        <v>632</v>
      </c>
      <c r="C13" s="1086">
        <v>504.40449999999998</v>
      </c>
      <c r="D13" s="1087">
        <f t="shared" si="1"/>
        <v>8108806.7419999996</v>
      </c>
      <c r="E13" s="1163">
        <f t="shared" si="2"/>
        <v>8108.8067419999998</v>
      </c>
      <c r="F13" s="1188"/>
      <c r="G13" s="1188"/>
      <c r="H13" s="1190"/>
      <c r="I13" s="1189"/>
      <c r="J13" s="1178"/>
      <c r="K13" s="1085" t="s">
        <v>632</v>
      </c>
      <c r="L13" s="1086">
        <v>504.40449999999998</v>
      </c>
      <c r="M13" s="1087">
        <f t="shared" si="0"/>
        <v>20756245.175000001</v>
      </c>
      <c r="N13" s="1087">
        <f t="shared" si="3"/>
        <v>20756.245175</v>
      </c>
      <c r="P13" s="1189"/>
      <c r="Q13" s="1191"/>
      <c r="R13" s="1189"/>
      <c r="S13" s="1178"/>
      <c r="T13" s="1085" t="s">
        <v>632</v>
      </c>
      <c r="U13" s="1086">
        <v>504.40449999999998</v>
      </c>
      <c r="V13" s="1087">
        <f t="shared" si="4"/>
        <v>1008809</v>
      </c>
      <c r="W13" s="1087">
        <f t="shared" si="5"/>
        <v>1008.809</v>
      </c>
      <c r="Y13" s="1188"/>
      <c r="Z13" s="1199"/>
      <c r="AA13" s="1188"/>
      <c r="AB13" s="1178"/>
      <c r="AC13" s="1085" t="s">
        <v>632</v>
      </c>
      <c r="AD13" s="1086">
        <v>504.40449999999998</v>
      </c>
      <c r="AE13" s="1087">
        <f t="shared" si="6"/>
        <v>6052854</v>
      </c>
      <c r="AF13" s="1087">
        <f t="shared" si="7"/>
        <v>6052.8540000000003</v>
      </c>
      <c r="AH13" s="1188"/>
      <c r="AI13" s="1188"/>
      <c r="AJ13" s="1188"/>
      <c r="AM13" s="1188"/>
      <c r="AN13" s="1188"/>
      <c r="AO13" s="1188"/>
      <c r="AP13" s="1188"/>
      <c r="AQ13" s="1188"/>
      <c r="AR13" s="1188"/>
    </row>
    <row r="14" spans="1:44" ht="29.25" customHeight="1" x14ac:dyDescent="0.3">
      <c r="A14" s="1084"/>
      <c r="B14" s="1085" t="s">
        <v>633</v>
      </c>
      <c r="C14" s="1086">
        <v>45.723500000000001</v>
      </c>
      <c r="D14" s="1087">
        <f t="shared" si="1"/>
        <v>735050.98600000003</v>
      </c>
      <c r="E14" s="1163">
        <f t="shared" si="2"/>
        <v>735.05098600000008</v>
      </c>
      <c r="F14" s="1188"/>
      <c r="G14" s="1188"/>
      <c r="H14" s="1190"/>
      <c r="I14" s="1189"/>
      <c r="J14" s="1178"/>
      <c r="K14" s="1085" t="s">
        <v>633</v>
      </c>
      <c r="L14" s="1086">
        <v>45.723500000000001</v>
      </c>
      <c r="M14" s="1087">
        <f t="shared" si="0"/>
        <v>1881522.0250000001</v>
      </c>
      <c r="N14" s="1087">
        <f t="shared" si="3"/>
        <v>1881.5220250000002</v>
      </c>
      <c r="P14" s="1189"/>
      <c r="Q14" s="1191"/>
      <c r="R14" s="1189"/>
      <c r="S14" s="1178"/>
      <c r="T14" s="1085" t="s">
        <v>633</v>
      </c>
      <c r="U14" s="1086">
        <v>45.723500000000001</v>
      </c>
      <c r="V14" s="1087">
        <f t="shared" si="4"/>
        <v>91447</v>
      </c>
      <c r="W14" s="1087">
        <f t="shared" si="5"/>
        <v>91.447000000000003</v>
      </c>
      <c r="Y14" s="1188"/>
      <c r="Z14" s="1199"/>
      <c r="AA14" s="1188"/>
      <c r="AB14" s="1178"/>
      <c r="AC14" s="1085" t="s">
        <v>633</v>
      </c>
      <c r="AD14" s="1086">
        <v>45.723500000000001</v>
      </c>
      <c r="AE14" s="1087">
        <f t="shared" si="6"/>
        <v>548682</v>
      </c>
      <c r="AF14" s="1087">
        <f t="shared" si="7"/>
        <v>548.68200000000002</v>
      </c>
      <c r="AH14" s="1188"/>
      <c r="AI14" s="1188"/>
      <c r="AJ14" s="1188"/>
      <c r="AM14" s="1188"/>
      <c r="AN14" s="1188"/>
      <c r="AO14" s="1188"/>
      <c r="AP14" s="1188"/>
      <c r="AQ14" s="1188"/>
      <c r="AR14" s="1188"/>
    </row>
    <row r="15" spans="1:44" ht="29.25" customHeight="1" x14ac:dyDescent="0.3">
      <c r="A15" s="1084"/>
      <c r="B15" s="1085" t="s">
        <v>634</v>
      </c>
      <c r="C15" s="1086">
        <v>268.41890000000001</v>
      </c>
      <c r="D15" s="1087">
        <f t="shared" si="1"/>
        <v>4315102.2363999998</v>
      </c>
      <c r="E15" s="1163">
        <f t="shared" si="2"/>
        <v>4315.1022364</v>
      </c>
      <c r="F15" s="1188"/>
      <c r="G15" s="1188"/>
      <c r="H15" s="1190"/>
      <c r="I15" s="1189"/>
      <c r="J15" s="1178"/>
      <c r="K15" s="1085" t="s">
        <v>634</v>
      </c>
      <c r="L15" s="1086">
        <v>268.41890000000001</v>
      </c>
      <c r="M15" s="1087">
        <f t="shared" si="0"/>
        <v>11045437.734999999</v>
      </c>
      <c r="N15" s="1087">
        <f t="shared" si="3"/>
        <v>11045.437735</v>
      </c>
      <c r="P15" s="1189"/>
      <c r="Q15" s="1191"/>
      <c r="R15" s="1189"/>
      <c r="S15" s="1178"/>
      <c r="T15" s="1085" t="s">
        <v>634</v>
      </c>
      <c r="U15" s="1086">
        <v>268.41890000000001</v>
      </c>
      <c r="V15" s="1087">
        <f t="shared" si="4"/>
        <v>536837.80000000005</v>
      </c>
      <c r="W15" s="1087">
        <f t="shared" si="5"/>
        <v>536.83780000000002</v>
      </c>
      <c r="Y15" s="1188"/>
      <c r="Z15" s="1199"/>
      <c r="AA15" s="1188"/>
      <c r="AB15" s="1178"/>
      <c r="AC15" s="1085" t="s">
        <v>634</v>
      </c>
      <c r="AD15" s="1086">
        <v>268.41890000000001</v>
      </c>
      <c r="AE15" s="1087">
        <f t="shared" si="6"/>
        <v>3221026.8000000003</v>
      </c>
      <c r="AF15" s="1087">
        <f t="shared" si="7"/>
        <v>3221.0268000000001</v>
      </c>
      <c r="AH15" s="1188"/>
      <c r="AI15" s="1188"/>
      <c r="AJ15" s="1188"/>
      <c r="AM15" s="1188"/>
      <c r="AN15" s="1188"/>
      <c r="AO15" s="1188"/>
      <c r="AP15" s="1188"/>
      <c r="AQ15" s="1188"/>
      <c r="AR15" s="1188"/>
    </row>
    <row r="16" spans="1:44" ht="29.25" customHeight="1" x14ac:dyDescent="0.3">
      <c r="A16" s="1084"/>
      <c r="B16" s="1085"/>
      <c r="C16" s="1086"/>
      <c r="D16" s="1087"/>
      <c r="E16" s="1163"/>
      <c r="F16" s="1188"/>
      <c r="G16" s="1188"/>
      <c r="H16" s="1190"/>
      <c r="I16" s="1189"/>
      <c r="J16" s="1178"/>
      <c r="K16" s="1085"/>
      <c r="L16" s="1086"/>
      <c r="M16" s="1087"/>
      <c r="N16" s="1087"/>
      <c r="P16" s="1189"/>
      <c r="Q16" s="1191"/>
      <c r="R16" s="1189"/>
      <c r="S16" s="1178"/>
      <c r="T16" s="1085"/>
      <c r="U16" s="1086"/>
      <c r="V16" s="1087"/>
      <c r="W16" s="1087"/>
      <c r="Y16" s="1188"/>
      <c r="Z16" s="1199"/>
      <c r="AA16" s="1188"/>
      <c r="AB16" s="1178"/>
      <c r="AC16" s="1085"/>
      <c r="AD16" s="1086"/>
      <c r="AE16" s="1087"/>
      <c r="AF16" s="1087"/>
      <c r="AH16" s="1188"/>
      <c r="AI16" s="1188"/>
      <c r="AJ16" s="1188"/>
      <c r="AM16" s="1188"/>
      <c r="AN16" s="1188"/>
      <c r="AO16" s="1188"/>
      <c r="AP16" s="1188"/>
      <c r="AQ16" s="1188"/>
      <c r="AR16" s="1188"/>
    </row>
    <row r="17" spans="1:44" s="1091" customFormat="1" ht="29.25" customHeight="1" x14ac:dyDescent="0.3">
      <c r="A17" s="1088"/>
      <c r="B17" s="1089" t="s">
        <v>273</v>
      </c>
      <c r="C17" s="1090">
        <f t="shared" ref="C17:E17" si="8">SUM(C9:C15)</f>
        <v>2963.7765000000004</v>
      </c>
      <c r="D17" s="1090">
        <f t="shared" si="8"/>
        <v>47645671.013999999</v>
      </c>
      <c r="E17" s="1164">
        <f t="shared" si="8"/>
        <v>47645.671014</v>
      </c>
      <c r="F17" s="1193"/>
      <c r="G17" s="1193"/>
      <c r="H17" s="1190"/>
      <c r="I17" s="1194"/>
      <c r="J17" s="1179"/>
      <c r="K17" s="1089" t="s">
        <v>273</v>
      </c>
      <c r="L17" s="1090">
        <f t="shared" ref="L17:N17" si="9">SUM(L9:L15)</f>
        <v>2963.7765000000004</v>
      </c>
      <c r="M17" s="1090">
        <f t="shared" si="9"/>
        <v>121959402.97500001</v>
      </c>
      <c r="N17" s="1090">
        <f t="shared" si="9"/>
        <v>121959.402975</v>
      </c>
      <c r="P17" s="1194"/>
      <c r="Q17" s="1191"/>
      <c r="R17" s="1194"/>
      <c r="S17" s="1179"/>
      <c r="T17" s="1089" t="s">
        <v>273</v>
      </c>
      <c r="U17" s="1090">
        <f t="shared" ref="U17:W17" si="10">SUM(U9:U15)</f>
        <v>2963.7765000000004</v>
      </c>
      <c r="V17" s="1090">
        <f t="shared" si="10"/>
        <v>5927553</v>
      </c>
      <c r="W17" s="1090">
        <f t="shared" si="10"/>
        <v>5927.5530000000008</v>
      </c>
      <c r="X17" s="1152"/>
      <c r="Y17" s="1193"/>
      <c r="Z17" s="1199"/>
      <c r="AA17" s="1193"/>
      <c r="AB17" s="1179"/>
      <c r="AC17" s="1089" t="s">
        <v>273</v>
      </c>
      <c r="AD17" s="1090">
        <f t="shared" ref="AD17:AF17" si="11">SUM(AD9:AD15)</f>
        <v>2963.7765000000004</v>
      </c>
      <c r="AE17" s="1090">
        <f t="shared" si="11"/>
        <v>35565318</v>
      </c>
      <c r="AF17" s="1090">
        <f t="shared" si="11"/>
        <v>35565.317999999999</v>
      </c>
      <c r="AG17" s="1152"/>
      <c r="AH17" s="1193"/>
      <c r="AI17" s="1193"/>
      <c r="AJ17" s="1193"/>
      <c r="AK17" s="1222"/>
      <c r="AL17" s="1152"/>
      <c r="AM17" s="1193"/>
      <c r="AN17" s="1193"/>
      <c r="AO17" s="1193"/>
      <c r="AP17" s="1193"/>
      <c r="AQ17" s="1193"/>
      <c r="AR17" s="1193"/>
    </row>
    <row r="18" spans="1:44" ht="29.25" customHeight="1" x14ac:dyDescent="0.3">
      <c r="A18" s="1084" t="s">
        <v>274</v>
      </c>
      <c r="B18" s="1085" t="s">
        <v>275</v>
      </c>
      <c r="C18" s="1086">
        <v>271.60770000000002</v>
      </c>
      <c r="D18" s="1087">
        <f t="shared" ref="D18:D24" si="12">C18*$D$5</f>
        <v>4366365.3852000004</v>
      </c>
      <c r="E18" s="1163">
        <f t="shared" si="2"/>
        <v>4366.3653852000007</v>
      </c>
      <c r="F18" s="1188">
        <v>213</v>
      </c>
      <c r="G18" s="1190">
        <f>D18+D71-H11</f>
        <v>5750501.8040000005</v>
      </c>
      <c r="H18" s="1190">
        <f>9701799.15+6050331.42</f>
        <v>15752130.57</v>
      </c>
      <c r="I18" s="1191">
        <f>G18-H18</f>
        <v>-10001628.765999999</v>
      </c>
      <c r="J18" s="1178" t="s">
        <v>274</v>
      </c>
      <c r="K18" s="1085" t="s">
        <v>275</v>
      </c>
      <c r="L18" s="1086">
        <v>271.60770000000002</v>
      </c>
      <c r="M18" s="1087">
        <f>L18*$M$5</f>
        <v>11176656.855</v>
      </c>
      <c r="N18" s="1087">
        <f t="shared" ref="N18:N24" si="13">M18/1000</f>
        <v>11176.656855000001</v>
      </c>
      <c r="O18" s="1076">
        <v>213</v>
      </c>
      <c r="P18" s="1191">
        <f>M18+M71</f>
        <v>16062655.600000001</v>
      </c>
      <c r="Q18" s="1191">
        <f>9701799.15-Z18</f>
        <v>7100546.7300000004</v>
      </c>
      <c r="R18" s="1191"/>
      <c r="S18" s="1178" t="s">
        <v>274</v>
      </c>
      <c r="T18" s="1085" t="s">
        <v>275</v>
      </c>
      <c r="U18" s="1086">
        <v>271.60770000000002</v>
      </c>
      <c r="V18" s="1087">
        <f>U18*$V$5</f>
        <v>543215.4</v>
      </c>
      <c r="W18" s="1087">
        <f t="shared" ref="W18:W24" si="14">V18/1000</f>
        <v>543.21540000000005</v>
      </c>
      <c r="X18" s="1150">
        <v>213</v>
      </c>
      <c r="Y18" s="1190">
        <f>V18+V71</f>
        <v>780688</v>
      </c>
      <c r="Z18" s="1199">
        <v>2601252.42</v>
      </c>
      <c r="AA18" s="1190"/>
      <c r="AB18" s="1178" t="s">
        <v>274</v>
      </c>
      <c r="AC18" s="1085" t="s">
        <v>275</v>
      </c>
      <c r="AD18" s="1086">
        <v>271.60770000000002</v>
      </c>
      <c r="AE18" s="1087">
        <f>AD18*$AE$5</f>
        <v>3259292.4000000004</v>
      </c>
      <c r="AF18" s="1087">
        <f t="shared" ref="AF18:AF24" si="15">AE18/1000</f>
        <v>3259.2924000000003</v>
      </c>
      <c r="AG18" s="1150">
        <v>213</v>
      </c>
      <c r="AH18" s="1190">
        <f>AE18+AE71</f>
        <v>4684128</v>
      </c>
      <c r="AI18" s="1190">
        <v>6050331.4199999999</v>
      </c>
      <c r="AJ18" s="1188"/>
      <c r="AK18" s="1226" t="b">
        <f>G19=AM18</f>
        <v>0</v>
      </c>
      <c r="AL18" s="1150">
        <v>213</v>
      </c>
      <c r="AM18" s="1190">
        <f>P19+Y19+AH19</f>
        <v>33136659.824999999</v>
      </c>
      <c r="AN18" s="1190">
        <f>P18+Y18+AH18</f>
        <v>21527471.600000001</v>
      </c>
      <c r="AO18" s="1190">
        <f>H19</f>
        <v>28172105.170000002</v>
      </c>
      <c r="AP18" s="1190">
        <f>Q18+Z18+AI18</f>
        <v>15752130.57</v>
      </c>
      <c r="AQ18" s="1190"/>
      <c r="AR18" s="1188"/>
    </row>
    <row r="19" spans="1:44" ht="29.25" customHeight="1" x14ac:dyDescent="0.3">
      <c r="A19" s="1084" t="s">
        <v>276</v>
      </c>
      <c r="B19" s="1085" t="s">
        <v>277</v>
      </c>
      <c r="C19" s="1086">
        <v>329.32900000000001</v>
      </c>
      <c r="D19" s="1087">
        <f t="shared" si="12"/>
        <v>5294293.0039999997</v>
      </c>
      <c r="E19" s="1163">
        <f t="shared" si="2"/>
        <v>5294.2930040000001</v>
      </c>
      <c r="F19" s="1192" t="s">
        <v>983</v>
      </c>
      <c r="G19" s="1190">
        <f>D19+D20+D22+D23+D24</f>
        <v>10022670.617999999</v>
      </c>
      <c r="H19" s="1190">
        <v>28172105.170000002</v>
      </c>
      <c r="I19" s="1191">
        <f>G19-H19</f>
        <v>-18149434.552000001</v>
      </c>
      <c r="J19" s="1178" t="s">
        <v>276</v>
      </c>
      <c r="K19" s="1085" t="s">
        <v>277</v>
      </c>
      <c r="L19" s="1086">
        <v>329.32900000000001</v>
      </c>
      <c r="M19" s="1087">
        <f t="shared" ref="M19:M24" si="16">L19*$M$5</f>
        <v>13551888.35</v>
      </c>
      <c r="N19" s="1087">
        <f t="shared" si="13"/>
        <v>13551.888349999999</v>
      </c>
      <c r="O19" s="1149" t="s">
        <v>983</v>
      </c>
      <c r="P19" s="1191">
        <f>M19+M20+M22+M23+M24</f>
        <v>25655193.824999999</v>
      </c>
      <c r="Q19" s="1191">
        <v>28172105.170000002</v>
      </c>
      <c r="R19" s="1189"/>
      <c r="S19" s="1178" t="s">
        <v>276</v>
      </c>
      <c r="T19" s="1085" t="s">
        <v>277</v>
      </c>
      <c r="U19" s="1086">
        <v>329.32900000000001</v>
      </c>
      <c r="V19" s="1087">
        <f t="shared" ref="V19:V24" si="17">U19*$V$5</f>
        <v>658658</v>
      </c>
      <c r="W19" s="1087">
        <f t="shared" si="14"/>
        <v>658.65800000000002</v>
      </c>
      <c r="X19" s="1157" t="s">
        <v>983</v>
      </c>
      <c r="Y19" s="1190"/>
      <c r="Z19" s="1199"/>
      <c r="AA19" s="1188"/>
      <c r="AB19" s="1178" t="s">
        <v>276</v>
      </c>
      <c r="AC19" s="1085" t="s">
        <v>277</v>
      </c>
      <c r="AD19" s="1086">
        <v>329.32900000000001</v>
      </c>
      <c r="AE19" s="1087">
        <f t="shared" ref="AE19:AE24" si="18">AD19*$AE$5</f>
        <v>3951948</v>
      </c>
      <c r="AF19" s="1087">
        <f t="shared" si="15"/>
        <v>3951.9479999999999</v>
      </c>
      <c r="AG19" s="1157" t="s">
        <v>983</v>
      </c>
      <c r="AH19" s="1190">
        <f>AE19+AE20+AE22+AE23+AE24</f>
        <v>7481466</v>
      </c>
      <c r="AI19" s="1188"/>
      <c r="AJ19" s="1188"/>
      <c r="AK19" s="1149" t="b">
        <f>AN18-AN11=G18</f>
        <v>0</v>
      </c>
      <c r="AL19" s="1157"/>
      <c r="AM19" s="1190"/>
      <c r="AN19" s="1190"/>
      <c r="AO19" s="1190"/>
      <c r="AP19" s="1188"/>
      <c r="AQ19" s="1188"/>
      <c r="AR19" s="1188"/>
    </row>
    <row r="20" spans="1:44" ht="29.25" customHeight="1" x14ac:dyDescent="0.3">
      <c r="A20" s="1084"/>
      <c r="B20" s="1085" t="s">
        <v>630</v>
      </c>
      <c r="C20" s="1086">
        <v>46.9238</v>
      </c>
      <c r="D20" s="1087">
        <f t="shared" si="12"/>
        <v>754347.00879999995</v>
      </c>
      <c r="E20" s="1163">
        <f t="shared" si="2"/>
        <v>754.34700879999991</v>
      </c>
      <c r="F20" s="1188"/>
      <c r="G20" s="1188"/>
      <c r="H20" s="1190"/>
      <c r="I20" s="1189"/>
      <c r="J20" s="1178"/>
      <c r="K20" s="1085" t="s">
        <v>630</v>
      </c>
      <c r="L20" s="1086">
        <v>46.9238</v>
      </c>
      <c r="M20" s="1087">
        <f t="shared" si="16"/>
        <v>1930914.37</v>
      </c>
      <c r="N20" s="1087">
        <f t="shared" si="13"/>
        <v>1930.9143700000002</v>
      </c>
      <c r="P20" s="1189"/>
      <c r="Q20" s="1191"/>
      <c r="R20" s="1189"/>
      <c r="S20" s="1178"/>
      <c r="T20" s="1085" t="s">
        <v>630</v>
      </c>
      <c r="U20" s="1086">
        <v>46.9238</v>
      </c>
      <c r="V20" s="1087">
        <f t="shared" si="17"/>
        <v>93847.6</v>
      </c>
      <c r="W20" s="1087">
        <f t="shared" si="14"/>
        <v>93.8476</v>
      </c>
      <c r="Y20" s="1188"/>
      <c r="Z20" s="1199"/>
      <c r="AA20" s="1188"/>
      <c r="AB20" s="1178"/>
      <c r="AC20" s="1085" t="s">
        <v>630</v>
      </c>
      <c r="AD20" s="1086">
        <v>46.9238</v>
      </c>
      <c r="AE20" s="1087">
        <f t="shared" si="18"/>
        <v>563085.6</v>
      </c>
      <c r="AF20" s="1087">
        <f t="shared" si="15"/>
        <v>563.0856</v>
      </c>
      <c r="AH20" s="1188"/>
      <c r="AI20" s="1188"/>
      <c r="AJ20" s="1188"/>
      <c r="AM20" s="1188"/>
      <c r="AN20" s="1188"/>
      <c r="AO20" s="1188"/>
      <c r="AP20" s="1188"/>
      <c r="AQ20" s="1188"/>
      <c r="AR20" s="1188"/>
    </row>
    <row r="21" spans="1:44" ht="29.25" customHeight="1" x14ac:dyDescent="0.3">
      <c r="A21" s="1084"/>
      <c r="B21" s="1092" t="s">
        <v>635</v>
      </c>
      <c r="C21" s="1086">
        <v>0</v>
      </c>
      <c r="D21" s="1087">
        <f t="shared" si="12"/>
        <v>0</v>
      </c>
      <c r="E21" s="1163">
        <f t="shared" si="2"/>
        <v>0</v>
      </c>
      <c r="F21" s="1188"/>
      <c r="G21" s="1188"/>
      <c r="H21" s="1190"/>
      <c r="I21" s="1189"/>
      <c r="J21" s="1178"/>
      <c r="K21" s="1092" t="s">
        <v>635</v>
      </c>
      <c r="L21" s="1086">
        <v>0</v>
      </c>
      <c r="M21" s="1087">
        <f t="shared" si="16"/>
        <v>0</v>
      </c>
      <c r="N21" s="1087">
        <f t="shared" si="13"/>
        <v>0</v>
      </c>
      <c r="P21" s="1189"/>
      <c r="Q21" s="1191"/>
      <c r="R21" s="1189"/>
      <c r="S21" s="1178"/>
      <c r="T21" s="1092" t="s">
        <v>635</v>
      </c>
      <c r="U21" s="1086">
        <v>0</v>
      </c>
      <c r="V21" s="1087">
        <f t="shared" si="17"/>
        <v>0</v>
      </c>
      <c r="W21" s="1087">
        <f t="shared" si="14"/>
        <v>0</v>
      </c>
      <c r="Y21" s="1188"/>
      <c r="Z21" s="1199"/>
      <c r="AA21" s="1188"/>
      <c r="AB21" s="1178"/>
      <c r="AC21" s="1092" t="s">
        <v>635</v>
      </c>
      <c r="AD21" s="1086">
        <v>0</v>
      </c>
      <c r="AE21" s="1087">
        <f t="shared" si="18"/>
        <v>0</v>
      </c>
      <c r="AF21" s="1087">
        <f t="shared" si="15"/>
        <v>0</v>
      </c>
      <c r="AH21" s="1188"/>
      <c r="AI21" s="1188"/>
      <c r="AJ21" s="1188"/>
      <c r="AM21" s="1188"/>
      <c r="AN21" s="1188"/>
      <c r="AO21" s="1188"/>
      <c r="AP21" s="1188"/>
      <c r="AQ21" s="1188"/>
      <c r="AR21" s="1188"/>
    </row>
    <row r="22" spans="1:44" ht="29.25" customHeight="1" x14ac:dyDescent="0.3">
      <c r="A22" s="1084"/>
      <c r="B22" s="1092" t="s">
        <v>636</v>
      </c>
      <c r="C22" s="1086">
        <v>152.3289</v>
      </c>
      <c r="D22" s="1087">
        <f t="shared" si="12"/>
        <v>2448839.3964</v>
      </c>
      <c r="E22" s="1163">
        <f t="shared" si="2"/>
        <v>2448.8393964000002</v>
      </c>
      <c r="F22" s="1188"/>
      <c r="G22" s="1188"/>
      <c r="H22" s="1190"/>
      <c r="I22" s="1189"/>
      <c r="J22" s="1178"/>
      <c r="K22" s="1092" t="s">
        <v>636</v>
      </c>
      <c r="L22" s="1086">
        <v>152.3289</v>
      </c>
      <c r="M22" s="1087">
        <f t="shared" si="16"/>
        <v>6268334.2350000003</v>
      </c>
      <c r="N22" s="1087">
        <f t="shared" si="13"/>
        <v>6268.3342350000003</v>
      </c>
      <c r="P22" s="1189"/>
      <c r="Q22" s="1191"/>
      <c r="R22" s="1189"/>
      <c r="S22" s="1178"/>
      <c r="T22" s="1092" t="s">
        <v>636</v>
      </c>
      <c r="U22" s="1086">
        <v>152.3289</v>
      </c>
      <c r="V22" s="1087">
        <f t="shared" si="17"/>
        <v>304657.8</v>
      </c>
      <c r="W22" s="1087">
        <f t="shared" si="14"/>
        <v>304.65780000000001</v>
      </c>
      <c r="Y22" s="1188"/>
      <c r="Z22" s="1199"/>
      <c r="AA22" s="1188"/>
      <c r="AB22" s="1178"/>
      <c r="AC22" s="1092" t="s">
        <v>636</v>
      </c>
      <c r="AD22" s="1086">
        <v>152.3289</v>
      </c>
      <c r="AE22" s="1087">
        <f t="shared" si="18"/>
        <v>1827946.8</v>
      </c>
      <c r="AF22" s="1087">
        <f t="shared" si="15"/>
        <v>1827.9467999999999</v>
      </c>
      <c r="AH22" s="1188"/>
      <c r="AI22" s="1188"/>
      <c r="AJ22" s="1188"/>
      <c r="AM22" s="1188"/>
      <c r="AN22" s="1188"/>
      <c r="AO22" s="1188"/>
      <c r="AP22" s="1188"/>
      <c r="AQ22" s="1188"/>
      <c r="AR22" s="1188"/>
    </row>
    <row r="23" spans="1:44" ht="29.25" customHeight="1" x14ac:dyDescent="0.3">
      <c r="A23" s="1084"/>
      <c r="B23" s="1085" t="s">
        <v>633</v>
      </c>
      <c r="C23" s="1086">
        <v>13.809699999999999</v>
      </c>
      <c r="D23" s="1087">
        <f t="shared" si="12"/>
        <v>222004.7372</v>
      </c>
      <c r="E23" s="1163">
        <f t="shared" si="2"/>
        <v>222.00473719999999</v>
      </c>
      <c r="F23" s="1188"/>
      <c r="G23" s="1188"/>
      <c r="H23" s="1190"/>
      <c r="I23" s="1189"/>
      <c r="J23" s="1178"/>
      <c r="K23" s="1085" t="s">
        <v>633</v>
      </c>
      <c r="L23" s="1086">
        <v>13.809699999999999</v>
      </c>
      <c r="M23" s="1087">
        <f t="shared" si="16"/>
        <v>568269.15500000003</v>
      </c>
      <c r="N23" s="1087">
        <f t="shared" si="13"/>
        <v>568.26915500000007</v>
      </c>
      <c r="P23" s="1189"/>
      <c r="Q23" s="1191"/>
      <c r="R23" s="1189"/>
      <c r="S23" s="1178"/>
      <c r="T23" s="1085" t="s">
        <v>633</v>
      </c>
      <c r="U23" s="1086">
        <v>13.809699999999999</v>
      </c>
      <c r="V23" s="1087">
        <f t="shared" si="17"/>
        <v>27619.399999999998</v>
      </c>
      <c r="W23" s="1087">
        <f t="shared" si="14"/>
        <v>27.619399999999999</v>
      </c>
      <c r="Y23" s="1188"/>
      <c r="Z23" s="1199"/>
      <c r="AA23" s="1188"/>
      <c r="AB23" s="1178"/>
      <c r="AC23" s="1085" t="s">
        <v>633</v>
      </c>
      <c r="AD23" s="1086">
        <v>13.809699999999999</v>
      </c>
      <c r="AE23" s="1087">
        <f t="shared" si="18"/>
        <v>165716.4</v>
      </c>
      <c r="AF23" s="1087">
        <f t="shared" si="15"/>
        <v>165.71639999999999</v>
      </c>
      <c r="AH23" s="1188"/>
      <c r="AI23" s="1188"/>
      <c r="AJ23" s="1188"/>
      <c r="AM23" s="1188"/>
      <c r="AN23" s="1188"/>
      <c r="AO23" s="1188"/>
      <c r="AP23" s="1188"/>
      <c r="AQ23" s="1188"/>
      <c r="AR23" s="1188"/>
    </row>
    <row r="24" spans="1:44" ht="29.25" customHeight="1" x14ac:dyDescent="0.3">
      <c r="A24" s="1084"/>
      <c r="B24" s="1092" t="s">
        <v>637</v>
      </c>
      <c r="C24" s="1086">
        <v>81.064099999999996</v>
      </c>
      <c r="D24" s="1087">
        <f t="shared" si="12"/>
        <v>1303186.4716</v>
      </c>
      <c r="E24" s="1163">
        <f t="shared" si="2"/>
        <v>1303.1864716</v>
      </c>
      <c r="F24" s="1188"/>
      <c r="G24" s="1188"/>
      <c r="H24" s="1190"/>
      <c r="I24" s="1189"/>
      <c r="J24" s="1178"/>
      <c r="K24" s="1092" t="s">
        <v>637</v>
      </c>
      <c r="L24" s="1086">
        <v>81.064099999999996</v>
      </c>
      <c r="M24" s="1087">
        <f t="shared" si="16"/>
        <v>3335787.7149999999</v>
      </c>
      <c r="N24" s="1087">
        <f t="shared" si="13"/>
        <v>3335.7877149999999</v>
      </c>
      <c r="P24" s="1189"/>
      <c r="Q24" s="1191"/>
      <c r="R24" s="1189"/>
      <c r="S24" s="1178"/>
      <c r="T24" s="1092" t="s">
        <v>637</v>
      </c>
      <c r="U24" s="1086">
        <v>81.064099999999996</v>
      </c>
      <c r="V24" s="1087">
        <f t="shared" si="17"/>
        <v>162128.19999999998</v>
      </c>
      <c r="W24" s="1087">
        <f t="shared" si="14"/>
        <v>162.12819999999999</v>
      </c>
      <c r="Y24" s="1188"/>
      <c r="Z24" s="1199"/>
      <c r="AA24" s="1188"/>
      <c r="AB24" s="1178"/>
      <c r="AC24" s="1092" t="s">
        <v>637</v>
      </c>
      <c r="AD24" s="1086">
        <v>81.064099999999996</v>
      </c>
      <c r="AE24" s="1087">
        <f t="shared" si="18"/>
        <v>972769.2</v>
      </c>
      <c r="AF24" s="1087">
        <f t="shared" si="15"/>
        <v>972.76919999999996</v>
      </c>
      <c r="AH24" s="1188"/>
      <c r="AI24" s="1188"/>
      <c r="AJ24" s="1188"/>
      <c r="AM24" s="1188"/>
      <c r="AN24" s="1188"/>
      <c r="AO24" s="1188"/>
      <c r="AP24" s="1188"/>
      <c r="AQ24" s="1188"/>
      <c r="AR24" s="1188"/>
    </row>
    <row r="25" spans="1:44" ht="29.25" customHeight="1" x14ac:dyDescent="0.3">
      <c r="A25" s="1084"/>
      <c r="B25" s="1092"/>
      <c r="C25" s="1086"/>
      <c r="D25" s="1087"/>
      <c r="E25" s="1163"/>
      <c r="F25" s="1188"/>
      <c r="G25" s="1188"/>
      <c r="H25" s="1190"/>
      <c r="I25" s="1189"/>
      <c r="J25" s="1178"/>
      <c r="K25" s="1092"/>
      <c r="L25" s="1086"/>
      <c r="M25" s="1087"/>
      <c r="N25" s="1087"/>
      <c r="P25" s="1189"/>
      <c r="Q25" s="1191"/>
      <c r="R25" s="1189"/>
      <c r="S25" s="1178"/>
      <c r="T25" s="1092"/>
      <c r="U25" s="1086"/>
      <c r="V25" s="1087"/>
      <c r="W25" s="1087"/>
      <c r="Y25" s="1188"/>
      <c r="Z25" s="1199"/>
      <c r="AA25" s="1188"/>
      <c r="AB25" s="1178"/>
      <c r="AC25" s="1092"/>
      <c r="AD25" s="1086"/>
      <c r="AE25" s="1087"/>
      <c r="AF25" s="1087"/>
      <c r="AH25" s="1188"/>
      <c r="AI25" s="1188"/>
      <c r="AJ25" s="1188"/>
      <c r="AM25" s="1188"/>
      <c r="AN25" s="1188"/>
      <c r="AO25" s="1188"/>
      <c r="AP25" s="1188"/>
      <c r="AQ25" s="1188"/>
      <c r="AR25" s="1188"/>
    </row>
    <row r="26" spans="1:44" s="1091" customFormat="1" ht="29.25" customHeight="1" x14ac:dyDescent="0.3">
      <c r="A26" s="1088"/>
      <c r="B26" s="1089" t="s">
        <v>278</v>
      </c>
      <c r="C26" s="1090">
        <f t="shared" ref="C26:E26" si="19">SUM(C18:C24)</f>
        <v>895.06320000000005</v>
      </c>
      <c r="D26" s="1090">
        <f t="shared" si="19"/>
        <v>14389036.003199998</v>
      </c>
      <c r="E26" s="1164">
        <f t="shared" si="19"/>
        <v>14389.036003200003</v>
      </c>
      <c r="F26" s="1193"/>
      <c r="G26" s="1193"/>
      <c r="H26" s="1190"/>
      <c r="I26" s="1194"/>
      <c r="J26" s="1179"/>
      <c r="K26" s="1089" t="s">
        <v>278</v>
      </c>
      <c r="L26" s="1090">
        <f t="shared" ref="L26:N26" si="20">SUM(L18:L24)</f>
        <v>895.06320000000005</v>
      </c>
      <c r="M26" s="1090">
        <f t="shared" si="20"/>
        <v>36831850.68</v>
      </c>
      <c r="N26" s="1090">
        <f t="shared" si="20"/>
        <v>36831.850680000003</v>
      </c>
      <c r="P26" s="1194"/>
      <c r="Q26" s="1191"/>
      <c r="R26" s="1194"/>
      <c r="S26" s="1179"/>
      <c r="T26" s="1089" t="s">
        <v>278</v>
      </c>
      <c r="U26" s="1090">
        <f t="shared" ref="U26:W26" si="21">SUM(U18:U24)</f>
        <v>895.06320000000005</v>
      </c>
      <c r="V26" s="1090">
        <f t="shared" si="21"/>
        <v>1790126.4</v>
      </c>
      <c r="W26" s="1090">
        <f t="shared" si="21"/>
        <v>1790.1264000000001</v>
      </c>
      <c r="X26" s="1152"/>
      <c r="Y26" s="1193"/>
      <c r="Z26" s="1199"/>
      <c r="AA26" s="1193"/>
      <c r="AB26" s="1179"/>
      <c r="AC26" s="1089" t="s">
        <v>278</v>
      </c>
      <c r="AD26" s="1090">
        <f t="shared" ref="AD26:AF26" si="22">SUM(AD18:AD24)</f>
        <v>895.06320000000005</v>
      </c>
      <c r="AE26" s="1090">
        <f t="shared" si="22"/>
        <v>10740758.4</v>
      </c>
      <c r="AF26" s="1090">
        <f t="shared" si="22"/>
        <v>10740.758400000001</v>
      </c>
      <c r="AG26" s="1152"/>
      <c r="AH26" s="1193"/>
      <c r="AI26" s="1193"/>
      <c r="AJ26" s="1193"/>
      <c r="AK26" s="1222"/>
      <c r="AL26" s="1152"/>
      <c r="AM26" s="1193"/>
      <c r="AN26" s="1193"/>
      <c r="AO26" s="1193"/>
      <c r="AP26" s="1193"/>
      <c r="AQ26" s="1193"/>
      <c r="AR26" s="1193"/>
    </row>
    <row r="27" spans="1:44" ht="29.25" customHeight="1" x14ac:dyDescent="0.3">
      <c r="A27" s="1093"/>
      <c r="B27" s="1094" t="s">
        <v>279</v>
      </c>
      <c r="C27" s="1095">
        <f>C17+C26</f>
        <v>3858.8397000000004</v>
      </c>
      <c r="D27" s="1096">
        <f>D17+D26</f>
        <v>62034707.017199993</v>
      </c>
      <c r="E27" s="1165">
        <f t="shared" ref="E27" si="23">D27/1000</f>
        <v>62034.707017199995</v>
      </c>
      <c r="F27" s="1188"/>
      <c r="G27" s="1188"/>
      <c r="H27" s="1190"/>
      <c r="I27" s="1189"/>
      <c r="J27" s="1180"/>
      <c r="K27" s="1094" t="s">
        <v>279</v>
      </c>
      <c r="L27" s="1095">
        <f>L17+L26</f>
        <v>3858.8397000000004</v>
      </c>
      <c r="M27" s="1096">
        <f>M17+M26</f>
        <v>158791253.655</v>
      </c>
      <c r="N27" s="1097">
        <f t="shared" ref="N27" si="24">M27/1000</f>
        <v>158791.25365500001</v>
      </c>
      <c r="P27" s="1189"/>
      <c r="Q27" s="1191"/>
      <c r="R27" s="1189"/>
      <c r="S27" s="1180"/>
      <c r="T27" s="1094" t="s">
        <v>279</v>
      </c>
      <c r="U27" s="1095">
        <f>U17+U26</f>
        <v>3858.8397000000004</v>
      </c>
      <c r="V27" s="1096">
        <f>V17+V26</f>
        <v>7717679.4000000004</v>
      </c>
      <c r="W27" s="1097">
        <f t="shared" ref="W27" si="25">V27/1000</f>
        <v>7717.6794</v>
      </c>
      <c r="Y27" s="1188"/>
      <c r="Z27" s="1199"/>
      <c r="AA27" s="1188"/>
      <c r="AB27" s="1180"/>
      <c r="AC27" s="1094" t="s">
        <v>279</v>
      </c>
      <c r="AD27" s="1095">
        <f>AD17+AD26</f>
        <v>3858.8397000000004</v>
      </c>
      <c r="AE27" s="1096">
        <f>AE17+AE26</f>
        <v>46306076.399999999</v>
      </c>
      <c r="AF27" s="1097">
        <f t="shared" ref="AF27" si="26">AE27/1000</f>
        <v>46306.076399999998</v>
      </c>
      <c r="AH27" s="1188"/>
      <c r="AI27" s="1188"/>
      <c r="AJ27" s="1188"/>
      <c r="AM27" s="1188"/>
      <c r="AN27" s="1188"/>
      <c r="AO27" s="1188"/>
      <c r="AP27" s="1188"/>
      <c r="AQ27" s="1188"/>
      <c r="AR27" s="1188"/>
    </row>
    <row r="28" spans="1:44" ht="29.25" customHeight="1" x14ac:dyDescent="0.3">
      <c r="A28" s="1098"/>
      <c r="B28" s="1099"/>
      <c r="C28" s="1099">
        <f t="shared" ref="C28:E29" si="27">C10+C19</f>
        <v>1419.8264999999999</v>
      </c>
      <c r="D28" s="1099">
        <f t="shared" si="27"/>
        <v>22825130.813999999</v>
      </c>
      <c r="E28" s="1100">
        <f t="shared" si="27"/>
        <v>22825.130813999996</v>
      </c>
      <c r="F28" s="1188"/>
      <c r="G28" s="1188"/>
      <c r="H28" s="1190"/>
      <c r="I28" s="1189"/>
      <c r="J28" s="1181"/>
      <c r="K28" s="1099"/>
      <c r="L28" s="1099">
        <f t="shared" ref="L28:N29" si="28">L10+L19</f>
        <v>1419.8264999999999</v>
      </c>
      <c r="M28" s="1099">
        <f t="shared" si="28"/>
        <v>58425860.475000001</v>
      </c>
      <c r="N28" s="1099">
        <f t="shared" si="28"/>
        <v>58425.860475000001</v>
      </c>
      <c r="P28" s="1189"/>
      <c r="Q28" s="1191"/>
      <c r="R28" s="1189"/>
      <c r="S28" s="1181"/>
      <c r="T28" s="1099"/>
      <c r="U28" s="1099">
        <f t="shared" ref="U28:W29" si="29">U10+U19</f>
        <v>1419.8264999999999</v>
      </c>
      <c r="V28" s="1099">
        <f t="shared" si="29"/>
        <v>2839653</v>
      </c>
      <c r="W28" s="1099">
        <f t="shared" si="29"/>
        <v>2839.6529999999998</v>
      </c>
      <c r="Y28" s="1188"/>
      <c r="Z28" s="1199"/>
      <c r="AA28" s="1188"/>
      <c r="AB28" s="1181"/>
      <c r="AC28" s="1099"/>
      <c r="AD28" s="1099">
        <f t="shared" ref="AD28:AF29" si="30">AD10+AD19</f>
        <v>1419.8264999999999</v>
      </c>
      <c r="AE28" s="1099">
        <f t="shared" si="30"/>
        <v>17037918</v>
      </c>
      <c r="AF28" s="1099">
        <f t="shared" si="30"/>
        <v>17037.917999999998</v>
      </c>
      <c r="AH28" s="1188"/>
      <c r="AI28" s="1188"/>
      <c r="AJ28" s="1188"/>
      <c r="AM28" s="1188"/>
      <c r="AN28" s="1188"/>
      <c r="AO28" s="1188"/>
      <c r="AP28" s="1188"/>
      <c r="AQ28" s="1188"/>
      <c r="AR28" s="1188"/>
    </row>
    <row r="29" spans="1:44" ht="29.25" customHeight="1" x14ac:dyDescent="0.3">
      <c r="A29" s="1098"/>
      <c r="B29" s="1099"/>
      <c r="C29" s="1099">
        <f t="shared" si="27"/>
        <v>202.30080000000001</v>
      </c>
      <c r="D29" s="1099">
        <f t="shared" si="27"/>
        <v>3252187.6608000002</v>
      </c>
      <c r="E29" s="1100">
        <f t="shared" si="27"/>
        <v>3252.1876608000002</v>
      </c>
      <c r="F29" s="1188"/>
      <c r="G29" s="1188"/>
      <c r="H29" s="1190"/>
      <c r="I29" s="1189"/>
      <c r="J29" s="1181"/>
      <c r="K29" s="1099"/>
      <c r="L29" s="1099">
        <f t="shared" si="28"/>
        <v>202.30080000000001</v>
      </c>
      <c r="M29" s="1099">
        <f t="shared" si="28"/>
        <v>8324677.9200000009</v>
      </c>
      <c r="N29" s="1099">
        <f t="shared" si="28"/>
        <v>8324.6779200000001</v>
      </c>
      <c r="P29" s="1189"/>
      <c r="Q29" s="1191"/>
      <c r="R29" s="1189"/>
      <c r="S29" s="1181"/>
      <c r="T29" s="1099"/>
      <c r="U29" s="1099">
        <f t="shared" si="29"/>
        <v>202.30080000000001</v>
      </c>
      <c r="V29" s="1099">
        <f t="shared" si="29"/>
        <v>404601.59999999998</v>
      </c>
      <c r="W29" s="1099">
        <f t="shared" si="29"/>
        <v>404.60160000000002</v>
      </c>
      <c r="Y29" s="1188"/>
      <c r="Z29" s="1199"/>
      <c r="AA29" s="1188"/>
      <c r="AB29" s="1181"/>
      <c r="AC29" s="1099"/>
      <c r="AD29" s="1099">
        <f t="shared" si="30"/>
        <v>202.30080000000001</v>
      </c>
      <c r="AE29" s="1099">
        <f t="shared" si="30"/>
        <v>2427609.6</v>
      </c>
      <c r="AF29" s="1099">
        <f t="shared" si="30"/>
        <v>2427.6095999999998</v>
      </c>
      <c r="AH29" s="1188"/>
      <c r="AI29" s="1188"/>
      <c r="AJ29" s="1188"/>
      <c r="AM29" s="1188"/>
      <c r="AN29" s="1188"/>
      <c r="AO29" s="1188"/>
      <c r="AP29" s="1188"/>
      <c r="AQ29" s="1188"/>
      <c r="AR29" s="1188"/>
    </row>
    <row r="30" spans="1:44" ht="29.25" customHeight="1" x14ac:dyDescent="0.3">
      <c r="A30" s="1098"/>
      <c r="B30" s="1100"/>
      <c r="C30" s="1101"/>
      <c r="D30" s="1101"/>
      <c r="E30" s="1101"/>
      <c r="F30" s="1188"/>
      <c r="G30" s="1188"/>
      <c r="H30" s="1190"/>
      <c r="I30" s="1189"/>
      <c r="J30" s="1181"/>
      <c r="K30" s="1100"/>
      <c r="L30" s="1101"/>
      <c r="M30" s="1101"/>
      <c r="N30" s="1101"/>
      <c r="P30" s="1189"/>
      <c r="Q30" s="1191"/>
      <c r="R30" s="1189"/>
      <c r="S30" s="1181"/>
      <c r="T30" s="1100"/>
      <c r="U30" s="1101"/>
      <c r="V30" s="1101"/>
      <c r="W30" s="1101"/>
      <c r="Y30" s="1188"/>
      <c r="Z30" s="1199"/>
      <c r="AA30" s="1188"/>
      <c r="AB30" s="1181"/>
      <c r="AC30" s="1100"/>
      <c r="AD30" s="1101"/>
      <c r="AE30" s="1101"/>
      <c r="AF30" s="1101"/>
      <c r="AH30" s="1188"/>
      <c r="AI30" s="1188"/>
      <c r="AJ30" s="1188"/>
      <c r="AM30" s="1188"/>
      <c r="AN30" s="1188"/>
      <c r="AO30" s="1188"/>
      <c r="AP30" s="1188"/>
      <c r="AQ30" s="1188"/>
      <c r="AR30" s="1188"/>
    </row>
    <row r="31" spans="1:44" ht="29.25" customHeight="1" x14ac:dyDescent="0.3">
      <c r="A31" s="1083" t="s">
        <v>280</v>
      </c>
      <c r="B31" s="1477" t="s">
        <v>281</v>
      </c>
      <c r="C31" s="1478"/>
      <c r="D31" s="1478"/>
      <c r="E31" s="1478">
        <f t="shared" ref="E31:E45" si="31">D31/1000</f>
        <v>0</v>
      </c>
      <c r="F31" s="1188"/>
      <c r="G31" s="1188"/>
      <c r="H31" s="1190"/>
      <c r="I31" s="1189"/>
      <c r="J31" s="1177" t="s">
        <v>280</v>
      </c>
      <c r="K31" s="1477" t="s">
        <v>281</v>
      </c>
      <c r="L31" s="1478"/>
      <c r="M31" s="1478"/>
      <c r="N31" s="1478">
        <f t="shared" ref="N31:N34" si="32">M31/1000</f>
        <v>0</v>
      </c>
      <c r="P31" s="1189"/>
      <c r="Q31" s="1191"/>
      <c r="R31" s="1189"/>
      <c r="S31" s="1177" t="s">
        <v>280</v>
      </c>
      <c r="T31" s="1477" t="s">
        <v>281</v>
      </c>
      <c r="U31" s="1478"/>
      <c r="V31" s="1478"/>
      <c r="W31" s="1478">
        <f t="shared" ref="W31:W34" si="33">V31/1000</f>
        <v>0</v>
      </c>
      <c r="Y31" s="1188"/>
      <c r="Z31" s="1199"/>
      <c r="AA31" s="1188"/>
      <c r="AB31" s="1177" t="s">
        <v>280</v>
      </c>
      <c r="AC31" s="1477" t="s">
        <v>281</v>
      </c>
      <c r="AD31" s="1478"/>
      <c r="AE31" s="1478"/>
      <c r="AF31" s="1478">
        <f t="shared" ref="AF31:AF34" si="34">AE31/1000</f>
        <v>0</v>
      </c>
      <c r="AH31" s="1188"/>
      <c r="AI31" s="1188"/>
      <c r="AJ31" s="1188"/>
      <c r="AM31" s="1188"/>
      <c r="AN31" s="1188"/>
      <c r="AO31" s="1188"/>
      <c r="AP31" s="1188"/>
      <c r="AQ31" s="1188"/>
      <c r="AR31" s="1188"/>
    </row>
    <row r="32" spans="1:44" ht="29.25" customHeight="1" x14ac:dyDescent="0.3">
      <c r="A32" s="1084" t="s">
        <v>274</v>
      </c>
      <c r="B32" s="1102" t="s">
        <v>282</v>
      </c>
      <c r="C32" s="1104"/>
      <c r="D32" s="1103">
        <v>12631608</v>
      </c>
      <c r="E32" s="1166">
        <f t="shared" si="31"/>
        <v>12631.608</v>
      </c>
      <c r="F32" s="1188">
        <v>340</v>
      </c>
      <c r="G32" s="1190">
        <f>D37</f>
        <v>7063961.8469231622</v>
      </c>
      <c r="H32" s="1190">
        <f>13818675.92+8364833.09</f>
        <v>22183509.009999998</v>
      </c>
      <c r="I32" s="1191">
        <f>G32-H32</f>
        <v>-15119547.163076837</v>
      </c>
      <c r="J32" s="1178" t="s">
        <v>274</v>
      </c>
      <c r="K32" s="1102" t="s">
        <v>282</v>
      </c>
      <c r="L32" s="1104"/>
      <c r="M32" s="1103">
        <v>12631608</v>
      </c>
      <c r="N32" s="1103">
        <f t="shared" si="32"/>
        <v>12631.608</v>
      </c>
      <c r="O32" s="1076">
        <v>340</v>
      </c>
      <c r="P32" s="1191">
        <f>M37</f>
        <v>18081738.616626531</v>
      </c>
      <c r="Q32" s="1191">
        <f>13818675.92-Z32</f>
        <v>10222337.699999999</v>
      </c>
      <c r="R32" s="1189"/>
      <c r="S32" s="1178" t="s">
        <v>274</v>
      </c>
      <c r="T32" s="1102" t="s">
        <v>282</v>
      </c>
      <c r="U32" s="1104"/>
      <c r="V32" s="1103">
        <v>12631608</v>
      </c>
      <c r="W32" s="1103">
        <f t="shared" si="33"/>
        <v>12631.608</v>
      </c>
      <c r="X32" s="1150">
        <v>340</v>
      </c>
      <c r="Y32" s="1190">
        <f>V37</f>
        <v>878820.83191380464</v>
      </c>
      <c r="Z32" s="1199">
        <v>3596338.22</v>
      </c>
      <c r="AA32" s="1188"/>
      <c r="AB32" s="1178" t="s">
        <v>274</v>
      </c>
      <c r="AC32" s="1102" t="s">
        <v>282</v>
      </c>
      <c r="AD32" s="1104"/>
      <c r="AE32" s="1103">
        <v>12631608</v>
      </c>
      <c r="AF32" s="1103">
        <f t="shared" si="34"/>
        <v>12631.608</v>
      </c>
      <c r="AG32" s="1150">
        <v>340</v>
      </c>
      <c r="AH32" s="1190">
        <f>AE37</f>
        <v>5272924.9914828278</v>
      </c>
      <c r="AI32" s="1190">
        <v>8364833.0899999999</v>
      </c>
      <c r="AJ32" s="1188"/>
      <c r="AK32" s="1149" t="b">
        <f>AN32=G32</f>
        <v>0</v>
      </c>
      <c r="AL32" s="1150">
        <v>340</v>
      </c>
      <c r="AM32" s="1190"/>
      <c r="AN32" s="1190">
        <f>P32+Y32+AH32</f>
        <v>24233484.440023165</v>
      </c>
      <c r="AO32" s="1190"/>
      <c r="AP32" s="1190">
        <f>Q32+Z32+AI32</f>
        <v>22183509.009999998</v>
      </c>
      <c r="AQ32" s="1188"/>
      <c r="AR32" s="1188"/>
    </row>
    <row r="33" spans="1:44" ht="29.25" customHeight="1" x14ac:dyDescent="0.3">
      <c r="A33" s="1084" t="s">
        <v>276</v>
      </c>
      <c r="B33" s="1102" t="s">
        <v>283</v>
      </c>
      <c r="C33" s="1104"/>
      <c r="D33" s="1103">
        <v>2252957.2736</v>
      </c>
      <c r="E33" s="1166">
        <f t="shared" si="31"/>
        <v>2252.9572736</v>
      </c>
      <c r="F33" s="1188"/>
      <c r="G33" s="1188"/>
      <c r="H33" s="1190"/>
      <c r="I33" s="1189"/>
      <c r="J33" s="1178" t="s">
        <v>276</v>
      </c>
      <c r="K33" s="1102" t="s">
        <v>283</v>
      </c>
      <c r="L33" s="1104"/>
      <c r="M33" s="1103">
        <v>2252957.2736</v>
      </c>
      <c r="N33" s="1103">
        <f t="shared" si="32"/>
        <v>2252.9572736</v>
      </c>
      <c r="P33" s="1189"/>
      <c r="Q33" s="1191"/>
      <c r="R33" s="1189"/>
      <c r="S33" s="1178" t="s">
        <v>276</v>
      </c>
      <c r="T33" s="1102" t="s">
        <v>283</v>
      </c>
      <c r="U33" s="1104"/>
      <c r="V33" s="1103">
        <v>2252957.2736</v>
      </c>
      <c r="W33" s="1103">
        <f t="shared" si="33"/>
        <v>2252.9572736</v>
      </c>
      <c r="Y33" s="1188"/>
      <c r="Z33" s="1199"/>
      <c r="AA33" s="1188"/>
      <c r="AB33" s="1178" t="s">
        <v>276</v>
      </c>
      <c r="AC33" s="1102" t="s">
        <v>283</v>
      </c>
      <c r="AD33" s="1104"/>
      <c r="AE33" s="1103">
        <v>2252957.2736</v>
      </c>
      <c r="AF33" s="1103">
        <f t="shared" si="34"/>
        <v>2252.9572736</v>
      </c>
      <c r="AH33" s="1188"/>
      <c r="AI33" s="1188"/>
      <c r="AJ33" s="1188"/>
      <c r="AM33" s="1188"/>
      <c r="AN33" s="1188"/>
      <c r="AO33" s="1188"/>
      <c r="AP33" s="1188"/>
      <c r="AQ33" s="1188"/>
      <c r="AR33" s="1188"/>
    </row>
    <row r="34" spans="1:44" ht="29.25" customHeight="1" x14ac:dyDescent="0.3">
      <c r="A34" s="1084" t="s">
        <v>284</v>
      </c>
      <c r="B34" s="1102" t="s">
        <v>285</v>
      </c>
      <c r="C34" s="1104"/>
      <c r="D34" s="1103">
        <v>1389760.2572999999</v>
      </c>
      <c r="E34" s="1166">
        <f t="shared" si="31"/>
        <v>1389.7602572999999</v>
      </c>
      <c r="F34" s="1188"/>
      <c r="G34" s="1188"/>
      <c r="H34" s="1190"/>
      <c r="I34" s="1189"/>
      <c r="J34" s="1178" t="s">
        <v>284</v>
      </c>
      <c r="K34" s="1102" t="s">
        <v>285</v>
      </c>
      <c r="L34" s="1104"/>
      <c r="M34" s="1103">
        <v>1389760.2572999999</v>
      </c>
      <c r="N34" s="1103">
        <f t="shared" si="32"/>
        <v>1389.7602572999999</v>
      </c>
      <c r="P34" s="1189"/>
      <c r="Q34" s="1191"/>
      <c r="R34" s="1189"/>
      <c r="S34" s="1178" t="s">
        <v>284</v>
      </c>
      <c r="T34" s="1102" t="s">
        <v>285</v>
      </c>
      <c r="U34" s="1104"/>
      <c r="V34" s="1103">
        <v>1389760.2572999999</v>
      </c>
      <c r="W34" s="1103">
        <f t="shared" si="33"/>
        <v>1389.7602572999999</v>
      </c>
      <c r="Y34" s="1188"/>
      <c r="Z34" s="1199"/>
      <c r="AA34" s="1188"/>
      <c r="AB34" s="1178" t="s">
        <v>284</v>
      </c>
      <c r="AC34" s="1102" t="s">
        <v>285</v>
      </c>
      <c r="AD34" s="1104"/>
      <c r="AE34" s="1103">
        <v>1389760.2572999999</v>
      </c>
      <c r="AF34" s="1103">
        <f t="shared" si="34"/>
        <v>1389.7602572999999</v>
      </c>
      <c r="AH34" s="1188"/>
      <c r="AI34" s="1188"/>
      <c r="AJ34" s="1188"/>
      <c r="AM34" s="1188"/>
      <c r="AN34" s="1188"/>
      <c r="AO34" s="1188"/>
      <c r="AP34" s="1188"/>
      <c r="AQ34" s="1188"/>
      <c r="AR34" s="1188"/>
    </row>
    <row r="35" spans="1:44" ht="29.25" customHeight="1" x14ac:dyDescent="0.3">
      <c r="A35" s="1084" t="s">
        <v>291</v>
      </c>
      <c r="B35" s="1102" t="s">
        <v>292</v>
      </c>
      <c r="C35" s="1106">
        <v>22.910299999999999</v>
      </c>
      <c r="D35" s="1103">
        <f>C35*D5</f>
        <v>368305.9828</v>
      </c>
      <c r="E35" s="1166">
        <f>D35/1000</f>
        <v>368.30598279999998</v>
      </c>
      <c r="F35" s="1188"/>
      <c r="G35" s="1188"/>
      <c r="H35" s="1190"/>
      <c r="I35" s="1189"/>
      <c r="J35" s="1178" t="s">
        <v>291</v>
      </c>
      <c r="K35" s="1102" t="s">
        <v>292</v>
      </c>
      <c r="L35" s="1106">
        <v>22.910299999999999</v>
      </c>
      <c r="M35" s="1103">
        <f>L35*M5</f>
        <v>942758.84499999997</v>
      </c>
      <c r="N35" s="1103">
        <f>M35/1000</f>
        <v>942.75884499999995</v>
      </c>
      <c r="P35" s="1189"/>
      <c r="Q35" s="1191"/>
      <c r="R35" s="1189"/>
      <c r="S35" s="1178" t="s">
        <v>291</v>
      </c>
      <c r="T35" s="1102" t="s">
        <v>292</v>
      </c>
      <c r="U35" s="1106">
        <v>22.910299999999999</v>
      </c>
      <c r="V35" s="1103">
        <f>U35*V5</f>
        <v>45820.6</v>
      </c>
      <c r="W35" s="1103">
        <f>V35/1000</f>
        <v>45.820599999999999</v>
      </c>
      <c r="Y35" s="1188"/>
      <c r="Z35" s="1199"/>
      <c r="AA35" s="1188"/>
      <c r="AB35" s="1178" t="s">
        <v>291</v>
      </c>
      <c r="AC35" s="1102" t="s">
        <v>292</v>
      </c>
      <c r="AD35" s="1106">
        <v>22.910299999999999</v>
      </c>
      <c r="AE35" s="1103">
        <f>AD35*AE5</f>
        <v>274923.59999999998</v>
      </c>
      <c r="AF35" s="1103">
        <f>AE35/1000</f>
        <v>274.92359999999996</v>
      </c>
      <c r="AH35" s="1188"/>
      <c r="AI35" s="1188"/>
      <c r="AJ35" s="1188"/>
      <c r="AM35" s="1188"/>
      <c r="AN35" s="1188"/>
      <c r="AO35" s="1188"/>
      <c r="AP35" s="1188"/>
      <c r="AQ35" s="1188"/>
      <c r="AR35" s="1188"/>
    </row>
    <row r="36" spans="1:44" ht="29.25" customHeight="1" x14ac:dyDescent="0.3">
      <c r="A36" s="1107"/>
      <c r="B36" s="1108" t="s">
        <v>976</v>
      </c>
      <c r="C36" s="1106">
        <v>416.50011595690233</v>
      </c>
      <c r="D36" s="1110">
        <f>C36*D5</f>
        <v>6695655.8641231619</v>
      </c>
      <c r="E36" s="1167">
        <f t="shared" si="31"/>
        <v>6695.6558641231622</v>
      </c>
      <c r="F36" s="1188"/>
      <c r="G36" s="1188"/>
      <c r="H36" s="1190"/>
      <c r="I36" s="1189"/>
      <c r="J36" s="1107"/>
      <c r="K36" s="1108" t="s">
        <v>976</v>
      </c>
      <c r="L36" s="1106">
        <v>416.50011595690233</v>
      </c>
      <c r="M36" s="1110">
        <f>L36*M5</f>
        <v>17138979.771626532</v>
      </c>
      <c r="N36" s="1110">
        <f t="shared" ref="N36:N38" si="35">M36/1000</f>
        <v>17138.979771626531</v>
      </c>
      <c r="P36" s="1189"/>
      <c r="Q36" s="1191"/>
      <c r="R36" s="1189"/>
      <c r="S36" s="1107"/>
      <c r="T36" s="1108" t="s">
        <v>976</v>
      </c>
      <c r="U36" s="1106">
        <v>416.50011595690233</v>
      </c>
      <c r="V36" s="1110">
        <f>U36*V5</f>
        <v>833000.23191380466</v>
      </c>
      <c r="W36" s="1110">
        <f t="shared" ref="W36:W38" si="36">V36/1000</f>
        <v>833.00023191380467</v>
      </c>
      <c r="Y36" s="1188"/>
      <c r="Z36" s="1199"/>
      <c r="AA36" s="1188"/>
      <c r="AB36" s="1107"/>
      <c r="AC36" s="1108" t="s">
        <v>976</v>
      </c>
      <c r="AD36" s="1106">
        <v>416.50011595690233</v>
      </c>
      <c r="AE36" s="1110">
        <f>AD36*AE5</f>
        <v>4998001.3914828282</v>
      </c>
      <c r="AF36" s="1110">
        <f t="shared" ref="AF36:AF38" si="37">AE36/1000</f>
        <v>4998.0013914828278</v>
      </c>
      <c r="AH36" s="1188"/>
      <c r="AI36" s="1188"/>
      <c r="AJ36" s="1188"/>
      <c r="AM36" s="1188"/>
      <c r="AN36" s="1188"/>
      <c r="AO36" s="1188"/>
      <c r="AP36" s="1188"/>
      <c r="AQ36" s="1188"/>
      <c r="AR36" s="1188"/>
    </row>
    <row r="37" spans="1:44" ht="29.25" customHeight="1" x14ac:dyDescent="0.3">
      <c r="A37" s="1107"/>
      <c r="B37" s="1108" t="s">
        <v>638</v>
      </c>
      <c r="C37" s="1109">
        <f>C36+C35</f>
        <v>439.41041595690234</v>
      </c>
      <c r="D37" s="1110">
        <f>D36+D35</f>
        <v>7063961.8469231622</v>
      </c>
      <c r="E37" s="1167">
        <f t="shared" si="31"/>
        <v>7063.9618469231618</v>
      </c>
      <c r="F37" s="1188"/>
      <c r="G37" s="1188"/>
      <c r="H37" s="1190"/>
      <c r="I37" s="1189"/>
      <c r="J37" s="1107"/>
      <c r="K37" s="1108" t="s">
        <v>638</v>
      </c>
      <c r="L37" s="1109">
        <f>L36+L35</f>
        <v>439.41041595690234</v>
      </c>
      <c r="M37" s="1110">
        <f>M36+M35</f>
        <v>18081738.616626531</v>
      </c>
      <c r="N37" s="1110">
        <f t="shared" si="35"/>
        <v>18081.738616626531</v>
      </c>
      <c r="P37" s="1189"/>
      <c r="Q37" s="1191"/>
      <c r="R37" s="1189"/>
      <c r="S37" s="1107"/>
      <c r="T37" s="1108" t="s">
        <v>638</v>
      </c>
      <c r="U37" s="1109">
        <f>U36+U35</f>
        <v>439.41041595690234</v>
      </c>
      <c r="V37" s="1110">
        <f>V36+V35</f>
        <v>878820.83191380464</v>
      </c>
      <c r="W37" s="1110">
        <f t="shared" si="36"/>
        <v>878.82083191380468</v>
      </c>
      <c r="Y37" s="1188"/>
      <c r="Z37" s="1199"/>
      <c r="AA37" s="1188"/>
      <c r="AB37" s="1107"/>
      <c r="AC37" s="1108" t="s">
        <v>638</v>
      </c>
      <c r="AD37" s="1109">
        <f>AD36+AD35</f>
        <v>439.41041595690234</v>
      </c>
      <c r="AE37" s="1110">
        <f>AE36+AE35</f>
        <v>5272924.9914828278</v>
      </c>
      <c r="AF37" s="1110">
        <f t="shared" si="37"/>
        <v>5272.9249914828279</v>
      </c>
      <c r="AH37" s="1188"/>
      <c r="AI37" s="1188"/>
      <c r="AJ37" s="1188"/>
      <c r="AM37" s="1188"/>
      <c r="AN37" s="1188"/>
      <c r="AO37" s="1188"/>
      <c r="AP37" s="1188"/>
      <c r="AQ37" s="1188"/>
      <c r="AR37" s="1188"/>
    </row>
    <row r="38" spans="1:44" ht="29.25" customHeight="1" x14ac:dyDescent="0.3">
      <c r="A38" s="1084" t="s">
        <v>287</v>
      </c>
      <c r="B38" s="1102" t="s">
        <v>288</v>
      </c>
      <c r="C38" s="1106">
        <f t="shared" ref="C38" si="38">D38/$D$5</f>
        <v>0</v>
      </c>
      <c r="D38" s="1111"/>
      <c r="E38" s="1168">
        <f t="shared" si="31"/>
        <v>0</v>
      </c>
      <c r="F38" s="1188"/>
      <c r="G38" s="1188"/>
      <c r="H38" s="1190"/>
      <c r="I38" s="1189"/>
      <c r="J38" s="1178" t="s">
        <v>287</v>
      </c>
      <c r="K38" s="1102" t="s">
        <v>288</v>
      </c>
      <c r="L38" s="1106">
        <f t="shared" ref="L38" si="39">M38/$D$5</f>
        <v>0</v>
      </c>
      <c r="M38" s="1111"/>
      <c r="N38" s="1111">
        <f t="shared" si="35"/>
        <v>0</v>
      </c>
      <c r="P38" s="1189"/>
      <c r="Q38" s="1191"/>
      <c r="R38" s="1189"/>
      <c r="S38" s="1178" t="s">
        <v>287</v>
      </c>
      <c r="T38" s="1102" t="s">
        <v>288</v>
      </c>
      <c r="U38" s="1106">
        <f t="shared" ref="U38" si="40">V38/$D$5</f>
        <v>0</v>
      </c>
      <c r="V38" s="1111"/>
      <c r="W38" s="1111">
        <f t="shared" si="36"/>
        <v>0</v>
      </c>
      <c r="Y38" s="1188"/>
      <c r="Z38" s="1199"/>
      <c r="AA38" s="1188"/>
      <c r="AB38" s="1178" t="s">
        <v>287</v>
      </c>
      <c r="AC38" s="1102" t="s">
        <v>288</v>
      </c>
      <c r="AD38" s="1106">
        <f t="shared" ref="AD38" si="41">AE38/$D$5</f>
        <v>0</v>
      </c>
      <c r="AE38" s="1111"/>
      <c r="AF38" s="1111">
        <f t="shared" si="37"/>
        <v>0</v>
      </c>
      <c r="AH38" s="1188"/>
      <c r="AI38" s="1188"/>
      <c r="AJ38" s="1188"/>
      <c r="AM38" s="1188"/>
      <c r="AN38" s="1188"/>
      <c r="AO38" s="1188"/>
      <c r="AP38" s="1188"/>
      <c r="AQ38" s="1188"/>
      <c r="AR38" s="1188"/>
    </row>
    <row r="39" spans="1:44" s="1079" customFormat="1" ht="29.25" customHeight="1" x14ac:dyDescent="0.3">
      <c r="A39" s="1227" t="s">
        <v>289</v>
      </c>
      <c r="B39" s="1111" t="s">
        <v>290</v>
      </c>
      <c r="C39" s="1086">
        <v>58.831300000000006</v>
      </c>
      <c r="D39" s="1087">
        <f>C39*D5</f>
        <v>945771.97880000004</v>
      </c>
      <c r="E39" s="1163">
        <f>D39/1000</f>
        <v>945.77197880000006</v>
      </c>
      <c r="F39" s="1228">
        <v>310</v>
      </c>
      <c r="G39" s="1229">
        <f>D39+D42+D75+D65</f>
        <v>2412669.1777830515</v>
      </c>
      <c r="H39" s="1229">
        <v>2019992.7</v>
      </c>
      <c r="I39" s="1230">
        <f>G39-H39</f>
        <v>392676.47778305155</v>
      </c>
      <c r="J39" s="1231" t="s">
        <v>289</v>
      </c>
      <c r="K39" s="1111" t="s">
        <v>290</v>
      </c>
      <c r="L39" s="1086">
        <v>58.831300000000006</v>
      </c>
      <c r="M39" s="1087">
        <f>L39*M5</f>
        <v>2420907.9950000001</v>
      </c>
      <c r="N39" s="1087">
        <f>M39/1000</f>
        <v>2420.907995</v>
      </c>
      <c r="O39" s="1079">
        <v>310</v>
      </c>
      <c r="P39" s="1230">
        <f>M39+M42+M65+M75</f>
        <v>6175748.7351189693</v>
      </c>
      <c r="Q39" s="1230">
        <f>1247751.54-Z39</f>
        <v>915737.73</v>
      </c>
      <c r="R39" s="1232"/>
      <c r="S39" s="1231" t="s">
        <v>289</v>
      </c>
      <c r="T39" s="1111" t="s">
        <v>290</v>
      </c>
      <c r="U39" s="1086">
        <v>58.831300000000006</v>
      </c>
      <c r="V39" s="1087">
        <f>U39*V5</f>
        <v>117662.6</v>
      </c>
      <c r="W39" s="1087">
        <f>V39/1000</f>
        <v>117.66260000000001</v>
      </c>
      <c r="X39" s="1233">
        <v>310</v>
      </c>
      <c r="Y39" s="1230">
        <f>V39+V42+V65+V75</f>
        <v>300157.89721112855</v>
      </c>
      <c r="Z39" s="1229">
        <v>332013.81</v>
      </c>
      <c r="AA39" s="1228"/>
      <c r="AB39" s="1231" t="s">
        <v>289</v>
      </c>
      <c r="AC39" s="1111" t="s">
        <v>290</v>
      </c>
      <c r="AD39" s="1086">
        <v>58.831300000000006</v>
      </c>
      <c r="AE39" s="1087">
        <f>AD39*AE5</f>
        <v>705975.60000000009</v>
      </c>
      <c r="AF39" s="1087">
        <f>AE39/1000</f>
        <v>705.9756000000001</v>
      </c>
      <c r="AG39" s="1233">
        <v>310</v>
      </c>
      <c r="AH39" s="1230">
        <f>AE39+AE42+AE65+AE75</f>
        <v>1800947.3832667712</v>
      </c>
      <c r="AI39" s="1228">
        <v>772241.16</v>
      </c>
      <c r="AJ39" s="1228"/>
      <c r="AK39" s="1234" t="b">
        <f>AN39=G39</f>
        <v>0</v>
      </c>
      <c r="AL39" s="1233">
        <v>310</v>
      </c>
      <c r="AM39" s="1229"/>
      <c r="AN39" s="1229">
        <f>P39+Y39+AH39</f>
        <v>8276854.0155968694</v>
      </c>
      <c r="AO39" s="1229"/>
      <c r="AP39" s="1229">
        <f>Q39+Z39+AI39</f>
        <v>2019992.7000000002</v>
      </c>
      <c r="AQ39" s="1228"/>
      <c r="AR39" s="1228"/>
    </row>
    <row r="40" spans="1:44" ht="29.25" customHeight="1" x14ac:dyDescent="0.3">
      <c r="A40" s="1112"/>
      <c r="B40" s="1113" t="s">
        <v>977</v>
      </c>
      <c r="C40" s="1114">
        <f>C39</f>
        <v>58.831300000000006</v>
      </c>
      <c r="D40" s="1115">
        <f t="shared" ref="D40:E40" si="42">D39</f>
        <v>945771.97880000004</v>
      </c>
      <c r="E40" s="1115">
        <f t="shared" si="42"/>
        <v>945.77197880000006</v>
      </c>
      <c r="F40" s="1188"/>
      <c r="G40" s="1188"/>
      <c r="H40" s="1190"/>
      <c r="I40" s="1189"/>
      <c r="J40" s="1112"/>
      <c r="K40" s="1113" t="s">
        <v>977</v>
      </c>
      <c r="L40" s="1114">
        <f>L39</f>
        <v>58.831300000000006</v>
      </c>
      <c r="M40" s="1115">
        <f t="shared" ref="M40:N40" si="43">M39</f>
        <v>2420907.9950000001</v>
      </c>
      <c r="N40" s="1115">
        <f t="shared" si="43"/>
        <v>2420.907995</v>
      </c>
      <c r="P40" s="1189"/>
      <c r="Q40" s="1191"/>
      <c r="R40" s="1189"/>
      <c r="S40" s="1112"/>
      <c r="T40" s="1113" t="s">
        <v>977</v>
      </c>
      <c r="U40" s="1114">
        <f>U39</f>
        <v>58.831300000000006</v>
      </c>
      <c r="V40" s="1115">
        <f t="shared" ref="V40:W40" si="44">V39</f>
        <v>117662.6</v>
      </c>
      <c r="W40" s="1115">
        <f t="shared" si="44"/>
        <v>117.66260000000001</v>
      </c>
      <c r="Y40" s="1188"/>
      <c r="Z40" s="1199"/>
      <c r="AA40" s="1188"/>
      <c r="AB40" s="1112"/>
      <c r="AC40" s="1113" t="s">
        <v>977</v>
      </c>
      <c r="AD40" s="1114">
        <f>AD39</f>
        <v>58.831300000000006</v>
      </c>
      <c r="AE40" s="1115">
        <f t="shared" ref="AE40:AF40" si="45">AE39</f>
        <v>705975.60000000009</v>
      </c>
      <c r="AF40" s="1115">
        <f t="shared" si="45"/>
        <v>705.9756000000001</v>
      </c>
      <c r="AH40" s="1188"/>
      <c r="AI40" s="1188"/>
      <c r="AJ40" s="1188"/>
      <c r="AM40" s="1188"/>
      <c r="AN40" s="1188"/>
      <c r="AO40" s="1188"/>
      <c r="AP40" s="1188"/>
      <c r="AQ40" s="1188"/>
      <c r="AR40" s="1188"/>
    </row>
    <row r="41" spans="1:44" ht="29.25" customHeight="1" x14ac:dyDescent="0.3">
      <c r="F41" s="1188"/>
      <c r="G41" s="1188"/>
      <c r="H41" s="1190"/>
      <c r="I41" s="1189"/>
      <c r="J41" s="1077"/>
      <c r="K41" s="1143"/>
      <c r="L41" s="1079"/>
      <c r="M41" s="1079"/>
      <c r="N41" s="1079"/>
      <c r="P41" s="1189"/>
      <c r="Q41" s="1191"/>
      <c r="R41" s="1189"/>
      <c r="S41" s="1077"/>
      <c r="T41" s="1143"/>
      <c r="U41" s="1079"/>
      <c r="V41" s="1079"/>
      <c r="W41" s="1079"/>
      <c r="Y41" s="1188"/>
      <c r="Z41" s="1199"/>
      <c r="AA41" s="1188"/>
      <c r="AB41" s="1077"/>
      <c r="AC41" s="1143"/>
      <c r="AD41" s="1079"/>
      <c r="AE41" s="1079"/>
      <c r="AF41" s="1079"/>
      <c r="AH41" s="1188"/>
      <c r="AI41" s="1188"/>
      <c r="AJ41" s="1188"/>
      <c r="AM41" s="1188"/>
      <c r="AN41" s="1188"/>
      <c r="AO41" s="1188"/>
      <c r="AP41" s="1188"/>
      <c r="AQ41" s="1188"/>
      <c r="AR41" s="1188"/>
    </row>
    <row r="42" spans="1:44" ht="29.25" customHeight="1" x14ac:dyDescent="0.3">
      <c r="A42" s="1084" t="s">
        <v>639</v>
      </c>
      <c r="B42" s="1102" t="s">
        <v>331</v>
      </c>
      <c r="C42" s="1106">
        <v>41.424900000000001</v>
      </c>
      <c r="D42" s="1103">
        <f>C42*D5</f>
        <v>665946.69240000006</v>
      </c>
      <c r="E42" s="1166">
        <f t="shared" si="31"/>
        <v>665.94669240000007</v>
      </c>
      <c r="F42" s="1188"/>
      <c r="G42" s="1190"/>
      <c r="H42" s="1190"/>
      <c r="I42" s="1189"/>
      <c r="J42" s="1178" t="s">
        <v>639</v>
      </c>
      <c r="K42" s="1102" t="s">
        <v>331</v>
      </c>
      <c r="L42" s="1106">
        <v>41.424900000000001</v>
      </c>
      <c r="M42" s="1103">
        <f>L42*M5</f>
        <v>1704634.635</v>
      </c>
      <c r="N42" s="1103">
        <f t="shared" ref="N42" si="46">M42/1000</f>
        <v>1704.6346350000001</v>
      </c>
      <c r="P42" s="1191"/>
      <c r="Q42" s="1191"/>
      <c r="R42" s="1189"/>
      <c r="S42" s="1178" t="s">
        <v>639</v>
      </c>
      <c r="T42" s="1102" t="s">
        <v>331</v>
      </c>
      <c r="U42" s="1106">
        <v>41.424900000000001</v>
      </c>
      <c r="V42" s="1103">
        <f>U42*V5</f>
        <v>82849.8</v>
      </c>
      <c r="W42" s="1103">
        <f t="shared" ref="W42" si="47">V42/1000</f>
        <v>82.849800000000002</v>
      </c>
      <c r="Y42" s="1190"/>
      <c r="Z42" s="1199"/>
      <c r="AA42" s="1188"/>
      <c r="AB42" s="1178" t="s">
        <v>639</v>
      </c>
      <c r="AC42" s="1102" t="s">
        <v>331</v>
      </c>
      <c r="AD42" s="1106">
        <v>41.424900000000001</v>
      </c>
      <c r="AE42" s="1103">
        <f>AD42*AE5</f>
        <v>497098.8</v>
      </c>
      <c r="AF42" s="1103">
        <f t="shared" ref="AF42" si="48">AE42/1000</f>
        <v>497.09879999999998</v>
      </c>
      <c r="AH42" s="1190"/>
      <c r="AI42" s="1188"/>
      <c r="AJ42" s="1188"/>
      <c r="AM42" s="1190"/>
      <c r="AN42" s="1190"/>
      <c r="AO42" s="1190"/>
      <c r="AP42" s="1188"/>
      <c r="AQ42" s="1188"/>
      <c r="AR42" s="1188"/>
    </row>
    <row r="43" spans="1:44" s="1091" customFormat="1" ht="29.25" customHeight="1" x14ac:dyDescent="0.3">
      <c r="A43" s="1084"/>
      <c r="B43" s="1108" t="s">
        <v>978</v>
      </c>
      <c r="C43" s="1109">
        <f>C39+C42</f>
        <v>100.25620000000001</v>
      </c>
      <c r="D43" s="1110">
        <f>D39+D42</f>
        <v>1611718.6712000002</v>
      </c>
      <c r="E43" s="1167">
        <f>D43/1000</f>
        <v>1611.7186712000002</v>
      </c>
      <c r="F43" s="1193"/>
      <c r="G43" s="1193"/>
      <c r="H43" s="1190"/>
      <c r="I43" s="1194"/>
      <c r="J43" s="1178"/>
      <c r="K43" s="1108" t="s">
        <v>978</v>
      </c>
      <c r="L43" s="1109">
        <f>L39+L42</f>
        <v>100.25620000000001</v>
      </c>
      <c r="M43" s="1110">
        <f>M39+M42</f>
        <v>4125542.63</v>
      </c>
      <c r="N43" s="1110">
        <f>M43/1000</f>
        <v>4125.5426299999999</v>
      </c>
      <c r="P43" s="1194"/>
      <c r="Q43" s="1191"/>
      <c r="R43" s="1194"/>
      <c r="S43" s="1178"/>
      <c r="T43" s="1108" t="s">
        <v>978</v>
      </c>
      <c r="U43" s="1109">
        <f>U39+U42</f>
        <v>100.25620000000001</v>
      </c>
      <c r="V43" s="1110">
        <f>V39+V42</f>
        <v>200512.40000000002</v>
      </c>
      <c r="W43" s="1110">
        <f>V43/1000</f>
        <v>200.51240000000001</v>
      </c>
      <c r="X43" s="1152"/>
      <c r="Y43" s="1193"/>
      <c r="Z43" s="1199"/>
      <c r="AA43" s="1193"/>
      <c r="AB43" s="1178"/>
      <c r="AC43" s="1108" t="s">
        <v>978</v>
      </c>
      <c r="AD43" s="1109">
        <f>AD39+AD42</f>
        <v>100.25620000000001</v>
      </c>
      <c r="AE43" s="1110">
        <f>AE39+AE42</f>
        <v>1203074.4000000001</v>
      </c>
      <c r="AF43" s="1110">
        <f>AE43/1000</f>
        <v>1203.0744000000002</v>
      </c>
      <c r="AG43" s="1152"/>
      <c r="AH43" s="1193"/>
      <c r="AI43" s="1193"/>
      <c r="AJ43" s="1193"/>
      <c r="AK43" s="1222"/>
      <c r="AL43" s="1152"/>
      <c r="AM43" s="1193"/>
      <c r="AN43" s="1193"/>
      <c r="AO43" s="1193"/>
      <c r="AP43" s="1193"/>
      <c r="AQ43" s="1193"/>
      <c r="AR43" s="1193"/>
    </row>
    <row r="44" spans="1:44" s="1120" customFormat="1" ht="29.25" customHeight="1" x14ac:dyDescent="0.3">
      <c r="A44" s="1084"/>
      <c r="B44" s="1116" t="s">
        <v>979</v>
      </c>
      <c r="C44" s="1117">
        <f>C37+C40</f>
        <v>498.24171595690234</v>
      </c>
      <c r="D44" s="1118">
        <f>D37+D43</f>
        <v>8675680.5181231629</v>
      </c>
      <c r="E44" s="1169">
        <f>D44/1000</f>
        <v>8675.680518123163</v>
      </c>
      <c r="F44" s="1195"/>
      <c r="G44" s="1195"/>
      <c r="H44" s="1190"/>
      <c r="I44" s="1196"/>
      <c r="J44" s="1178"/>
      <c r="K44" s="1116" t="s">
        <v>979</v>
      </c>
      <c r="L44" s="1117">
        <f>L37+L40</f>
        <v>498.24171595690234</v>
      </c>
      <c r="M44" s="1118">
        <f>M37+M43</f>
        <v>22207281.24662653</v>
      </c>
      <c r="N44" s="1118">
        <f>M44/1000</f>
        <v>22207.281246626531</v>
      </c>
      <c r="P44" s="1196"/>
      <c r="Q44" s="1191"/>
      <c r="R44" s="1196"/>
      <c r="S44" s="1178"/>
      <c r="T44" s="1116" t="s">
        <v>979</v>
      </c>
      <c r="U44" s="1117">
        <f>U37+U40</f>
        <v>498.24171595690234</v>
      </c>
      <c r="V44" s="1118">
        <f>V37+V43</f>
        <v>1079333.2319138045</v>
      </c>
      <c r="W44" s="1118">
        <f>V44/1000</f>
        <v>1079.3332319138046</v>
      </c>
      <c r="X44" s="1153"/>
      <c r="Y44" s="1195"/>
      <c r="Z44" s="1199"/>
      <c r="AA44" s="1195"/>
      <c r="AB44" s="1178"/>
      <c r="AC44" s="1116" t="s">
        <v>979</v>
      </c>
      <c r="AD44" s="1117">
        <f>AD37+AD40</f>
        <v>498.24171595690234</v>
      </c>
      <c r="AE44" s="1118">
        <f>AE37+AE43</f>
        <v>6475999.3914828282</v>
      </c>
      <c r="AF44" s="1118">
        <f>AE44/1000</f>
        <v>6475.9993914828283</v>
      </c>
      <c r="AG44" s="1153"/>
      <c r="AH44" s="1195"/>
      <c r="AI44" s="1195"/>
      <c r="AJ44" s="1195"/>
      <c r="AK44" s="1223"/>
      <c r="AL44" s="1153"/>
      <c r="AM44" s="1195"/>
      <c r="AN44" s="1195"/>
      <c r="AO44" s="1195"/>
      <c r="AP44" s="1195"/>
      <c r="AQ44" s="1195"/>
      <c r="AR44" s="1195"/>
    </row>
    <row r="45" spans="1:44" ht="29.25" customHeight="1" x14ac:dyDescent="0.3">
      <c r="A45" s="1121"/>
      <c r="B45" s="1122" t="s">
        <v>295</v>
      </c>
      <c r="C45" s="1123">
        <f>C44+C27+C42</f>
        <v>4398.5063159569027</v>
      </c>
      <c r="D45" s="1122">
        <f>D27+D44</f>
        <v>70710387.535323158</v>
      </c>
      <c r="E45" s="1170">
        <f t="shared" si="31"/>
        <v>70710.387535323156</v>
      </c>
      <c r="F45" s="1188"/>
      <c r="G45" s="1188"/>
      <c r="H45" s="1190"/>
      <c r="I45" s="1189"/>
      <c r="J45" s="1182"/>
      <c r="K45" s="1122" t="s">
        <v>295</v>
      </c>
      <c r="L45" s="1123">
        <f>L44+L27+L42</f>
        <v>4398.5063159569027</v>
      </c>
      <c r="M45" s="1122">
        <f>M27+M44</f>
        <v>180998534.90162653</v>
      </c>
      <c r="N45" s="1122">
        <f t="shared" ref="N45" si="49">M45/1000</f>
        <v>180998.53490162652</v>
      </c>
      <c r="P45" s="1189"/>
      <c r="Q45" s="1191"/>
      <c r="R45" s="1189"/>
      <c r="S45" s="1182"/>
      <c r="T45" s="1122" t="s">
        <v>295</v>
      </c>
      <c r="U45" s="1123">
        <f>U44+U27+U42</f>
        <v>4398.5063159569027</v>
      </c>
      <c r="V45" s="1122">
        <f>V27+V44</f>
        <v>8797012.6319138054</v>
      </c>
      <c r="W45" s="1122">
        <f t="shared" ref="W45" si="50">V45/1000</f>
        <v>8797.0126319138053</v>
      </c>
      <c r="Y45" s="1188"/>
      <c r="Z45" s="1199"/>
      <c r="AA45" s="1188"/>
      <c r="AB45" s="1182"/>
      <c r="AC45" s="1122" t="s">
        <v>295</v>
      </c>
      <c r="AD45" s="1123">
        <f>AD44+AD27+AD42</f>
        <v>4398.5063159569027</v>
      </c>
      <c r="AE45" s="1122">
        <f>AE27+AE44</f>
        <v>52782075.791482829</v>
      </c>
      <c r="AF45" s="1122">
        <f t="shared" ref="AF45" si="51">AE45/1000</f>
        <v>52782.075791482828</v>
      </c>
      <c r="AH45" s="1188"/>
      <c r="AI45" s="1188"/>
      <c r="AJ45" s="1188"/>
      <c r="AM45" s="1188"/>
      <c r="AN45" s="1188"/>
      <c r="AO45" s="1188"/>
      <c r="AP45" s="1188"/>
      <c r="AQ45" s="1188"/>
      <c r="AR45" s="1188"/>
    </row>
    <row r="46" spans="1:44" s="1125" customFormat="1" ht="36.75" customHeight="1" x14ac:dyDescent="0.3">
      <c r="A46" s="1124" t="s">
        <v>296</v>
      </c>
      <c r="B46" s="1473" t="s">
        <v>297</v>
      </c>
      <c r="C46" s="1474"/>
      <c r="D46" s="1474"/>
      <c r="E46" s="1474"/>
      <c r="F46" s="1197"/>
      <c r="G46" s="1197"/>
      <c r="H46" s="1190"/>
      <c r="I46" s="1198"/>
      <c r="J46" s="1183" t="s">
        <v>296</v>
      </c>
      <c r="K46" s="1473" t="s">
        <v>297</v>
      </c>
      <c r="L46" s="1474"/>
      <c r="M46" s="1474"/>
      <c r="N46" s="1474"/>
      <c r="P46" s="1198"/>
      <c r="Q46" s="1191"/>
      <c r="R46" s="1198"/>
      <c r="S46" s="1183" t="s">
        <v>296</v>
      </c>
      <c r="T46" s="1473" t="s">
        <v>297</v>
      </c>
      <c r="U46" s="1474"/>
      <c r="V46" s="1474"/>
      <c r="W46" s="1474"/>
      <c r="X46" s="1154"/>
      <c r="Y46" s="1197"/>
      <c r="Z46" s="1199"/>
      <c r="AA46" s="1197"/>
      <c r="AB46" s="1183" t="s">
        <v>296</v>
      </c>
      <c r="AC46" s="1473" t="s">
        <v>297</v>
      </c>
      <c r="AD46" s="1474"/>
      <c r="AE46" s="1474"/>
      <c r="AF46" s="1474"/>
      <c r="AG46" s="1154"/>
      <c r="AH46" s="1197"/>
      <c r="AI46" s="1197"/>
      <c r="AJ46" s="1197"/>
      <c r="AK46" s="1224"/>
      <c r="AL46" s="1154"/>
      <c r="AM46" s="1197"/>
      <c r="AN46" s="1197"/>
      <c r="AO46" s="1197"/>
      <c r="AP46" s="1197"/>
      <c r="AQ46" s="1197"/>
      <c r="AR46" s="1197"/>
    </row>
    <row r="47" spans="1:44" s="1125" customFormat="1" ht="29.25" customHeight="1" x14ac:dyDescent="0.3">
      <c r="A47" s="1084" t="s">
        <v>298</v>
      </c>
      <c r="B47" s="1477" t="s">
        <v>299</v>
      </c>
      <c r="C47" s="1478"/>
      <c r="D47" s="1478"/>
      <c r="E47" s="1478"/>
      <c r="F47" s="1197"/>
      <c r="G47" s="1197"/>
      <c r="H47" s="1190"/>
      <c r="I47" s="1198"/>
      <c r="J47" s="1178" t="s">
        <v>298</v>
      </c>
      <c r="K47" s="1477" t="s">
        <v>299</v>
      </c>
      <c r="L47" s="1478"/>
      <c r="M47" s="1478"/>
      <c r="N47" s="1478"/>
      <c r="P47" s="1198"/>
      <c r="Q47" s="1191"/>
      <c r="R47" s="1198"/>
      <c r="S47" s="1178" t="s">
        <v>298</v>
      </c>
      <c r="T47" s="1477" t="s">
        <v>299</v>
      </c>
      <c r="U47" s="1478"/>
      <c r="V47" s="1478"/>
      <c r="W47" s="1478"/>
      <c r="X47" s="1154"/>
      <c r="Y47" s="1197"/>
      <c r="Z47" s="1199"/>
      <c r="AA47" s="1197"/>
      <c r="AB47" s="1178" t="s">
        <v>298</v>
      </c>
      <c r="AC47" s="1477" t="s">
        <v>299</v>
      </c>
      <c r="AD47" s="1478"/>
      <c r="AE47" s="1478"/>
      <c r="AF47" s="1478"/>
      <c r="AG47" s="1154"/>
      <c r="AH47" s="1197"/>
      <c r="AI47" s="1197"/>
      <c r="AJ47" s="1197"/>
      <c r="AK47" s="1224"/>
      <c r="AL47" s="1154"/>
      <c r="AM47" s="1197"/>
      <c r="AN47" s="1197"/>
      <c r="AO47" s="1197"/>
      <c r="AP47" s="1197"/>
      <c r="AQ47" s="1197"/>
      <c r="AR47" s="1197"/>
    </row>
    <row r="48" spans="1:44" s="1125" customFormat="1" ht="29.25" customHeight="1" x14ac:dyDescent="0.3">
      <c r="A48" s="1084" t="s">
        <v>300</v>
      </c>
      <c r="B48" s="1102" t="s">
        <v>301</v>
      </c>
      <c r="C48" s="1126">
        <v>110.11466883349543</v>
      </c>
      <c r="D48" s="1103">
        <f>C48*D5</f>
        <v>1770203.4161672725</v>
      </c>
      <c r="E48" s="1166">
        <f>D48/1000</f>
        <v>1770.2034161672725</v>
      </c>
      <c r="F48" s="1197">
        <v>223</v>
      </c>
      <c r="G48" s="1199">
        <f>D54</f>
        <v>4269013.3192291558</v>
      </c>
      <c r="H48" s="1190">
        <v>11180271.91</v>
      </c>
      <c r="I48" s="1200">
        <f>G48-H48</f>
        <v>-6911258.5907708444</v>
      </c>
      <c r="J48" s="1178" t="s">
        <v>300</v>
      </c>
      <c r="K48" s="1102" t="s">
        <v>301</v>
      </c>
      <c r="L48" s="1126">
        <v>110.11466883349543</v>
      </c>
      <c r="M48" s="1103">
        <f>L48*M5</f>
        <v>4531218.6224983372</v>
      </c>
      <c r="N48" s="1103">
        <f>M48/1000</f>
        <v>4531.218622498337</v>
      </c>
      <c r="O48" s="1125">
        <v>223</v>
      </c>
      <c r="P48" s="1200">
        <f>M54</f>
        <v>10927463.180286124</v>
      </c>
      <c r="Q48" s="1191">
        <f>7064216.52-Z48</f>
        <v>5294577.9899999993</v>
      </c>
      <c r="R48" s="1198"/>
      <c r="S48" s="1178" t="s">
        <v>300</v>
      </c>
      <c r="T48" s="1102" t="s">
        <v>301</v>
      </c>
      <c r="U48" s="1126">
        <v>110.11466883349543</v>
      </c>
      <c r="V48" s="1103">
        <f>U48*V5</f>
        <v>220229.33766699085</v>
      </c>
      <c r="W48" s="1103">
        <f>V48/1000</f>
        <v>220.22933766699086</v>
      </c>
      <c r="X48" s="1154">
        <v>223</v>
      </c>
      <c r="Y48" s="1199">
        <f>V54</f>
        <v>531103.92127757589</v>
      </c>
      <c r="Z48" s="1199">
        <v>1769638.53</v>
      </c>
      <c r="AA48" s="1197"/>
      <c r="AB48" s="1178" t="s">
        <v>300</v>
      </c>
      <c r="AC48" s="1102" t="s">
        <v>301</v>
      </c>
      <c r="AD48" s="1126">
        <v>110.11466883349543</v>
      </c>
      <c r="AE48" s="1103">
        <f>AD48*AE5</f>
        <v>1321376.0260019451</v>
      </c>
      <c r="AF48" s="1103">
        <f>AE48/1000</f>
        <v>1321.3760260019451</v>
      </c>
      <c r="AG48" s="1154">
        <v>223</v>
      </c>
      <c r="AH48" s="1199">
        <f>AE54</f>
        <v>3186623.5276654554</v>
      </c>
      <c r="AI48" s="1197">
        <v>4116055.39</v>
      </c>
      <c r="AJ48" s="1197"/>
      <c r="AK48" s="1224" t="b">
        <f>AN48=G48</f>
        <v>0</v>
      </c>
      <c r="AL48" s="1154">
        <v>223</v>
      </c>
      <c r="AM48" s="1199"/>
      <c r="AN48" s="1199">
        <f>P48+Y48+AH48</f>
        <v>14645190.629229154</v>
      </c>
      <c r="AO48" s="1199"/>
      <c r="AP48" s="1199">
        <f>Q48+Z48+AI48</f>
        <v>11180271.91</v>
      </c>
      <c r="AQ48" s="1197"/>
      <c r="AR48" s="1197"/>
    </row>
    <row r="49" spans="1:44" s="1125" customFormat="1" ht="29.25" customHeight="1" x14ac:dyDescent="0.3">
      <c r="A49" s="1084" t="s">
        <v>302</v>
      </c>
      <c r="B49" s="1102" t="s">
        <v>303</v>
      </c>
      <c r="C49" s="1126">
        <v>125.77523289143677</v>
      </c>
      <c r="D49" s="1103">
        <f>C49*D5</f>
        <v>2021962.6439627376</v>
      </c>
      <c r="E49" s="1166">
        <f t="shared" ref="E49:E68" si="52">D49/1000</f>
        <v>2021.9626439627377</v>
      </c>
      <c r="F49" s="1197"/>
      <c r="G49" s="1197"/>
      <c r="H49" s="1190"/>
      <c r="I49" s="1198"/>
      <c r="J49" s="1178" t="s">
        <v>302</v>
      </c>
      <c r="K49" s="1102" t="s">
        <v>303</v>
      </c>
      <c r="L49" s="1126">
        <v>125.77523289143677</v>
      </c>
      <c r="M49" s="1103">
        <f>L49*M5</f>
        <v>5175650.8334826231</v>
      </c>
      <c r="N49" s="1103">
        <f t="shared" ref="N49:N54" si="53">M49/1000</f>
        <v>5175.6508334826231</v>
      </c>
      <c r="P49" s="1198"/>
      <c r="Q49" s="1191"/>
      <c r="R49" s="1198"/>
      <c r="S49" s="1178" t="s">
        <v>302</v>
      </c>
      <c r="T49" s="1102" t="s">
        <v>303</v>
      </c>
      <c r="U49" s="1126">
        <v>125.77523289143677</v>
      </c>
      <c r="V49" s="1103">
        <f>U49*V5</f>
        <v>251550.46578287354</v>
      </c>
      <c r="W49" s="1103">
        <f t="shared" ref="W49:W54" si="54">V49/1000</f>
        <v>251.55046578287354</v>
      </c>
      <c r="X49" s="1154"/>
      <c r="Y49" s="1197"/>
      <c r="Z49" s="1199"/>
      <c r="AA49" s="1197"/>
      <c r="AB49" s="1178" t="s">
        <v>302</v>
      </c>
      <c r="AC49" s="1102" t="s">
        <v>303</v>
      </c>
      <c r="AD49" s="1126">
        <v>125.77523289143677</v>
      </c>
      <c r="AE49" s="1103">
        <f>AD49*AE5</f>
        <v>1509302.7946972412</v>
      </c>
      <c r="AF49" s="1103">
        <f t="shared" ref="AF49:AF54" si="55">AE49/1000</f>
        <v>1509.3027946972411</v>
      </c>
      <c r="AG49" s="1154"/>
      <c r="AH49" s="1197"/>
      <c r="AI49" s="1197"/>
      <c r="AJ49" s="1197"/>
      <c r="AK49" s="1224"/>
      <c r="AL49" s="1154"/>
      <c r="AM49" s="1197"/>
      <c r="AN49" s="1197"/>
      <c r="AO49" s="1197"/>
      <c r="AP49" s="1197"/>
      <c r="AQ49" s="1197"/>
      <c r="AR49" s="1197"/>
    </row>
    <row r="50" spans="1:44" s="1125" customFormat="1" ht="29.25" customHeight="1" x14ac:dyDescent="0.3">
      <c r="A50" s="1084" t="s">
        <v>304</v>
      </c>
      <c r="B50" s="1102" t="s">
        <v>305</v>
      </c>
      <c r="C50" s="1126">
        <v>0</v>
      </c>
      <c r="D50" s="1103">
        <v>0</v>
      </c>
      <c r="E50" s="1166">
        <f t="shared" si="52"/>
        <v>0</v>
      </c>
      <c r="F50" s="1197"/>
      <c r="G50" s="1197"/>
      <c r="H50" s="1190"/>
      <c r="I50" s="1198"/>
      <c r="J50" s="1178" t="s">
        <v>304</v>
      </c>
      <c r="K50" s="1102" t="s">
        <v>305</v>
      </c>
      <c r="L50" s="1126">
        <v>0</v>
      </c>
      <c r="M50" s="1103">
        <v>0</v>
      </c>
      <c r="N50" s="1103">
        <f t="shared" si="53"/>
        <v>0</v>
      </c>
      <c r="P50" s="1198"/>
      <c r="Q50" s="1191"/>
      <c r="R50" s="1198"/>
      <c r="S50" s="1178" t="s">
        <v>304</v>
      </c>
      <c r="T50" s="1102" t="s">
        <v>305</v>
      </c>
      <c r="U50" s="1126">
        <v>0</v>
      </c>
      <c r="V50" s="1103">
        <v>0</v>
      </c>
      <c r="W50" s="1103">
        <f t="shared" si="54"/>
        <v>0</v>
      </c>
      <c r="X50" s="1154"/>
      <c r="Y50" s="1197"/>
      <c r="Z50" s="1199"/>
      <c r="AA50" s="1197"/>
      <c r="AB50" s="1178" t="s">
        <v>304</v>
      </c>
      <c r="AC50" s="1102" t="s">
        <v>305</v>
      </c>
      <c r="AD50" s="1126">
        <v>0</v>
      </c>
      <c r="AE50" s="1103">
        <v>0</v>
      </c>
      <c r="AF50" s="1103">
        <f t="shared" si="55"/>
        <v>0</v>
      </c>
      <c r="AG50" s="1154"/>
      <c r="AH50" s="1197"/>
      <c r="AI50" s="1197"/>
      <c r="AJ50" s="1197"/>
      <c r="AK50" s="1224"/>
      <c r="AL50" s="1154"/>
      <c r="AM50" s="1197"/>
      <c r="AN50" s="1197"/>
      <c r="AO50" s="1197"/>
      <c r="AP50" s="1197"/>
      <c r="AQ50" s="1197"/>
      <c r="AR50" s="1197"/>
    </row>
    <row r="51" spans="1:44" s="1125" customFormat="1" ht="29.25" customHeight="1" x14ac:dyDescent="0.3">
      <c r="A51" s="1084" t="s">
        <v>306</v>
      </c>
      <c r="B51" s="1102" t="s">
        <v>307</v>
      </c>
      <c r="C51" s="1126">
        <v>0</v>
      </c>
      <c r="D51" s="1103">
        <v>0</v>
      </c>
      <c r="E51" s="1166">
        <f t="shared" si="52"/>
        <v>0</v>
      </c>
      <c r="F51" s="1197"/>
      <c r="G51" s="1197"/>
      <c r="H51" s="1190"/>
      <c r="I51" s="1198"/>
      <c r="J51" s="1178" t="s">
        <v>306</v>
      </c>
      <c r="K51" s="1102" t="s">
        <v>307</v>
      </c>
      <c r="L51" s="1126">
        <v>0</v>
      </c>
      <c r="M51" s="1103">
        <v>0</v>
      </c>
      <c r="N51" s="1103">
        <f t="shared" si="53"/>
        <v>0</v>
      </c>
      <c r="P51" s="1198"/>
      <c r="Q51" s="1191"/>
      <c r="R51" s="1198"/>
      <c r="S51" s="1178" t="s">
        <v>306</v>
      </c>
      <c r="T51" s="1102" t="s">
        <v>307</v>
      </c>
      <c r="U51" s="1126">
        <v>0</v>
      </c>
      <c r="V51" s="1103">
        <v>0</v>
      </c>
      <c r="W51" s="1103">
        <f t="shared" si="54"/>
        <v>0</v>
      </c>
      <c r="X51" s="1154"/>
      <c r="Y51" s="1197"/>
      <c r="Z51" s="1199"/>
      <c r="AA51" s="1197"/>
      <c r="AB51" s="1178" t="s">
        <v>306</v>
      </c>
      <c r="AC51" s="1102" t="s">
        <v>307</v>
      </c>
      <c r="AD51" s="1126">
        <v>0</v>
      </c>
      <c r="AE51" s="1103">
        <v>0</v>
      </c>
      <c r="AF51" s="1103">
        <f t="shared" si="55"/>
        <v>0</v>
      </c>
      <c r="AG51" s="1154"/>
      <c r="AH51" s="1197"/>
      <c r="AI51" s="1197"/>
      <c r="AJ51" s="1197"/>
      <c r="AK51" s="1224"/>
      <c r="AL51" s="1154"/>
      <c r="AM51" s="1197"/>
      <c r="AN51" s="1197"/>
      <c r="AO51" s="1197"/>
      <c r="AP51" s="1197"/>
      <c r="AQ51" s="1197"/>
      <c r="AR51" s="1197"/>
    </row>
    <row r="52" spans="1:44" s="1125" customFormat="1" ht="29.25" customHeight="1" x14ac:dyDescent="0.3">
      <c r="A52" s="1084" t="s">
        <v>308</v>
      </c>
      <c r="B52" s="1102" t="s">
        <v>309</v>
      </c>
      <c r="C52" s="1126">
        <v>0</v>
      </c>
      <c r="D52" s="1103">
        <v>0</v>
      </c>
      <c r="E52" s="1166">
        <f t="shared" si="52"/>
        <v>0</v>
      </c>
      <c r="F52" s="1197"/>
      <c r="G52" s="1197"/>
      <c r="H52" s="1190"/>
      <c r="I52" s="1198"/>
      <c r="J52" s="1178" t="s">
        <v>308</v>
      </c>
      <c r="K52" s="1102" t="s">
        <v>309</v>
      </c>
      <c r="L52" s="1126">
        <v>0</v>
      </c>
      <c r="M52" s="1103">
        <v>0</v>
      </c>
      <c r="N52" s="1103">
        <f t="shared" si="53"/>
        <v>0</v>
      </c>
      <c r="P52" s="1198"/>
      <c r="Q52" s="1191"/>
      <c r="R52" s="1198"/>
      <c r="S52" s="1178" t="s">
        <v>308</v>
      </c>
      <c r="T52" s="1102" t="s">
        <v>309</v>
      </c>
      <c r="U52" s="1126">
        <v>0</v>
      </c>
      <c r="V52" s="1103">
        <v>0</v>
      </c>
      <c r="W52" s="1103">
        <f t="shared" si="54"/>
        <v>0</v>
      </c>
      <c r="X52" s="1154"/>
      <c r="Y52" s="1197"/>
      <c r="Z52" s="1199"/>
      <c r="AA52" s="1197"/>
      <c r="AB52" s="1178" t="s">
        <v>308</v>
      </c>
      <c r="AC52" s="1102" t="s">
        <v>309</v>
      </c>
      <c r="AD52" s="1126">
        <v>0</v>
      </c>
      <c r="AE52" s="1103">
        <v>0</v>
      </c>
      <c r="AF52" s="1103">
        <f t="shared" si="55"/>
        <v>0</v>
      </c>
      <c r="AG52" s="1154"/>
      <c r="AH52" s="1197"/>
      <c r="AI52" s="1197"/>
      <c r="AJ52" s="1197"/>
      <c r="AK52" s="1224"/>
      <c r="AL52" s="1154"/>
      <c r="AM52" s="1197"/>
      <c r="AN52" s="1197"/>
      <c r="AO52" s="1197"/>
      <c r="AP52" s="1197"/>
      <c r="AQ52" s="1197"/>
      <c r="AR52" s="1197"/>
    </row>
    <row r="53" spans="1:44" s="1125" customFormat="1" ht="29.25" customHeight="1" x14ac:dyDescent="0.3">
      <c r="A53" s="1084" t="s">
        <v>310</v>
      </c>
      <c r="B53" s="1102" t="s">
        <v>311</v>
      </c>
      <c r="C53" s="1127">
        <v>29.662058913855763</v>
      </c>
      <c r="D53" s="1103">
        <f>C53*D5</f>
        <v>476847.25909914525</v>
      </c>
      <c r="E53" s="1166">
        <f t="shared" si="52"/>
        <v>476.84725909914522</v>
      </c>
      <c r="F53" s="1197"/>
      <c r="G53" s="1197"/>
      <c r="H53" s="1190"/>
      <c r="I53" s="1198"/>
      <c r="J53" s="1178" t="s">
        <v>310</v>
      </c>
      <c r="K53" s="1102" t="s">
        <v>311</v>
      </c>
      <c r="L53" s="1127">
        <v>29.662058913855763</v>
      </c>
      <c r="M53" s="1103">
        <f>L53*M5</f>
        <v>1220593.7243051645</v>
      </c>
      <c r="N53" s="1103">
        <f t="shared" si="53"/>
        <v>1220.5937243051646</v>
      </c>
      <c r="P53" s="1198"/>
      <c r="Q53" s="1191"/>
      <c r="R53" s="1198"/>
      <c r="S53" s="1178" t="s">
        <v>310</v>
      </c>
      <c r="T53" s="1102" t="s">
        <v>311</v>
      </c>
      <c r="U53" s="1127">
        <v>29.662058913855763</v>
      </c>
      <c r="V53" s="1103">
        <f>U53*V5</f>
        <v>59324.117827711525</v>
      </c>
      <c r="W53" s="1103">
        <f t="shared" si="54"/>
        <v>59.324117827711525</v>
      </c>
      <c r="X53" s="1154"/>
      <c r="Y53" s="1197"/>
      <c r="Z53" s="1199"/>
      <c r="AA53" s="1197"/>
      <c r="AB53" s="1178" t="s">
        <v>310</v>
      </c>
      <c r="AC53" s="1102" t="s">
        <v>311</v>
      </c>
      <c r="AD53" s="1127">
        <v>29.662058913855763</v>
      </c>
      <c r="AE53" s="1103">
        <f>AD53*AE5</f>
        <v>355944.70696626918</v>
      </c>
      <c r="AF53" s="1103">
        <f t="shared" si="55"/>
        <v>355.94470696626917</v>
      </c>
      <c r="AG53" s="1154"/>
      <c r="AH53" s="1197"/>
      <c r="AI53" s="1197"/>
      <c r="AJ53" s="1197"/>
      <c r="AK53" s="1224"/>
      <c r="AL53" s="1154"/>
      <c r="AM53" s="1197"/>
      <c r="AN53" s="1197"/>
      <c r="AO53" s="1197"/>
      <c r="AP53" s="1197"/>
      <c r="AQ53" s="1197"/>
      <c r="AR53" s="1197"/>
    </row>
    <row r="54" spans="1:44" s="1125" customFormat="1" ht="29.25" customHeight="1" x14ac:dyDescent="0.3">
      <c r="A54" s="1084"/>
      <c r="B54" s="1108" t="s">
        <v>312</v>
      </c>
      <c r="C54" s="1117">
        <f>SUM(C48:C53)</f>
        <v>265.55196063878799</v>
      </c>
      <c r="D54" s="1128">
        <f>SUM(D48:D53)</f>
        <v>4269013.3192291558</v>
      </c>
      <c r="E54" s="1171">
        <f t="shared" si="52"/>
        <v>4269.013319229156</v>
      </c>
      <c r="F54" s="1197"/>
      <c r="G54" s="1197"/>
      <c r="H54" s="1190"/>
      <c r="I54" s="1198"/>
      <c r="J54" s="1178"/>
      <c r="K54" s="1108" t="s">
        <v>312</v>
      </c>
      <c r="L54" s="1117">
        <f>SUM(L48:L53)</f>
        <v>265.55196063878799</v>
      </c>
      <c r="M54" s="1128">
        <f>SUM(M48:M53)</f>
        <v>10927463.180286124</v>
      </c>
      <c r="N54" s="1128">
        <f t="shared" si="53"/>
        <v>10927.463180286124</v>
      </c>
      <c r="P54" s="1198"/>
      <c r="Q54" s="1191"/>
      <c r="R54" s="1198"/>
      <c r="S54" s="1178"/>
      <c r="T54" s="1108" t="s">
        <v>312</v>
      </c>
      <c r="U54" s="1117">
        <f>SUM(U48:U53)</f>
        <v>265.55196063878799</v>
      </c>
      <c r="V54" s="1128">
        <f>SUM(V48:V53)</f>
        <v>531103.92127757589</v>
      </c>
      <c r="W54" s="1128">
        <f t="shared" si="54"/>
        <v>531.10392127757586</v>
      </c>
      <c r="X54" s="1154"/>
      <c r="Y54" s="1197"/>
      <c r="Z54" s="1199"/>
      <c r="AA54" s="1197"/>
      <c r="AB54" s="1178"/>
      <c r="AC54" s="1108" t="s">
        <v>312</v>
      </c>
      <c r="AD54" s="1117">
        <f>SUM(AD48:AD53)</f>
        <v>265.55196063878799</v>
      </c>
      <c r="AE54" s="1128">
        <f>SUM(AE48:AE53)</f>
        <v>3186623.5276654554</v>
      </c>
      <c r="AF54" s="1128">
        <f t="shared" si="55"/>
        <v>3186.6235276654552</v>
      </c>
      <c r="AG54" s="1154"/>
      <c r="AH54" s="1197"/>
      <c r="AI54" s="1197"/>
      <c r="AJ54" s="1197"/>
      <c r="AK54" s="1224"/>
      <c r="AL54" s="1154"/>
      <c r="AM54" s="1197"/>
      <c r="AN54" s="1197"/>
      <c r="AO54" s="1197"/>
      <c r="AP54" s="1197"/>
      <c r="AQ54" s="1197"/>
      <c r="AR54" s="1197"/>
    </row>
    <row r="55" spans="1:44" ht="29.25" customHeight="1" x14ac:dyDescent="0.3">
      <c r="A55" s="1124" t="s">
        <v>313</v>
      </c>
      <c r="B55" s="1477" t="s">
        <v>314</v>
      </c>
      <c r="C55" s="1478"/>
      <c r="D55" s="1478"/>
      <c r="E55" s="1478">
        <f>D55/1000</f>
        <v>0</v>
      </c>
      <c r="F55" s="1188"/>
      <c r="G55" s="1188"/>
      <c r="H55" s="1190"/>
      <c r="I55" s="1189"/>
      <c r="J55" s="1183" t="s">
        <v>313</v>
      </c>
      <c r="K55" s="1477" t="s">
        <v>314</v>
      </c>
      <c r="L55" s="1478"/>
      <c r="M55" s="1478"/>
      <c r="N55" s="1478">
        <f>M55/1000</f>
        <v>0</v>
      </c>
      <c r="P55" s="1189"/>
      <c r="Q55" s="1191"/>
      <c r="R55" s="1189"/>
      <c r="S55" s="1183" t="s">
        <v>313</v>
      </c>
      <c r="T55" s="1477" t="s">
        <v>314</v>
      </c>
      <c r="U55" s="1478"/>
      <c r="V55" s="1478"/>
      <c r="W55" s="1478">
        <f>V55/1000</f>
        <v>0</v>
      </c>
      <c r="Y55" s="1188"/>
      <c r="Z55" s="1199"/>
      <c r="AA55" s="1188"/>
      <c r="AB55" s="1183" t="s">
        <v>313</v>
      </c>
      <c r="AC55" s="1477" t="s">
        <v>314</v>
      </c>
      <c r="AD55" s="1478"/>
      <c r="AE55" s="1478"/>
      <c r="AF55" s="1478">
        <f>AE55/1000</f>
        <v>0</v>
      </c>
      <c r="AH55" s="1188"/>
      <c r="AI55" s="1188"/>
      <c r="AJ55" s="1188"/>
      <c r="AM55" s="1188"/>
      <c r="AN55" s="1188"/>
      <c r="AO55" s="1188"/>
      <c r="AP55" s="1188"/>
      <c r="AQ55" s="1188"/>
      <c r="AR55" s="1188"/>
    </row>
    <row r="56" spans="1:44" ht="29.25" customHeight="1" x14ac:dyDescent="0.3">
      <c r="A56" s="1084" t="s">
        <v>315</v>
      </c>
      <c r="B56" s="1129" t="s">
        <v>316</v>
      </c>
      <c r="C56" s="1106">
        <v>67.163957874801667</v>
      </c>
      <c r="D56" s="1103">
        <f>C56*D5</f>
        <v>1079727.7867953116</v>
      </c>
      <c r="E56" s="1166">
        <f>D56/1000</f>
        <v>1079.7277867953117</v>
      </c>
      <c r="F56" s="1188">
        <v>225</v>
      </c>
      <c r="G56" s="1190">
        <f>D58+D63</f>
        <v>2676971.1170998206</v>
      </c>
      <c r="H56" s="1190">
        <v>6515818.2999999998</v>
      </c>
      <c r="I56" s="1191">
        <f>G56-H56</f>
        <v>-3838847.1829001792</v>
      </c>
      <c r="J56" s="1178" t="s">
        <v>315</v>
      </c>
      <c r="K56" s="1129" t="s">
        <v>316</v>
      </c>
      <c r="L56" s="1106">
        <v>67.163957874801667</v>
      </c>
      <c r="M56" s="1103">
        <f>L56*M5</f>
        <v>2763796.8665480888</v>
      </c>
      <c r="N56" s="1103">
        <f>M56/1000</f>
        <v>2763.7968665480889</v>
      </c>
      <c r="O56" s="1076">
        <v>225</v>
      </c>
      <c r="P56" s="1191">
        <f>M58+M63</f>
        <v>6852286.7298244368</v>
      </c>
      <c r="Q56" s="1191">
        <f>3934762.54-Z56</f>
        <v>2825075.26</v>
      </c>
      <c r="R56" s="1189"/>
      <c r="S56" s="1178" t="s">
        <v>315</v>
      </c>
      <c r="T56" s="1129" t="s">
        <v>316</v>
      </c>
      <c r="U56" s="1106">
        <v>67.163957874801667</v>
      </c>
      <c r="V56" s="1103">
        <f>U56*V5</f>
        <v>134327.91574960333</v>
      </c>
      <c r="W56" s="1103">
        <f>V56/1000</f>
        <v>134.32791574960333</v>
      </c>
      <c r="X56" s="1150">
        <v>225</v>
      </c>
      <c r="Y56" s="1190">
        <f>V58+V63</f>
        <v>333039.45223934075</v>
      </c>
      <c r="Z56" s="1199">
        <v>1109687.28</v>
      </c>
      <c r="AA56" s="1188"/>
      <c r="AB56" s="1178" t="s">
        <v>315</v>
      </c>
      <c r="AC56" s="1129" t="s">
        <v>316</v>
      </c>
      <c r="AD56" s="1106">
        <v>67.163957874801667</v>
      </c>
      <c r="AE56" s="1103">
        <f>AD56*AE5</f>
        <v>805967.49449762003</v>
      </c>
      <c r="AF56" s="1103">
        <f>AE56/1000</f>
        <v>805.96749449762001</v>
      </c>
      <c r="AG56" s="1150">
        <v>225</v>
      </c>
      <c r="AH56" s="1190">
        <f>AE58+AE63</f>
        <v>1998236.7134360445</v>
      </c>
      <c r="AI56" s="1188">
        <v>2581055.7599999998</v>
      </c>
      <c r="AJ56" s="1188"/>
      <c r="AK56" s="1149" t="b">
        <f>AN56=G56</f>
        <v>0</v>
      </c>
      <c r="AL56" s="1150">
        <v>225</v>
      </c>
      <c r="AM56" s="1190"/>
      <c r="AN56" s="1190">
        <f>P56+Y56+AH56</f>
        <v>9183562.8954998218</v>
      </c>
      <c r="AO56" s="1190"/>
      <c r="AP56" s="1190">
        <f>Q56+Z56+AI56</f>
        <v>6515818.2999999998</v>
      </c>
      <c r="AQ56" s="1188"/>
      <c r="AR56" s="1188"/>
    </row>
    <row r="57" spans="1:44" ht="29.25" customHeight="1" x14ac:dyDescent="0.3">
      <c r="A57" s="1084" t="s">
        <v>317</v>
      </c>
      <c r="B57" s="1102" t="s">
        <v>318</v>
      </c>
      <c r="C57" s="1106">
        <v>1.1091682448687106</v>
      </c>
      <c r="D57" s="1103">
        <f>C57*D5</f>
        <v>17830.988704509393</v>
      </c>
      <c r="E57" s="1166">
        <f>D57/1000</f>
        <v>17.830988704509394</v>
      </c>
      <c r="F57" s="1188"/>
      <c r="G57" s="1188"/>
      <c r="H57" s="1190"/>
      <c r="I57" s="1189"/>
      <c r="J57" s="1178" t="s">
        <v>317</v>
      </c>
      <c r="K57" s="1102" t="s">
        <v>318</v>
      </c>
      <c r="L57" s="1106">
        <v>1.1091682448687106</v>
      </c>
      <c r="M57" s="1103">
        <f>L57*M5</f>
        <v>45642.273276347441</v>
      </c>
      <c r="N57" s="1103">
        <f>M57/1000</f>
        <v>45.642273276347439</v>
      </c>
      <c r="P57" s="1189"/>
      <c r="Q57" s="1191"/>
      <c r="R57" s="1189"/>
      <c r="S57" s="1178" t="s">
        <v>317</v>
      </c>
      <c r="T57" s="1102" t="s">
        <v>318</v>
      </c>
      <c r="U57" s="1106">
        <v>1.1091682448687106</v>
      </c>
      <c r="V57" s="1103">
        <f>U57*V5</f>
        <v>2218.3364897374213</v>
      </c>
      <c r="W57" s="1103">
        <f>V57/1000</f>
        <v>2.2183364897374211</v>
      </c>
      <c r="Y57" s="1188"/>
      <c r="Z57" s="1199"/>
      <c r="AA57" s="1188"/>
      <c r="AB57" s="1178" t="s">
        <v>317</v>
      </c>
      <c r="AC57" s="1102" t="s">
        <v>318</v>
      </c>
      <c r="AD57" s="1106">
        <v>1.1091682448687106</v>
      </c>
      <c r="AE57" s="1103">
        <f>AD57*AE5</f>
        <v>13310.018938424528</v>
      </c>
      <c r="AF57" s="1103">
        <f>AE57/1000</f>
        <v>13.310018938424527</v>
      </c>
      <c r="AH57" s="1188"/>
      <c r="AI57" s="1188"/>
      <c r="AJ57" s="1188"/>
      <c r="AM57" s="1188"/>
      <c r="AN57" s="1188"/>
      <c r="AO57" s="1188"/>
      <c r="AP57" s="1188"/>
      <c r="AQ57" s="1188"/>
      <c r="AR57" s="1188"/>
    </row>
    <row r="58" spans="1:44" ht="29.25" customHeight="1" x14ac:dyDescent="0.3">
      <c r="A58" s="1084"/>
      <c r="B58" s="1108" t="s">
        <v>319</v>
      </c>
      <c r="C58" s="1117">
        <f>SUM(C56:C57)</f>
        <v>68.27312611967038</v>
      </c>
      <c r="D58" s="1128">
        <f>SUM(D56:D57)</f>
        <v>1097558.7754998209</v>
      </c>
      <c r="E58" s="1171">
        <f>D58/1000</f>
        <v>1097.558775499821</v>
      </c>
      <c r="F58" s="1188"/>
      <c r="G58" s="1188"/>
      <c r="H58" s="1190"/>
      <c r="I58" s="1189"/>
      <c r="J58" s="1178"/>
      <c r="K58" s="1108" t="s">
        <v>319</v>
      </c>
      <c r="L58" s="1117">
        <f>SUM(L56:L57)</f>
        <v>68.27312611967038</v>
      </c>
      <c r="M58" s="1128">
        <f>SUM(M56:M57)</f>
        <v>2809439.1398244365</v>
      </c>
      <c r="N58" s="1128">
        <f>M58/1000</f>
        <v>2809.4391398244366</v>
      </c>
      <c r="P58" s="1189"/>
      <c r="Q58" s="1191"/>
      <c r="R58" s="1189"/>
      <c r="S58" s="1178"/>
      <c r="T58" s="1108" t="s">
        <v>319</v>
      </c>
      <c r="U58" s="1117">
        <f>SUM(U56:U57)</f>
        <v>68.27312611967038</v>
      </c>
      <c r="V58" s="1128">
        <f>SUM(V56:V57)</f>
        <v>136546.25223934074</v>
      </c>
      <c r="W58" s="1128">
        <f>V58/1000</f>
        <v>136.54625223934073</v>
      </c>
      <c r="Y58" s="1188"/>
      <c r="Z58" s="1199"/>
      <c r="AA58" s="1188"/>
      <c r="AB58" s="1178"/>
      <c r="AC58" s="1108" t="s">
        <v>319</v>
      </c>
      <c r="AD58" s="1117">
        <f>SUM(AD56:AD57)</f>
        <v>68.27312611967038</v>
      </c>
      <c r="AE58" s="1128">
        <f>SUM(AE56:AE57)</f>
        <v>819277.51343604457</v>
      </c>
      <c r="AF58" s="1128">
        <f>AE58/1000</f>
        <v>819.27751343604461</v>
      </c>
      <c r="AH58" s="1188"/>
      <c r="AI58" s="1188"/>
      <c r="AJ58" s="1188"/>
      <c r="AM58" s="1188"/>
      <c r="AN58" s="1188"/>
      <c r="AO58" s="1188"/>
      <c r="AP58" s="1188"/>
      <c r="AQ58" s="1188"/>
      <c r="AR58" s="1188"/>
    </row>
    <row r="59" spans="1:44" ht="29.25" customHeight="1" x14ac:dyDescent="0.3">
      <c r="A59" s="1124" t="s">
        <v>320</v>
      </c>
      <c r="B59" s="1477" t="s">
        <v>321</v>
      </c>
      <c r="C59" s="1478"/>
      <c r="D59" s="1478"/>
      <c r="E59" s="1478"/>
      <c r="F59" s="1188"/>
      <c r="G59" s="1188"/>
      <c r="H59" s="1190"/>
      <c r="I59" s="1189"/>
      <c r="J59" s="1183" t="s">
        <v>320</v>
      </c>
      <c r="K59" s="1477" t="s">
        <v>321</v>
      </c>
      <c r="L59" s="1478"/>
      <c r="M59" s="1478"/>
      <c r="N59" s="1478"/>
      <c r="P59" s="1189"/>
      <c r="Q59" s="1191"/>
      <c r="R59" s="1189"/>
      <c r="S59" s="1183" t="s">
        <v>320</v>
      </c>
      <c r="T59" s="1477" t="s">
        <v>321</v>
      </c>
      <c r="U59" s="1478"/>
      <c r="V59" s="1478"/>
      <c r="W59" s="1478"/>
      <c r="Y59" s="1188"/>
      <c r="Z59" s="1199"/>
      <c r="AA59" s="1188"/>
      <c r="AB59" s="1183" t="s">
        <v>320</v>
      </c>
      <c r="AC59" s="1477" t="s">
        <v>321</v>
      </c>
      <c r="AD59" s="1478"/>
      <c r="AE59" s="1478"/>
      <c r="AF59" s="1478"/>
      <c r="AH59" s="1188"/>
      <c r="AI59" s="1188"/>
      <c r="AJ59" s="1188"/>
      <c r="AM59" s="1188"/>
      <c r="AN59" s="1188"/>
      <c r="AO59" s="1188"/>
      <c r="AP59" s="1188"/>
      <c r="AQ59" s="1188"/>
      <c r="AR59" s="1188"/>
    </row>
    <row r="60" spans="1:44" ht="29.25" customHeight="1" x14ac:dyDescent="0.3">
      <c r="A60" s="1084" t="s">
        <v>322</v>
      </c>
      <c r="B60" s="1102" t="s">
        <v>323</v>
      </c>
      <c r="C60" s="1484"/>
      <c r="D60" s="1485">
        <f>C63*D5</f>
        <v>1579412.3415999999</v>
      </c>
      <c r="E60" s="1505">
        <f>D60/1000</f>
        <v>1579.4123416</v>
      </c>
      <c r="F60" s="1188"/>
      <c r="G60" s="1188"/>
      <c r="H60" s="1190"/>
      <c r="I60" s="1189"/>
      <c r="J60" s="1178" t="s">
        <v>322</v>
      </c>
      <c r="K60" s="1102" t="s">
        <v>323</v>
      </c>
      <c r="L60" s="1484"/>
      <c r="M60" s="1485">
        <f>L63*M5</f>
        <v>4042847.59</v>
      </c>
      <c r="N60" s="1485">
        <f>M60/1000</f>
        <v>4042.8475899999999</v>
      </c>
      <c r="P60" s="1189"/>
      <c r="Q60" s="1191"/>
      <c r="R60" s="1189"/>
      <c r="S60" s="1178" t="s">
        <v>322</v>
      </c>
      <c r="T60" s="1102" t="s">
        <v>323</v>
      </c>
      <c r="U60" s="1484"/>
      <c r="V60" s="1485">
        <f>U63*V5</f>
        <v>196493.2</v>
      </c>
      <c r="W60" s="1485">
        <f>V60/1000</f>
        <v>196.4932</v>
      </c>
      <c r="Y60" s="1188"/>
      <c r="Z60" s="1199"/>
      <c r="AA60" s="1188"/>
      <c r="AB60" s="1178" t="s">
        <v>322</v>
      </c>
      <c r="AC60" s="1102" t="s">
        <v>323</v>
      </c>
      <c r="AD60" s="1484"/>
      <c r="AE60" s="1485">
        <f>AD63*AE5</f>
        <v>1178959.2</v>
      </c>
      <c r="AF60" s="1485">
        <f>AE60/1000</f>
        <v>1178.9592</v>
      </c>
      <c r="AH60" s="1188"/>
      <c r="AI60" s="1188"/>
      <c r="AJ60" s="1188"/>
      <c r="AM60" s="1188"/>
      <c r="AN60" s="1188"/>
      <c r="AO60" s="1188"/>
      <c r="AP60" s="1188"/>
      <c r="AQ60" s="1188"/>
      <c r="AR60" s="1188"/>
    </row>
    <row r="61" spans="1:44" ht="29.25" customHeight="1" x14ac:dyDescent="0.3">
      <c r="A61" s="1084" t="s">
        <v>324</v>
      </c>
      <c r="B61" s="1102" t="s">
        <v>325</v>
      </c>
      <c r="C61" s="1484"/>
      <c r="D61" s="1485"/>
      <c r="E61" s="1505"/>
      <c r="F61" s="1188"/>
      <c r="G61" s="1188"/>
      <c r="H61" s="1190"/>
      <c r="I61" s="1189"/>
      <c r="J61" s="1178" t="s">
        <v>324</v>
      </c>
      <c r="K61" s="1102" t="s">
        <v>325</v>
      </c>
      <c r="L61" s="1484"/>
      <c r="M61" s="1485"/>
      <c r="N61" s="1485"/>
      <c r="P61" s="1189"/>
      <c r="Q61" s="1191"/>
      <c r="R61" s="1189"/>
      <c r="S61" s="1178" t="s">
        <v>324</v>
      </c>
      <c r="T61" s="1102" t="s">
        <v>325</v>
      </c>
      <c r="U61" s="1484"/>
      <c r="V61" s="1485"/>
      <c r="W61" s="1485"/>
      <c r="Y61" s="1188"/>
      <c r="Z61" s="1199"/>
      <c r="AA61" s="1188"/>
      <c r="AB61" s="1178" t="s">
        <v>324</v>
      </c>
      <c r="AC61" s="1102" t="s">
        <v>325</v>
      </c>
      <c r="AD61" s="1484"/>
      <c r="AE61" s="1485"/>
      <c r="AF61" s="1485"/>
      <c r="AH61" s="1188"/>
      <c r="AI61" s="1188"/>
      <c r="AJ61" s="1188"/>
      <c r="AM61" s="1188"/>
      <c r="AN61" s="1188"/>
      <c r="AO61" s="1188"/>
      <c r="AP61" s="1188"/>
      <c r="AQ61" s="1188"/>
      <c r="AR61" s="1188"/>
    </row>
    <row r="62" spans="1:44" ht="29.25" customHeight="1" x14ac:dyDescent="0.3">
      <c r="A62" s="1084" t="s">
        <v>326</v>
      </c>
      <c r="B62" s="1102" t="s">
        <v>318</v>
      </c>
      <c r="C62" s="1484"/>
      <c r="D62" s="1485"/>
      <c r="E62" s="1505"/>
      <c r="F62" s="1188"/>
      <c r="G62" s="1188"/>
      <c r="H62" s="1190"/>
      <c r="I62" s="1189"/>
      <c r="J62" s="1178" t="s">
        <v>326</v>
      </c>
      <c r="K62" s="1102" t="s">
        <v>318</v>
      </c>
      <c r="L62" s="1484"/>
      <c r="M62" s="1485"/>
      <c r="N62" s="1485"/>
      <c r="P62" s="1189"/>
      <c r="Q62" s="1191"/>
      <c r="R62" s="1189"/>
      <c r="S62" s="1178" t="s">
        <v>326</v>
      </c>
      <c r="T62" s="1102" t="s">
        <v>318</v>
      </c>
      <c r="U62" s="1484"/>
      <c r="V62" s="1485"/>
      <c r="W62" s="1485"/>
      <c r="Y62" s="1188"/>
      <c r="Z62" s="1199"/>
      <c r="AA62" s="1188"/>
      <c r="AB62" s="1178" t="s">
        <v>326</v>
      </c>
      <c r="AC62" s="1102" t="s">
        <v>318</v>
      </c>
      <c r="AD62" s="1484"/>
      <c r="AE62" s="1485"/>
      <c r="AF62" s="1485"/>
      <c r="AH62" s="1188"/>
      <c r="AI62" s="1188"/>
      <c r="AJ62" s="1188"/>
      <c r="AM62" s="1188"/>
      <c r="AN62" s="1188"/>
      <c r="AO62" s="1188"/>
      <c r="AP62" s="1188"/>
      <c r="AQ62" s="1188"/>
      <c r="AR62" s="1188"/>
    </row>
    <row r="63" spans="1:44" ht="29.25" customHeight="1" x14ac:dyDescent="0.3">
      <c r="A63" s="1084"/>
      <c r="B63" s="1108" t="s">
        <v>327</v>
      </c>
      <c r="C63" s="1117">
        <v>98.246600000000001</v>
      </c>
      <c r="D63" s="1128">
        <f>SUM(D60)</f>
        <v>1579412.3415999999</v>
      </c>
      <c r="E63" s="1171">
        <f>SUM(E60)</f>
        <v>1579.4123416</v>
      </c>
      <c r="F63" s="1188"/>
      <c r="G63" s="1188"/>
      <c r="H63" s="1190"/>
      <c r="I63" s="1189"/>
      <c r="J63" s="1178"/>
      <c r="K63" s="1108" t="s">
        <v>327</v>
      </c>
      <c r="L63" s="1117">
        <v>98.246600000000001</v>
      </c>
      <c r="M63" s="1128">
        <f>SUM(M60)</f>
        <v>4042847.59</v>
      </c>
      <c r="N63" s="1128">
        <f>SUM(N60)</f>
        <v>4042.8475899999999</v>
      </c>
      <c r="P63" s="1189"/>
      <c r="Q63" s="1191"/>
      <c r="R63" s="1189"/>
      <c r="S63" s="1178"/>
      <c r="T63" s="1108" t="s">
        <v>327</v>
      </c>
      <c r="U63" s="1117">
        <v>98.246600000000001</v>
      </c>
      <c r="V63" s="1128">
        <f>SUM(V60)</f>
        <v>196493.2</v>
      </c>
      <c r="W63" s="1128">
        <f>SUM(W60)</f>
        <v>196.4932</v>
      </c>
      <c r="Y63" s="1188"/>
      <c r="Z63" s="1199"/>
      <c r="AA63" s="1188"/>
      <c r="AB63" s="1178"/>
      <c r="AC63" s="1108" t="s">
        <v>327</v>
      </c>
      <c r="AD63" s="1117">
        <v>98.246600000000001</v>
      </c>
      <c r="AE63" s="1128">
        <f>SUM(AE60)</f>
        <v>1178959.2</v>
      </c>
      <c r="AF63" s="1128">
        <f>SUM(AF60)</f>
        <v>1178.9592</v>
      </c>
      <c r="AH63" s="1188"/>
      <c r="AI63" s="1188"/>
      <c r="AJ63" s="1188"/>
      <c r="AM63" s="1188"/>
      <c r="AN63" s="1188"/>
      <c r="AO63" s="1188"/>
      <c r="AP63" s="1188"/>
      <c r="AQ63" s="1188"/>
      <c r="AR63" s="1188"/>
    </row>
    <row r="64" spans="1:44" ht="29.25" customHeight="1" x14ac:dyDescent="0.3">
      <c r="A64" s="1124" t="s">
        <v>328</v>
      </c>
      <c r="B64" s="1480" t="s">
        <v>329</v>
      </c>
      <c r="C64" s="1481"/>
      <c r="D64" s="1481"/>
      <c r="E64" s="1481"/>
      <c r="F64" s="1188"/>
      <c r="G64" s="1188"/>
      <c r="H64" s="1190"/>
      <c r="I64" s="1189"/>
      <c r="J64" s="1183" t="s">
        <v>328</v>
      </c>
      <c r="K64" s="1480" t="s">
        <v>329</v>
      </c>
      <c r="L64" s="1481"/>
      <c r="M64" s="1481"/>
      <c r="N64" s="1481"/>
      <c r="P64" s="1189"/>
      <c r="Q64" s="1191"/>
      <c r="R64" s="1189"/>
      <c r="S64" s="1183" t="s">
        <v>328</v>
      </c>
      <c r="T64" s="1480" t="s">
        <v>329</v>
      </c>
      <c r="U64" s="1481"/>
      <c r="V64" s="1481"/>
      <c r="W64" s="1481"/>
      <c r="Y64" s="1188"/>
      <c r="Z64" s="1199"/>
      <c r="AA64" s="1188"/>
      <c r="AB64" s="1183" t="s">
        <v>328</v>
      </c>
      <c r="AC64" s="1480" t="s">
        <v>329</v>
      </c>
      <c r="AD64" s="1481"/>
      <c r="AE64" s="1481"/>
      <c r="AF64" s="1481"/>
      <c r="AH64" s="1188"/>
      <c r="AI64" s="1188"/>
      <c r="AJ64" s="1188"/>
      <c r="AM64" s="1188"/>
      <c r="AN64" s="1188"/>
      <c r="AO64" s="1188"/>
      <c r="AP64" s="1188"/>
      <c r="AQ64" s="1188"/>
      <c r="AR64" s="1188"/>
    </row>
    <row r="65" spans="1:44" ht="29.25" customHeight="1" x14ac:dyDescent="0.3">
      <c r="A65" s="1130" t="s">
        <v>330</v>
      </c>
      <c r="B65" s="1111" t="s">
        <v>331</v>
      </c>
      <c r="C65" s="1131">
        <v>13.686803329579773</v>
      </c>
      <c r="D65" s="1132">
        <f>C65*D5</f>
        <v>220029.05032632442</v>
      </c>
      <c r="E65" s="1172">
        <f>D65/1000</f>
        <v>220.02905032632441</v>
      </c>
      <c r="F65" s="1188"/>
      <c r="G65" s="1190"/>
      <c r="H65" s="1190"/>
      <c r="I65" s="1189"/>
      <c r="J65" s="1184" t="s">
        <v>330</v>
      </c>
      <c r="K65" s="1111" t="s">
        <v>331</v>
      </c>
      <c r="L65" s="1131">
        <v>13.686803329579773</v>
      </c>
      <c r="M65" s="1132">
        <f>L65*M5</f>
        <v>563211.9570122076</v>
      </c>
      <c r="N65" s="1133">
        <f>M65/1000</f>
        <v>563.21195701220756</v>
      </c>
      <c r="O65" s="1076">
        <v>310</v>
      </c>
      <c r="P65" s="1191"/>
      <c r="R65" s="1189"/>
      <c r="S65" s="1184" t="s">
        <v>330</v>
      </c>
      <c r="T65" s="1111" t="s">
        <v>331</v>
      </c>
      <c r="U65" s="1131">
        <v>13.686803329579773</v>
      </c>
      <c r="V65" s="1132">
        <f>U65*V5</f>
        <v>27373.606659159545</v>
      </c>
      <c r="W65" s="1133">
        <f>V65/1000</f>
        <v>27.373606659159545</v>
      </c>
      <c r="Y65" s="1190"/>
      <c r="AA65" s="1188"/>
      <c r="AB65" s="1184" t="s">
        <v>330</v>
      </c>
      <c r="AC65" s="1111" t="s">
        <v>331</v>
      </c>
      <c r="AD65" s="1131">
        <v>13.686803329579773</v>
      </c>
      <c r="AE65" s="1132">
        <f>AD65*AE5</f>
        <v>164241.63995495727</v>
      </c>
      <c r="AF65" s="1133">
        <f>AE65/1000</f>
        <v>164.24163995495726</v>
      </c>
      <c r="AG65" s="1150">
        <v>310</v>
      </c>
      <c r="AH65" s="1190"/>
      <c r="AI65" s="1188"/>
      <c r="AJ65" s="1188"/>
      <c r="AM65" s="1190"/>
      <c r="AN65" s="1190"/>
      <c r="AO65" s="1190"/>
      <c r="AP65" s="1188"/>
      <c r="AQ65" s="1188"/>
      <c r="AR65" s="1188"/>
    </row>
    <row r="66" spans="1:44" ht="29.25" customHeight="1" x14ac:dyDescent="0.3">
      <c r="A66" s="1124" t="s">
        <v>332</v>
      </c>
      <c r="B66" s="1477" t="s">
        <v>333</v>
      </c>
      <c r="C66" s="1478"/>
      <c r="D66" s="1478"/>
      <c r="E66" s="1478">
        <f t="shared" si="52"/>
        <v>0</v>
      </c>
      <c r="F66" s="1188"/>
      <c r="G66" s="1188"/>
      <c r="H66" s="1190"/>
      <c r="I66" s="1189"/>
      <c r="J66" s="1183" t="s">
        <v>332</v>
      </c>
      <c r="K66" s="1477" t="s">
        <v>333</v>
      </c>
      <c r="L66" s="1478"/>
      <c r="M66" s="1478"/>
      <c r="N66" s="1478">
        <f t="shared" ref="N66:N68" si="56">M66/1000</f>
        <v>0</v>
      </c>
      <c r="P66" s="1189"/>
      <c r="Q66" s="1191"/>
      <c r="R66" s="1189"/>
      <c r="S66" s="1183" t="s">
        <v>332</v>
      </c>
      <c r="T66" s="1477" t="s">
        <v>333</v>
      </c>
      <c r="U66" s="1478"/>
      <c r="V66" s="1478"/>
      <c r="W66" s="1478">
        <f t="shared" ref="W66:W68" si="57">V66/1000</f>
        <v>0</v>
      </c>
      <c r="Y66" s="1188"/>
      <c r="Z66" s="1199"/>
      <c r="AA66" s="1188"/>
      <c r="AB66" s="1183" t="s">
        <v>332</v>
      </c>
      <c r="AC66" s="1477" t="s">
        <v>333</v>
      </c>
      <c r="AD66" s="1478"/>
      <c r="AE66" s="1478"/>
      <c r="AF66" s="1478">
        <f t="shared" ref="AF66:AF68" si="58">AE66/1000</f>
        <v>0</v>
      </c>
      <c r="AH66" s="1188"/>
      <c r="AI66" s="1188"/>
      <c r="AJ66" s="1188"/>
      <c r="AM66" s="1188"/>
      <c r="AN66" s="1188"/>
      <c r="AO66" s="1188"/>
      <c r="AP66" s="1188"/>
      <c r="AQ66" s="1188"/>
      <c r="AR66" s="1188"/>
    </row>
    <row r="67" spans="1:44" ht="29.25" customHeight="1" x14ac:dyDescent="0.3">
      <c r="A67" s="1084" t="s">
        <v>330</v>
      </c>
      <c r="B67" s="1102" t="s">
        <v>334</v>
      </c>
      <c r="C67" s="1134"/>
      <c r="D67" s="1103">
        <f>C68*D5</f>
        <v>226318.9598525874</v>
      </c>
      <c r="E67" s="1166">
        <f t="shared" si="52"/>
        <v>226.3189598525874</v>
      </c>
      <c r="F67" s="1188">
        <v>221</v>
      </c>
      <c r="G67" s="1190">
        <f>D68</f>
        <v>226318.9598525874</v>
      </c>
      <c r="H67" s="1190">
        <v>935479.38</v>
      </c>
      <c r="I67" s="1191">
        <f>G67-H67</f>
        <v>-709160.42014741257</v>
      </c>
      <c r="J67" s="1178" t="s">
        <v>330</v>
      </c>
      <c r="K67" s="1102" t="s">
        <v>334</v>
      </c>
      <c r="L67" s="1134"/>
      <c r="M67" s="1103">
        <f>L68*M5</f>
        <v>579312.34124993603</v>
      </c>
      <c r="N67" s="1103">
        <f t="shared" si="56"/>
        <v>579.31234124993603</v>
      </c>
      <c r="O67" s="1076">
        <v>221</v>
      </c>
      <c r="P67" s="1191">
        <f>M68</f>
        <v>579312.34124993603</v>
      </c>
      <c r="Q67" s="1191">
        <f>717269.39-Z67</f>
        <v>623452.93000000005</v>
      </c>
      <c r="R67" s="1189"/>
      <c r="S67" s="1178" t="s">
        <v>330</v>
      </c>
      <c r="T67" s="1102" t="s">
        <v>334</v>
      </c>
      <c r="U67" s="1134"/>
      <c r="V67" s="1103">
        <f>U68*V5</f>
        <v>28156.128371807343</v>
      </c>
      <c r="W67" s="1103">
        <f t="shared" si="57"/>
        <v>28.156128371807341</v>
      </c>
      <c r="X67" s="1150">
        <v>221</v>
      </c>
      <c r="Y67" s="1190">
        <f>V68</f>
        <v>28156.128371807343</v>
      </c>
      <c r="Z67" s="1199">
        <v>93816.46</v>
      </c>
      <c r="AA67" s="1188"/>
      <c r="AB67" s="1178" t="s">
        <v>330</v>
      </c>
      <c r="AC67" s="1102" t="s">
        <v>334</v>
      </c>
      <c r="AD67" s="1134"/>
      <c r="AE67" s="1103">
        <f>AD68*AE5</f>
        <v>168936.77023084403</v>
      </c>
      <c r="AF67" s="1103">
        <f t="shared" si="58"/>
        <v>168.93677023084405</v>
      </c>
      <c r="AG67" s="1150">
        <v>221</v>
      </c>
      <c r="AH67" s="1190">
        <f>AE68</f>
        <v>168936.77023084403</v>
      </c>
      <c r="AI67" s="1188">
        <v>218209.99</v>
      </c>
      <c r="AJ67" s="1188"/>
      <c r="AK67" s="1149" t="b">
        <f>AN67=G67</f>
        <v>0</v>
      </c>
      <c r="AL67" s="1150">
        <v>221</v>
      </c>
      <c r="AM67" s="1190"/>
      <c r="AN67" s="1190">
        <f>P67+Y67+AH67</f>
        <v>776405.23985258746</v>
      </c>
      <c r="AO67" s="1190"/>
      <c r="AP67" s="1190">
        <f>Q67+Z67+AI67</f>
        <v>935479.38</v>
      </c>
      <c r="AQ67" s="1188"/>
      <c r="AR67" s="1188"/>
    </row>
    <row r="68" spans="1:44" ht="29.25" customHeight="1" x14ac:dyDescent="0.3">
      <c r="A68" s="1084"/>
      <c r="B68" s="1108" t="s">
        <v>335</v>
      </c>
      <c r="C68" s="1117">
        <v>14.078064185903671</v>
      </c>
      <c r="D68" s="1128">
        <f>SUM(D67)</f>
        <v>226318.9598525874</v>
      </c>
      <c r="E68" s="1171">
        <f t="shared" si="52"/>
        <v>226.3189598525874</v>
      </c>
      <c r="F68" s="1188"/>
      <c r="G68" s="1188"/>
      <c r="H68" s="1190"/>
      <c r="I68" s="1189"/>
      <c r="J68" s="1178"/>
      <c r="K68" s="1108" t="s">
        <v>335</v>
      </c>
      <c r="L68" s="1117">
        <v>14.078064185903671</v>
      </c>
      <c r="M68" s="1128">
        <f>SUM(M67)</f>
        <v>579312.34124993603</v>
      </c>
      <c r="N68" s="1128">
        <f t="shared" si="56"/>
        <v>579.31234124993603</v>
      </c>
      <c r="P68" s="1189"/>
      <c r="Q68" s="1191"/>
      <c r="R68" s="1189"/>
      <c r="S68" s="1178"/>
      <c r="T68" s="1108" t="s">
        <v>335</v>
      </c>
      <c r="U68" s="1117">
        <v>14.078064185903671</v>
      </c>
      <c r="V68" s="1128">
        <f>SUM(V67)</f>
        <v>28156.128371807343</v>
      </c>
      <c r="W68" s="1128">
        <f t="shared" si="57"/>
        <v>28.156128371807341</v>
      </c>
      <c r="Y68" s="1188"/>
      <c r="Z68" s="1199"/>
      <c r="AA68" s="1188"/>
      <c r="AB68" s="1178"/>
      <c r="AC68" s="1108" t="s">
        <v>335</v>
      </c>
      <c r="AD68" s="1117">
        <v>14.078064185903671</v>
      </c>
      <c r="AE68" s="1128">
        <f>SUM(AE67)</f>
        <v>168936.77023084403</v>
      </c>
      <c r="AF68" s="1128">
        <f t="shared" si="58"/>
        <v>168.93677023084405</v>
      </c>
      <c r="AH68" s="1188"/>
      <c r="AI68" s="1188"/>
      <c r="AJ68" s="1188"/>
      <c r="AM68" s="1188"/>
      <c r="AN68" s="1188"/>
      <c r="AO68" s="1188"/>
      <c r="AP68" s="1188"/>
      <c r="AQ68" s="1188"/>
      <c r="AR68" s="1188"/>
    </row>
    <row r="69" spans="1:44" ht="42" customHeight="1" x14ac:dyDescent="0.3">
      <c r="A69" s="1124" t="s">
        <v>336</v>
      </c>
      <c r="B69" s="1473" t="s">
        <v>337</v>
      </c>
      <c r="C69" s="1474"/>
      <c r="D69" s="1474"/>
      <c r="E69" s="1474"/>
      <c r="F69" s="1188"/>
      <c r="G69" s="1188"/>
      <c r="H69" s="1190"/>
      <c r="I69" s="1189"/>
      <c r="J69" s="1183" t="s">
        <v>336</v>
      </c>
      <c r="K69" s="1473" t="s">
        <v>337</v>
      </c>
      <c r="L69" s="1474"/>
      <c r="M69" s="1474"/>
      <c r="N69" s="1474"/>
      <c r="P69" s="1189"/>
      <c r="Q69" s="1191"/>
      <c r="R69" s="1189"/>
      <c r="S69" s="1183" t="s">
        <v>336</v>
      </c>
      <c r="T69" s="1473" t="s">
        <v>337</v>
      </c>
      <c r="U69" s="1474"/>
      <c r="V69" s="1474"/>
      <c r="W69" s="1474"/>
      <c r="Y69" s="1188"/>
      <c r="Z69" s="1199"/>
      <c r="AA69" s="1188"/>
      <c r="AB69" s="1183" t="s">
        <v>336</v>
      </c>
      <c r="AC69" s="1473" t="s">
        <v>337</v>
      </c>
      <c r="AD69" s="1474"/>
      <c r="AE69" s="1474"/>
      <c r="AF69" s="1474"/>
      <c r="AH69" s="1188"/>
      <c r="AI69" s="1188"/>
      <c r="AJ69" s="1188"/>
      <c r="AM69" s="1188"/>
      <c r="AN69" s="1188"/>
      <c r="AO69" s="1188"/>
      <c r="AP69" s="1188"/>
      <c r="AQ69" s="1188"/>
      <c r="AR69" s="1188"/>
    </row>
    <row r="70" spans="1:44" ht="29.25" customHeight="1" x14ac:dyDescent="0.3">
      <c r="A70" s="1084" t="s">
        <v>338</v>
      </c>
      <c r="B70" s="1085" t="s">
        <v>271</v>
      </c>
      <c r="C70" s="1135">
        <v>393.16681169063827</v>
      </c>
      <c r="D70" s="1103">
        <f>C70*D5</f>
        <v>6320549.6647387007</v>
      </c>
      <c r="E70" s="1166">
        <f>D70/1000</f>
        <v>6320.5496647387008</v>
      </c>
      <c r="F70" s="1188"/>
      <c r="G70" s="1188"/>
      <c r="H70" s="1190"/>
      <c r="I70" s="1189"/>
      <c r="J70" s="1178" t="s">
        <v>338</v>
      </c>
      <c r="K70" s="1085" t="s">
        <v>271</v>
      </c>
      <c r="L70" s="1135">
        <v>393.16681169063827</v>
      </c>
      <c r="M70" s="1103">
        <f>L70*M5</f>
        <v>16178814.301069764</v>
      </c>
      <c r="N70" s="1103">
        <f>M70/1000</f>
        <v>16178.814301069764</v>
      </c>
      <c r="P70" s="1189"/>
      <c r="Q70" s="1191"/>
      <c r="R70" s="1189"/>
      <c r="S70" s="1178" t="s">
        <v>338</v>
      </c>
      <c r="T70" s="1085" t="s">
        <v>271</v>
      </c>
      <c r="U70" s="1135">
        <v>393.16681169063827</v>
      </c>
      <c r="V70" s="1103">
        <f>U70*V5</f>
        <v>786333.6233812765</v>
      </c>
      <c r="W70" s="1103">
        <f>V70/1000</f>
        <v>786.33362338127654</v>
      </c>
      <c r="Y70" s="1188"/>
      <c r="Z70" s="1199"/>
      <c r="AA70" s="1188"/>
      <c r="AB70" s="1178" t="s">
        <v>338</v>
      </c>
      <c r="AC70" s="1085" t="s">
        <v>271</v>
      </c>
      <c r="AD70" s="1135">
        <v>393.16681169063827</v>
      </c>
      <c r="AE70" s="1103">
        <f>AD70*AE5</f>
        <v>4718001.7402876597</v>
      </c>
      <c r="AF70" s="1103">
        <f>AE70/1000</f>
        <v>4718.0017402876601</v>
      </c>
      <c r="AH70" s="1188"/>
      <c r="AI70" s="1188"/>
      <c r="AJ70" s="1188"/>
      <c r="AM70" s="1188"/>
      <c r="AN70" s="1188"/>
      <c r="AO70" s="1188"/>
      <c r="AP70" s="1188"/>
      <c r="AQ70" s="1188"/>
      <c r="AR70" s="1188"/>
    </row>
    <row r="71" spans="1:44" ht="29.25" customHeight="1" x14ac:dyDescent="0.3">
      <c r="A71" s="1084" t="s">
        <v>339</v>
      </c>
      <c r="B71" s="1085" t="s">
        <v>275</v>
      </c>
      <c r="C71" s="1135">
        <v>118.7363</v>
      </c>
      <c r="D71" s="1103">
        <f>C71*D5</f>
        <v>1908804.7588</v>
      </c>
      <c r="E71" s="1166">
        <f t="shared" ref="E71:E72" si="59">D71/1000</f>
        <v>1908.8047587999999</v>
      </c>
      <c r="F71" s="1188"/>
      <c r="G71" s="1188"/>
      <c r="H71" s="1190"/>
      <c r="I71" s="1189"/>
      <c r="J71" s="1178" t="s">
        <v>339</v>
      </c>
      <c r="K71" s="1085" t="s">
        <v>275</v>
      </c>
      <c r="L71" s="1135">
        <v>118.7363</v>
      </c>
      <c r="M71" s="1103">
        <f>L71*M5</f>
        <v>4885998.7450000001</v>
      </c>
      <c r="N71" s="1103">
        <f t="shared" ref="N71:N72" si="60">M71/1000</f>
        <v>4885.9987449999999</v>
      </c>
      <c r="P71" s="1189"/>
      <c r="Q71" s="1191"/>
      <c r="R71" s="1189"/>
      <c r="S71" s="1178" t="s">
        <v>339</v>
      </c>
      <c r="T71" s="1085" t="s">
        <v>275</v>
      </c>
      <c r="U71" s="1135">
        <v>118.7363</v>
      </c>
      <c r="V71" s="1103">
        <f>U71*V5</f>
        <v>237472.6</v>
      </c>
      <c r="W71" s="1103">
        <f t="shared" ref="W71:W72" si="61">V71/1000</f>
        <v>237.4726</v>
      </c>
      <c r="Y71" s="1188"/>
      <c r="Z71" s="1199"/>
      <c r="AA71" s="1188"/>
      <c r="AB71" s="1178" t="s">
        <v>339</v>
      </c>
      <c r="AC71" s="1085" t="s">
        <v>275</v>
      </c>
      <c r="AD71" s="1135">
        <v>118.7363</v>
      </c>
      <c r="AE71" s="1103">
        <f>AD71*AE5</f>
        <v>1424835.6</v>
      </c>
      <c r="AF71" s="1103">
        <f t="shared" ref="AF71:AF72" si="62">AE71/1000</f>
        <v>1424.8356000000001</v>
      </c>
      <c r="AH71" s="1188"/>
      <c r="AI71" s="1188"/>
      <c r="AJ71" s="1188"/>
      <c r="AM71" s="1188"/>
      <c r="AN71" s="1188"/>
      <c r="AO71" s="1188"/>
      <c r="AP71" s="1188"/>
      <c r="AQ71" s="1188"/>
      <c r="AR71" s="1188"/>
    </row>
    <row r="72" spans="1:44" ht="29.25" customHeight="1" x14ac:dyDescent="0.3">
      <c r="A72" s="1084"/>
      <c r="B72" s="1108" t="s">
        <v>340</v>
      </c>
      <c r="C72" s="1117">
        <f>SUM(C70:C71)</f>
        <v>511.9031116906383</v>
      </c>
      <c r="D72" s="1128">
        <f>SUM(D70:D71)</f>
        <v>8229354.4235387007</v>
      </c>
      <c r="E72" s="1171">
        <f t="shared" si="59"/>
        <v>8229.3544235386998</v>
      </c>
      <c r="F72" s="1188"/>
      <c r="G72" s="1188"/>
      <c r="H72" s="1190"/>
      <c r="I72" s="1189"/>
      <c r="J72" s="1178"/>
      <c r="K72" s="1108" t="s">
        <v>340</v>
      </c>
      <c r="L72" s="1117">
        <f>SUM(L70:L71)</f>
        <v>511.9031116906383</v>
      </c>
      <c r="M72" s="1128">
        <f>SUM(M70:M71)</f>
        <v>21064813.046069764</v>
      </c>
      <c r="N72" s="1128">
        <f t="shared" si="60"/>
        <v>21064.813046069765</v>
      </c>
      <c r="P72" s="1189"/>
      <c r="Q72" s="1191"/>
      <c r="R72" s="1189"/>
      <c r="S72" s="1178"/>
      <c r="T72" s="1108" t="s">
        <v>340</v>
      </c>
      <c r="U72" s="1117">
        <f>SUM(U70:U71)</f>
        <v>511.9031116906383</v>
      </c>
      <c r="V72" s="1128">
        <f>SUM(V70:V71)</f>
        <v>1023806.2233812765</v>
      </c>
      <c r="W72" s="1128">
        <f t="shared" si="61"/>
        <v>1023.8062233812765</v>
      </c>
      <c r="Y72" s="1188"/>
      <c r="Z72" s="1199"/>
      <c r="AA72" s="1188"/>
      <c r="AB72" s="1178"/>
      <c r="AC72" s="1108" t="s">
        <v>340</v>
      </c>
      <c r="AD72" s="1117">
        <f>SUM(AD70:AD71)</f>
        <v>511.9031116906383</v>
      </c>
      <c r="AE72" s="1128">
        <f>SUM(AE70:AE71)</f>
        <v>6142837.3402876593</v>
      </c>
      <c r="AF72" s="1128">
        <f t="shared" si="62"/>
        <v>6142.8373402876596</v>
      </c>
      <c r="AH72" s="1188"/>
      <c r="AI72" s="1188"/>
      <c r="AJ72" s="1188"/>
      <c r="AM72" s="1188"/>
      <c r="AN72" s="1188"/>
      <c r="AO72" s="1188"/>
      <c r="AP72" s="1188"/>
      <c r="AQ72" s="1188"/>
      <c r="AR72" s="1188"/>
    </row>
    <row r="73" spans="1:44" s="1125" customFormat="1" ht="29.25" customHeight="1" x14ac:dyDescent="0.3">
      <c r="A73" s="1124" t="s">
        <v>341</v>
      </c>
      <c r="B73" s="1473" t="s">
        <v>342</v>
      </c>
      <c r="C73" s="1474"/>
      <c r="D73" s="1474"/>
      <c r="E73" s="1474"/>
      <c r="F73" s="1197"/>
      <c r="G73" s="1197"/>
      <c r="H73" s="1190"/>
      <c r="I73" s="1198"/>
      <c r="J73" s="1183" t="s">
        <v>341</v>
      </c>
      <c r="K73" s="1473" t="s">
        <v>342</v>
      </c>
      <c r="L73" s="1474"/>
      <c r="M73" s="1474"/>
      <c r="N73" s="1474"/>
      <c r="P73" s="1198"/>
      <c r="Q73" s="1191"/>
      <c r="R73" s="1198"/>
      <c r="S73" s="1183" t="s">
        <v>341</v>
      </c>
      <c r="T73" s="1473" t="s">
        <v>342</v>
      </c>
      <c r="U73" s="1474"/>
      <c r="V73" s="1474"/>
      <c r="W73" s="1474"/>
      <c r="X73" s="1154"/>
      <c r="Y73" s="1197"/>
      <c r="Z73" s="1199"/>
      <c r="AA73" s="1197"/>
      <c r="AB73" s="1183" t="s">
        <v>341</v>
      </c>
      <c r="AC73" s="1473" t="s">
        <v>342</v>
      </c>
      <c r="AD73" s="1474"/>
      <c r="AE73" s="1474"/>
      <c r="AF73" s="1474"/>
      <c r="AG73" s="1154"/>
      <c r="AH73" s="1197"/>
      <c r="AI73" s="1197"/>
      <c r="AJ73" s="1197"/>
      <c r="AK73" s="1224"/>
      <c r="AL73" s="1154"/>
      <c r="AM73" s="1197"/>
      <c r="AN73" s="1197"/>
      <c r="AO73" s="1197"/>
      <c r="AP73" s="1197"/>
      <c r="AQ73" s="1197"/>
      <c r="AR73" s="1197"/>
    </row>
    <row r="74" spans="1:44" ht="29.25" customHeight="1" x14ac:dyDescent="0.3">
      <c r="A74" s="1084" t="s">
        <v>343</v>
      </c>
      <c r="B74" s="1102" t="s">
        <v>344</v>
      </c>
      <c r="C74" s="1126">
        <v>92.279872805446075</v>
      </c>
      <c r="D74" s="1103">
        <f>C74*D5</f>
        <v>1483491.235220351</v>
      </c>
      <c r="E74" s="1166">
        <f t="shared" ref="E74:E80" si="63">D74/1000</f>
        <v>1483.491235220351</v>
      </c>
      <c r="F74" s="1188">
        <v>226</v>
      </c>
      <c r="G74" s="1190">
        <f>D74-H75</f>
        <v>1482457.235220351</v>
      </c>
      <c r="H74" s="1190">
        <v>3819615.47</v>
      </c>
      <c r="I74" s="1191">
        <f>G74-H74</f>
        <v>-2337158.2347796494</v>
      </c>
      <c r="J74" s="1178" t="s">
        <v>343</v>
      </c>
      <c r="K74" s="1102" t="s">
        <v>344</v>
      </c>
      <c r="L74" s="1126">
        <v>92.279872805446075</v>
      </c>
      <c r="M74" s="1103">
        <f>L74*M5</f>
        <v>3797316.765944106</v>
      </c>
      <c r="N74" s="1103">
        <f t="shared" ref="N74:N75" si="64">M74/1000</f>
        <v>3797.316765944106</v>
      </c>
      <c r="O74" s="1076">
        <v>226</v>
      </c>
      <c r="P74" s="1191">
        <f>M74-Q75</f>
        <v>3796282.765944106</v>
      </c>
      <c r="Q74" s="1191">
        <f>2389277.44-Z74</f>
        <v>1774324.19</v>
      </c>
      <c r="R74" s="1189"/>
      <c r="S74" s="1178" t="s">
        <v>343</v>
      </c>
      <c r="T74" s="1102" t="s">
        <v>344</v>
      </c>
      <c r="U74" s="1126">
        <v>92.279872805446075</v>
      </c>
      <c r="V74" s="1103">
        <f>U74*V5</f>
        <v>184559.74561089216</v>
      </c>
      <c r="W74" s="1103">
        <f t="shared" ref="W74:W75" si="65">V74/1000</f>
        <v>184.55974561089215</v>
      </c>
      <c r="X74" s="1150">
        <v>226</v>
      </c>
      <c r="Y74" s="1190">
        <f>V74</f>
        <v>184559.74561089216</v>
      </c>
      <c r="Z74" s="1199">
        <v>614953.25</v>
      </c>
      <c r="AA74" s="1188"/>
      <c r="AB74" s="1178" t="s">
        <v>343</v>
      </c>
      <c r="AC74" s="1102" t="s">
        <v>344</v>
      </c>
      <c r="AD74" s="1126">
        <v>92.279872805446075</v>
      </c>
      <c r="AE74" s="1103">
        <f>AD74*AE5</f>
        <v>1107358.4736653529</v>
      </c>
      <c r="AF74" s="1103">
        <f t="shared" ref="AF74:AF75" si="66">AE74/1000</f>
        <v>1107.3584736653529</v>
      </c>
      <c r="AG74" s="1150">
        <v>226</v>
      </c>
      <c r="AH74" s="1190">
        <f>AE74</f>
        <v>1107358.4736653529</v>
      </c>
      <c r="AI74" s="1188">
        <v>1430338.03</v>
      </c>
      <c r="AJ74" s="1188"/>
      <c r="AK74" s="1149" t="b">
        <f>AN74=G74</f>
        <v>0</v>
      </c>
      <c r="AL74" s="1150">
        <v>226</v>
      </c>
      <c r="AM74" s="1190"/>
      <c r="AN74" s="1190">
        <f>P74+Y74+AH74</f>
        <v>5088200.9852203513</v>
      </c>
      <c r="AO74" s="1190"/>
      <c r="AP74" s="1190">
        <f>Q74+Z74+AI74</f>
        <v>3819615.4699999997</v>
      </c>
      <c r="AQ74" s="1188"/>
      <c r="AR74" s="1188"/>
    </row>
    <row r="75" spans="1:44" ht="29.25" customHeight="1" x14ac:dyDescent="0.3">
      <c r="A75" s="1084" t="s">
        <v>345</v>
      </c>
      <c r="B75" s="1102" t="s">
        <v>288</v>
      </c>
      <c r="C75" s="1126">
        <f>36.1352068459845+0.0007+0.00003843</f>
        <v>36.135945275984497</v>
      </c>
      <c r="D75" s="1103">
        <f>C75*D5</f>
        <v>580921.45625672676</v>
      </c>
      <c r="E75" s="1166">
        <f t="shared" si="63"/>
        <v>580.92145625672674</v>
      </c>
      <c r="F75" s="1192" t="s">
        <v>987</v>
      </c>
      <c r="G75" s="1190">
        <f>H75</f>
        <v>1034</v>
      </c>
      <c r="H75" s="1190">
        <v>1034</v>
      </c>
      <c r="I75" s="1191">
        <f>G75-H75</f>
        <v>0</v>
      </c>
      <c r="J75" s="1178" t="s">
        <v>345</v>
      </c>
      <c r="K75" s="1102" t="s">
        <v>288</v>
      </c>
      <c r="L75" s="1126">
        <f>36.1352068459845+0.0007+0.00003843</f>
        <v>36.135945275984497</v>
      </c>
      <c r="M75" s="1103">
        <f>L75*M5</f>
        <v>1486994.148106762</v>
      </c>
      <c r="N75" s="1103">
        <f t="shared" si="64"/>
        <v>1486.9941481067619</v>
      </c>
      <c r="O75" s="1076" t="s">
        <v>990</v>
      </c>
      <c r="P75" s="1191">
        <v>1034</v>
      </c>
      <c r="Q75" s="1191">
        <v>1034</v>
      </c>
      <c r="R75" s="1189"/>
      <c r="S75" s="1178" t="s">
        <v>345</v>
      </c>
      <c r="T75" s="1102" t="s">
        <v>288</v>
      </c>
      <c r="U75" s="1126">
        <f>36.1352068459845+0.0007+0.00003843</f>
        <v>36.135945275984497</v>
      </c>
      <c r="V75" s="1103">
        <f>U75*V5</f>
        <v>72271.890551968987</v>
      </c>
      <c r="W75" s="1103">
        <f t="shared" si="65"/>
        <v>72.271890551968994</v>
      </c>
      <c r="Y75" s="1190"/>
      <c r="Z75" s="1199"/>
      <c r="AA75" s="1188"/>
      <c r="AB75" s="1178" t="s">
        <v>345</v>
      </c>
      <c r="AC75" s="1102" t="s">
        <v>288</v>
      </c>
      <c r="AD75" s="1126">
        <f>36.1352068459845+0.0007+0.00003843</f>
        <v>36.135945275984497</v>
      </c>
      <c r="AE75" s="1103">
        <f>AD75*AE5</f>
        <v>433631.34331181395</v>
      </c>
      <c r="AF75" s="1103">
        <f t="shared" si="66"/>
        <v>433.63134331181396</v>
      </c>
      <c r="AG75" s="1150">
        <v>310</v>
      </c>
      <c r="AH75" s="1190"/>
      <c r="AI75" s="1188"/>
      <c r="AJ75" s="1188"/>
      <c r="AK75" s="1149" t="b">
        <f>AN75=G75</f>
        <v>1</v>
      </c>
      <c r="AL75" s="1150" t="s">
        <v>990</v>
      </c>
      <c r="AM75" s="1190"/>
      <c r="AN75" s="1190">
        <f>P75</f>
        <v>1034</v>
      </c>
      <c r="AO75" s="1190"/>
      <c r="AP75" s="1190">
        <f>Q75+Z75+AI75</f>
        <v>1034</v>
      </c>
      <c r="AQ75" s="1188"/>
      <c r="AR75" s="1188"/>
    </row>
    <row r="76" spans="1:44" ht="29.25" customHeight="1" x14ac:dyDescent="0.3">
      <c r="A76" s="1084"/>
      <c r="B76" s="1108" t="s">
        <v>346</v>
      </c>
      <c r="C76" s="1119">
        <f>C74+C75</f>
        <v>128.41581808143059</v>
      </c>
      <c r="D76" s="1128">
        <f>SUM(D74:D75)</f>
        <v>2064412.6914770778</v>
      </c>
      <c r="E76" s="1171">
        <f>D76/1000</f>
        <v>2064.4126914770777</v>
      </c>
      <c r="F76" s="1188"/>
      <c r="G76" s="1188"/>
      <c r="H76" s="1189"/>
      <c r="I76" s="1189"/>
      <c r="J76" s="1178"/>
      <c r="K76" s="1108" t="s">
        <v>346</v>
      </c>
      <c r="L76" s="1119">
        <f>L74+L75</f>
        <v>128.41581808143059</v>
      </c>
      <c r="M76" s="1128">
        <f>SUM(M74:M75)</f>
        <v>5284310.9140508678</v>
      </c>
      <c r="N76" s="1128">
        <f>M76/1000</f>
        <v>5284.3109140508677</v>
      </c>
      <c r="P76" s="1189"/>
      <c r="Q76" s="1191"/>
      <c r="R76" s="1189"/>
      <c r="S76" s="1178"/>
      <c r="T76" s="1108" t="s">
        <v>346</v>
      </c>
      <c r="U76" s="1119">
        <f>U74+U75</f>
        <v>128.41581808143059</v>
      </c>
      <c r="V76" s="1128">
        <f>SUM(V74:V75)</f>
        <v>256831.63616286113</v>
      </c>
      <c r="W76" s="1128">
        <f>V76/1000</f>
        <v>256.83163616286112</v>
      </c>
      <c r="Y76" s="1188"/>
      <c r="Z76" s="1199"/>
      <c r="AA76" s="1188"/>
      <c r="AB76" s="1178"/>
      <c r="AC76" s="1108" t="s">
        <v>346</v>
      </c>
      <c r="AD76" s="1119">
        <f>AD74+AD75</f>
        <v>128.41581808143059</v>
      </c>
      <c r="AE76" s="1128">
        <f>SUM(AE74:AE75)</f>
        <v>1540989.8169771668</v>
      </c>
      <c r="AF76" s="1128">
        <f>AE76/1000</f>
        <v>1540.9898169771668</v>
      </c>
      <c r="AH76" s="1188"/>
      <c r="AI76" s="1188"/>
      <c r="AJ76" s="1188"/>
      <c r="AM76" s="1188"/>
      <c r="AN76" s="1188"/>
      <c r="AO76" s="1188"/>
      <c r="AP76" s="1188"/>
      <c r="AQ76" s="1188"/>
      <c r="AR76" s="1188"/>
    </row>
    <row r="77" spans="1:44" ht="29.25" customHeight="1" x14ac:dyDescent="0.3">
      <c r="A77" s="1121"/>
      <c r="B77" s="1122" t="s">
        <v>347</v>
      </c>
      <c r="C77" s="1123">
        <f>C54+C68+C58+C63+C72+C76+C65</f>
        <v>1100.1554840460108</v>
      </c>
      <c r="D77" s="1136">
        <f>D54+D58+D63+D65+D68+D72+D76</f>
        <v>17686099.561523668</v>
      </c>
      <c r="E77" s="1170">
        <f>D77/1000</f>
        <v>17686.099561523668</v>
      </c>
      <c r="F77" s="1188"/>
      <c r="G77" s="1190">
        <f>SUM(G9:G76)</f>
        <v>88396487.096846834</v>
      </c>
      <c r="H77" s="1190">
        <f>SUM(H9:H76)</f>
        <v>234541183.38</v>
      </c>
      <c r="I77" s="1191">
        <f>G77-+H77</f>
        <v>-146144696.28315318</v>
      </c>
      <c r="J77" s="1182"/>
      <c r="K77" s="1122" t="s">
        <v>347</v>
      </c>
      <c r="L77" s="1123">
        <f>L54+L68+L58+L63+L72+L76+L65</f>
        <v>1100.1554840460108</v>
      </c>
      <c r="M77" s="1136">
        <f>M54+M58+M63+M65+M68+M72+M76</f>
        <v>45271398.168493338</v>
      </c>
      <c r="N77" s="1122">
        <f>M77/1000</f>
        <v>45271.398168493339</v>
      </c>
      <c r="P77" s="1189"/>
      <c r="Q77" s="1191"/>
      <c r="R77" s="1189"/>
      <c r="S77" s="1182"/>
      <c r="T77" s="1122" t="s">
        <v>347</v>
      </c>
      <c r="U77" s="1123">
        <f>U54+U68+U58+U63+U72+U76+U65</f>
        <v>1100.1554840460108</v>
      </c>
      <c r="V77" s="1136">
        <f>V54+V58+V63+V65+V68+V72+V76</f>
        <v>2200310.9680920211</v>
      </c>
      <c r="W77" s="1122">
        <f>V77/1000</f>
        <v>2200.3109680920211</v>
      </c>
      <c r="Y77" s="1188"/>
      <c r="Z77" s="1199"/>
      <c r="AA77" s="1188"/>
      <c r="AB77" s="1182"/>
      <c r="AC77" s="1122" t="s">
        <v>347</v>
      </c>
      <c r="AD77" s="1123">
        <f>AD54+AD68+AD58+AD63+AD72+AD76+AD65</f>
        <v>1100.1554840460108</v>
      </c>
      <c r="AE77" s="1136">
        <f>AE54+AE58+AE63+AE65+AE68+AE72+AE76</f>
        <v>13201865.808552127</v>
      </c>
      <c r="AF77" s="1122">
        <f>AE77/1000</f>
        <v>13201.865808552127</v>
      </c>
      <c r="AH77" s="1188"/>
      <c r="AI77" s="1188"/>
      <c r="AJ77" s="1188"/>
      <c r="AM77" s="1188"/>
      <c r="AN77" s="1188"/>
      <c r="AO77" s="1188"/>
      <c r="AP77" s="1188"/>
      <c r="AQ77" s="1188"/>
      <c r="AR77" s="1188"/>
    </row>
    <row r="78" spans="1:44" ht="29.25" customHeight="1" x14ac:dyDescent="0.3">
      <c r="A78" s="1121"/>
      <c r="B78" s="1137"/>
      <c r="C78" s="1138">
        <f>C45+C77</f>
        <v>5498.6618000029139</v>
      </c>
      <c r="D78" s="1138">
        <f>D45+D77</f>
        <v>88396487.096846819</v>
      </c>
      <c r="E78" s="1173">
        <f t="shared" ref="E78" si="67">E45+E77</f>
        <v>88396.487096846831</v>
      </c>
      <c r="F78" s="1201"/>
      <c r="G78" s="1190">
        <f>C78*D5</f>
        <v>88396487.096846849</v>
      </c>
      <c r="H78" s="1190"/>
      <c r="I78" s="1202"/>
      <c r="J78" s="1182"/>
      <c r="K78" s="1137"/>
      <c r="L78" s="1138">
        <f>L45+L77</f>
        <v>5498.6618000029139</v>
      </c>
      <c r="M78" s="1138">
        <f>M45+M77</f>
        <v>226269933.07011986</v>
      </c>
      <c r="N78" s="1138">
        <f t="shared" ref="N78" si="68">N45+N77</f>
        <v>226269.93307011988</v>
      </c>
      <c r="O78" s="1139"/>
      <c r="P78" s="1202"/>
      <c r="Q78" s="1191"/>
      <c r="R78" s="1202"/>
      <c r="S78" s="1182"/>
      <c r="T78" s="1137"/>
      <c r="U78" s="1138">
        <f>U45+U77</f>
        <v>5498.6618000029139</v>
      </c>
      <c r="V78" s="1138">
        <f>V45+V77</f>
        <v>10997323.600005826</v>
      </c>
      <c r="W78" s="1138">
        <f t="shared" ref="W78" si="69">W45+W77</f>
        <v>10997.323600005826</v>
      </c>
      <c r="X78" s="1155"/>
      <c r="Y78" s="1201"/>
      <c r="Z78" s="1199"/>
      <c r="AA78" s="1201"/>
      <c r="AB78" s="1182"/>
      <c r="AC78" s="1137"/>
      <c r="AD78" s="1138">
        <f>AD45+AD77</f>
        <v>5498.6618000029139</v>
      </c>
      <c r="AE78" s="1138">
        <f>AE45+AE77</f>
        <v>65983941.600034952</v>
      </c>
      <c r="AF78" s="1138">
        <f t="shared" ref="AF78" si="70">AF45+AF77</f>
        <v>65983.941600034959</v>
      </c>
      <c r="AG78" s="1155"/>
      <c r="AH78" s="1201"/>
      <c r="AI78" s="1190"/>
      <c r="AJ78" s="1188"/>
      <c r="AL78" s="1155"/>
      <c r="AM78" s="1201"/>
      <c r="AN78" s="1201"/>
      <c r="AO78" s="1201"/>
      <c r="AP78" s="1190"/>
      <c r="AQ78" s="1190"/>
      <c r="AR78" s="1188"/>
    </row>
    <row r="79" spans="1:44" ht="33" customHeight="1" x14ac:dyDescent="0.3">
      <c r="A79" s="1124" t="s">
        <v>348</v>
      </c>
      <c r="B79" s="1475" t="s">
        <v>349</v>
      </c>
      <c r="C79" s="1476"/>
      <c r="D79" s="1476"/>
      <c r="E79" s="1476"/>
      <c r="F79" s="1188"/>
      <c r="G79" s="1188"/>
      <c r="H79" s="1189"/>
      <c r="I79" s="1189"/>
      <c r="J79" s="1183" t="s">
        <v>348</v>
      </c>
      <c r="K79" s="1475" t="s">
        <v>349</v>
      </c>
      <c r="L79" s="1476"/>
      <c r="M79" s="1476"/>
      <c r="N79" s="1476"/>
      <c r="P79" s="1189"/>
      <c r="Q79" s="1191"/>
      <c r="R79" s="1189"/>
      <c r="S79" s="1183" t="s">
        <v>348</v>
      </c>
      <c r="T79" s="1475" t="s">
        <v>349</v>
      </c>
      <c r="U79" s="1476"/>
      <c r="V79" s="1476"/>
      <c r="W79" s="1476"/>
      <c r="Y79" s="1188"/>
      <c r="Z79" s="1199"/>
      <c r="AA79" s="1188"/>
      <c r="AB79" s="1183" t="s">
        <v>348</v>
      </c>
      <c r="AC79" s="1475" t="s">
        <v>349</v>
      </c>
      <c r="AD79" s="1476"/>
      <c r="AE79" s="1476"/>
      <c r="AF79" s="1476"/>
      <c r="AH79" s="1188"/>
      <c r="AI79" s="1188"/>
      <c r="AJ79" s="1188"/>
      <c r="AM79" s="1188"/>
      <c r="AN79" s="1188"/>
      <c r="AO79" s="1188"/>
      <c r="AP79" s="1188"/>
      <c r="AQ79" s="1188"/>
      <c r="AR79" s="1188"/>
    </row>
    <row r="80" spans="1:44" s="1211" customFormat="1" ht="29.25" customHeight="1" x14ac:dyDescent="0.3">
      <c r="A80" s="1204" t="s">
        <v>350</v>
      </c>
      <c r="B80" s="1205" t="s">
        <v>351</v>
      </c>
      <c r="C80" s="1140">
        <f>D80/39074</f>
        <v>97.633233096176497</v>
      </c>
      <c r="D80" s="1205">
        <v>3814920.95</v>
      </c>
      <c r="E80" s="1206">
        <f t="shared" si="63"/>
        <v>3814.9209500000002</v>
      </c>
      <c r="F80" s="1207">
        <v>290</v>
      </c>
      <c r="G80" s="1208">
        <f>D80</f>
        <v>3814920.95</v>
      </c>
      <c r="H80" s="1208">
        <v>5201007.5999999996</v>
      </c>
      <c r="I80" s="1209">
        <f>G80-H80</f>
        <v>-1386086.6499999994</v>
      </c>
      <c r="J80" s="1210" t="s">
        <v>350</v>
      </c>
      <c r="K80" s="1205" t="s">
        <v>351</v>
      </c>
      <c r="L80" s="1140">
        <f>C80</f>
        <v>97.633233096176497</v>
      </c>
      <c r="M80" s="1205">
        <f>L80*M5</f>
        <v>4017607.541907663</v>
      </c>
      <c r="N80" s="1205">
        <f t="shared" ref="N80" si="71">M80/1000</f>
        <v>4017.6075419076628</v>
      </c>
      <c r="O80" s="1211">
        <v>290</v>
      </c>
      <c r="P80" s="1209">
        <f>M80</f>
        <v>4017607.541907663</v>
      </c>
      <c r="Q80" s="1209">
        <f>3687692.49-Z80</f>
        <v>3037064.85</v>
      </c>
      <c r="R80" s="1212"/>
      <c r="S80" s="1210" t="s">
        <v>350</v>
      </c>
      <c r="T80" s="1205" t="s">
        <v>351</v>
      </c>
      <c r="U80" s="1140">
        <f>L80</f>
        <v>97.633233096176497</v>
      </c>
      <c r="V80" s="1205">
        <f>U80*V5</f>
        <v>195266.46619235299</v>
      </c>
      <c r="W80" s="1205">
        <f t="shared" ref="W80" si="72">V80/1000</f>
        <v>195.26646619235299</v>
      </c>
      <c r="X80" s="1213">
        <v>290</v>
      </c>
      <c r="Y80" s="1208">
        <f>V80</f>
        <v>195266.46619235299</v>
      </c>
      <c r="Z80" s="1208">
        <v>650627.64</v>
      </c>
      <c r="AA80" s="1207"/>
      <c r="AB80" s="1210" t="s">
        <v>350</v>
      </c>
      <c r="AC80" s="1205" t="s">
        <v>351</v>
      </c>
      <c r="AD80" s="1140">
        <f>U80</f>
        <v>97.633233096176497</v>
      </c>
      <c r="AE80" s="1205">
        <f>AD80*AE5</f>
        <v>1171598.7971541181</v>
      </c>
      <c r="AF80" s="1205">
        <f t="shared" ref="AF80" si="73">AE80/1000</f>
        <v>1171.5987971541181</v>
      </c>
      <c r="AG80" s="1213">
        <v>290</v>
      </c>
      <c r="AH80" s="1208">
        <f>AE80</f>
        <v>1171598.7971541181</v>
      </c>
      <c r="AI80" s="1208">
        <v>1513315.11</v>
      </c>
      <c r="AJ80" s="1207"/>
      <c r="AK80" s="1225" t="b">
        <f>AN80=G80</f>
        <v>0</v>
      </c>
      <c r="AL80" s="1213">
        <v>290</v>
      </c>
      <c r="AM80" s="1208"/>
      <c r="AN80" s="1208">
        <f>P80+Y80+AH80</f>
        <v>5384472.8052541343</v>
      </c>
      <c r="AO80" s="1208"/>
      <c r="AP80" s="1208">
        <f>Q80+Z80+AI80</f>
        <v>5201007.6000000006</v>
      </c>
      <c r="AQ80" s="1207"/>
      <c r="AR80" s="1207"/>
    </row>
    <row r="81" spans="1:44" ht="29.25" customHeight="1" x14ac:dyDescent="0.3">
      <c r="A81" s="1141"/>
      <c r="B81" s="1137"/>
      <c r="C81" s="1138">
        <f>C45+C77+C80</f>
        <v>5596.2950330990907</v>
      </c>
      <c r="D81" s="1138">
        <f t="shared" ref="D81:E81" si="74">D45+D77+D80</f>
        <v>92211408.046846822</v>
      </c>
      <c r="E81" s="1174">
        <f t="shared" si="74"/>
        <v>92211.408046846831</v>
      </c>
      <c r="F81" s="1188"/>
      <c r="G81" s="1190">
        <f>SUM(G9:G80)-G78-G77</f>
        <v>92211408.046846822</v>
      </c>
      <c r="H81" s="1203">
        <f>SUM(H9:H80)-H78-H77</f>
        <v>239742190.98000002</v>
      </c>
      <c r="I81" s="1203">
        <f>SUM(I9:I80)-I78-I77</f>
        <v>-147530782.93315315</v>
      </c>
      <c r="J81" s="1185"/>
      <c r="K81" s="1137"/>
      <c r="L81" s="1138">
        <f>L45+L77+L80</f>
        <v>5596.2950330990907</v>
      </c>
      <c r="M81" s="1138">
        <f t="shared" ref="M81:N81" si="75">M45+M77+M80</f>
        <v>230287540.61202753</v>
      </c>
      <c r="N81" s="1142">
        <f t="shared" si="75"/>
        <v>230287.54061202754</v>
      </c>
      <c r="P81" s="1191">
        <f>SUM(P9:P80)</f>
        <v>230287540.6120275</v>
      </c>
      <c r="Q81" s="1191">
        <f>SUM(Q9:Q80)</f>
        <v>175280028.69</v>
      </c>
      <c r="R81" s="1189"/>
      <c r="S81" s="1185"/>
      <c r="T81" s="1137"/>
      <c r="U81" s="1138">
        <f>U45+U77+U80</f>
        <v>5596.2950330990907</v>
      </c>
      <c r="V81" s="1138">
        <f t="shared" ref="V81:W81" si="76">V45+V77+V80</f>
        <v>11192590.066198179</v>
      </c>
      <c r="W81" s="1142">
        <f t="shared" si="76"/>
        <v>11192.59006619818</v>
      </c>
      <c r="Y81" s="1190">
        <f>SUM(Y9:Y80)</f>
        <v>5816836.2661981797</v>
      </c>
      <c r="Z81" s="1190">
        <f>SUM(Z9:Z80)</f>
        <v>19381693.180000003</v>
      </c>
      <c r="AA81" s="1188"/>
      <c r="AB81" s="1185"/>
      <c r="AC81" s="1137"/>
      <c r="AD81" s="1138">
        <f>AD45+AD77+AD80</f>
        <v>5596.2950330990907</v>
      </c>
      <c r="AE81" s="1138">
        <f t="shared" ref="AE81:AF81" si="77">AE45+AE77+AE80</f>
        <v>67155540.397189066</v>
      </c>
      <c r="AF81" s="1142">
        <f t="shared" si="77"/>
        <v>67155.540397189077</v>
      </c>
      <c r="AH81" s="1190">
        <f>SUM(AH9:AH80)-AH10-AH19</f>
        <v>34901017.597189069</v>
      </c>
      <c r="AI81" s="1190">
        <f>SUM(AI9:AI80)</f>
        <v>45080469.109999999</v>
      </c>
      <c r="AJ81" s="1188"/>
      <c r="AM81" s="1190"/>
      <c r="AN81" s="1190"/>
      <c r="AO81" s="1190"/>
      <c r="AP81" s="1190"/>
      <c r="AQ81" s="1190"/>
      <c r="AR81" s="1188"/>
    </row>
    <row r="82" spans="1:44" ht="29.25" customHeight="1" x14ac:dyDescent="0.3">
      <c r="C82" s="861">
        <f>C81*39074</f>
        <v>218669632.12331387</v>
      </c>
      <c r="D82" s="1105">
        <f>D17+D70</f>
        <v>53966220.678738698</v>
      </c>
      <c r="E82" s="1175">
        <f>E17+E70</f>
        <v>53966.220678738697</v>
      </c>
      <c r="F82" s="1188"/>
      <c r="G82" s="1188"/>
      <c r="H82" s="1191">
        <f>G81-H81</f>
        <v>-147530782.93315321</v>
      </c>
      <c r="I82" s="1189"/>
      <c r="J82" s="1077"/>
      <c r="K82" s="1143"/>
      <c r="L82" s="861">
        <f>L81*39074</f>
        <v>218669632.12331387</v>
      </c>
      <c r="M82" s="1105">
        <f>M17+M70</f>
        <v>138138217.27606976</v>
      </c>
      <c r="N82" s="1105">
        <f>N17+N70</f>
        <v>138138.21727606977</v>
      </c>
      <c r="P82" s="1189"/>
      <c r="Q82" s="1189"/>
      <c r="R82" s="1189"/>
      <c r="S82" s="1077"/>
      <c r="T82" s="1143"/>
      <c r="U82" s="861">
        <f>U81*39074</f>
        <v>218669632.12331387</v>
      </c>
      <c r="V82" s="1105">
        <f>V17+V70</f>
        <v>6713886.6233812766</v>
      </c>
      <c r="W82" s="1105">
        <f>W17+W70</f>
        <v>6713.8866233812769</v>
      </c>
      <c r="Y82" s="1188"/>
      <c r="Z82" s="1188"/>
      <c r="AA82" s="1188"/>
      <c r="AB82" s="1077"/>
      <c r="AC82" s="1143"/>
      <c r="AD82" s="861">
        <f>AD81*39074</f>
        <v>218669632.12331387</v>
      </c>
      <c r="AE82" s="1105">
        <f>AE17+AE70</f>
        <v>40283319.740287662</v>
      </c>
      <c r="AF82" s="1105">
        <f>AF17+AF70</f>
        <v>40283.319740287661</v>
      </c>
      <c r="AH82" s="1188"/>
      <c r="AI82" s="1188"/>
      <c r="AJ82" s="1188"/>
      <c r="AM82" s="1190">
        <f>SUM(AM9:AM81)</f>
        <v>142860657.23499998</v>
      </c>
      <c r="AN82" s="1190">
        <f>SUM(AN9:AN81)</f>
        <v>160923928.38041475</v>
      </c>
      <c r="AO82" s="1190">
        <f>SUM(AO9:AO81)</f>
        <v>121550240.51000001</v>
      </c>
      <c r="AP82" s="1190">
        <f>SUM(AP9:AP81)</f>
        <v>118191950.46999998</v>
      </c>
      <c r="AQ82" s="1188"/>
      <c r="AR82" s="1188"/>
    </row>
    <row r="83" spans="1:44" ht="29.25" customHeight="1" x14ac:dyDescent="0.3">
      <c r="A83" s="1076"/>
      <c r="C83" s="1104"/>
      <c r="D83" s="1105">
        <f>D26+D71</f>
        <v>16297840.761999998</v>
      </c>
      <c r="E83" s="1105">
        <f>E26+E71</f>
        <v>16297.840762000003</v>
      </c>
      <c r="H83" s="1203">
        <f>218669600+21072590.98</f>
        <v>239742190.97999999</v>
      </c>
      <c r="K83" s="1143"/>
      <c r="L83" s="1104"/>
      <c r="M83" s="1105">
        <f>M26+M71</f>
        <v>41717849.424999997</v>
      </c>
      <c r="N83" s="1105">
        <f>N26+N71</f>
        <v>41717.849425</v>
      </c>
      <c r="P83" s="1151">
        <f>L78*M5</f>
        <v>226269933.07011992</v>
      </c>
      <c r="Q83" s="1219">
        <f>73111481.36+121550240.51</f>
        <v>194661721.87</v>
      </c>
      <c r="T83" s="1143"/>
      <c r="U83" s="1104"/>
      <c r="V83" s="1105">
        <f>V26+V71</f>
        <v>2027599</v>
      </c>
      <c r="W83" s="1105">
        <f>W26+W71</f>
        <v>2027.5990000000002</v>
      </c>
      <c r="Y83" s="1150">
        <f>U78*V5</f>
        <v>10997323.600005828</v>
      </c>
      <c r="AC83" s="1143"/>
      <c r="AD83" s="1104"/>
      <c r="AE83" s="1105">
        <f>AE26+AE71</f>
        <v>12165594</v>
      </c>
      <c r="AF83" s="1105">
        <f>AF26+AF71</f>
        <v>12165.594000000001</v>
      </c>
      <c r="AH83" s="1150">
        <f>AD78*AE5</f>
        <v>65983941.600034967</v>
      </c>
      <c r="AM83" s="1499">
        <f>AM82+AN82</f>
        <v>303784585.61541474</v>
      </c>
      <c r="AN83" s="1503"/>
      <c r="AO83" s="1499">
        <f>AO82+AP82</f>
        <v>239742190.97999999</v>
      </c>
      <c r="AP83" s="1499"/>
    </row>
    <row r="84" spans="1:44" ht="29.25" customHeight="1" x14ac:dyDescent="0.3">
      <c r="A84" s="1076"/>
      <c r="C84" s="1104"/>
      <c r="D84" s="1105">
        <f>SUM(D82:D83)</f>
        <v>70264061.440738693</v>
      </c>
      <c r="E84" s="1105">
        <f>SUM(E82:E83)</f>
        <v>70264.061440738704</v>
      </c>
      <c r="K84" s="1143"/>
      <c r="L84" s="1104"/>
      <c r="M84" s="1105">
        <f>SUM(M82:M83)</f>
        <v>179856066.70106977</v>
      </c>
      <c r="N84" s="1105">
        <f>SUM(N82:N83)</f>
        <v>179856.06670106977</v>
      </c>
      <c r="T84" s="1143"/>
      <c r="U84" s="1104"/>
      <c r="V84" s="1105">
        <f>SUM(V82:V83)</f>
        <v>8741485.6233812757</v>
      </c>
      <c r="W84" s="1105">
        <f>SUM(W82:W83)</f>
        <v>8741.485623381277</v>
      </c>
      <c r="AC84" s="1143"/>
      <c r="AD84" s="1104"/>
      <c r="AE84" s="1105">
        <f>SUM(AE82:AE83)</f>
        <v>52448913.740287662</v>
      </c>
      <c r="AF84" s="1105">
        <f>SUM(AF82:AF83)</f>
        <v>52448.913740287666</v>
      </c>
      <c r="AM84" s="1504">
        <f>D81</f>
        <v>92211408.046846822</v>
      </c>
      <c r="AN84" s="1504"/>
    </row>
    <row r="85" spans="1:44" ht="29.25" customHeight="1" x14ac:dyDescent="0.3">
      <c r="A85" s="1076"/>
      <c r="E85" s="1144">
        <v>93045</v>
      </c>
      <c r="G85" s="1220">
        <f>G9+G11+G18+G32+G39+G48+G56+G67+G74+G75+G80</f>
        <v>49001099.00244683</v>
      </c>
      <c r="K85" s="1143"/>
      <c r="L85" s="1079"/>
      <c r="M85" s="1079"/>
      <c r="N85" s="1144">
        <v>93045</v>
      </c>
      <c r="T85" s="1143"/>
      <c r="U85" s="1079"/>
      <c r="V85" s="1079"/>
      <c r="W85" s="1144">
        <v>93045</v>
      </c>
      <c r="AC85" s="1143"/>
      <c r="AD85" s="1079"/>
      <c r="AE85" s="1079"/>
      <c r="AF85" s="1144">
        <v>93045</v>
      </c>
    </row>
    <row r="86" spans="1:44" ht="29.25" customHeight="1" x14ac:dyDescent="0.3">
      <c r="A86" s="1076"/>
      <c r="C86" s="1076"/>
      <c r="E86" s="1144">
        <v>28099.599999999999</v>
      </c>
      <c r="G86" s="1220" t="e">
        <f>#REF!+#REF!+#REF!</f>
        <v>#REF!</v>
      </c>
      <c r="K86" s="1143"/>
      <c r="M86" s="1079"/>
      <c r="N86" s="1144">
        <v>28099.599999999999</v>
      </c>
      <c r="T86" s="1143"/>
      <c r="V86" s="1079"/>
      <c r="W86" s="1144">
        <v>28099.599999999999</v>
      </c>
      <c r="AC86" s="1143"/>
      <c r="AE86" s="1079"/>
      <c r="AF86" s="1144">
        <v>28099.599999999999</v>
      </c>
    </row>
    <row r="87" spans="1:44" ht="29.25" customHeight="1" x14ac:dyDescent="0.3">
      <c r="A87" s="1076"/>
      <c r="E87" s="1144">
        <f>SUM(E85:E86)</f>
        <v>121144.6</v>
      </c>
      <c r="G87" s="1220" t="e">
        <f>G85-G86</f>
        <v>#REF!</v>
      </c>
      <c r="K87" s="1143"/>
      <c r="L87" s="1079"/>
      <c r="M87" s="1079"/>
      <c r="N87" s="1144">
        <f>SUM(N85:N86)</f>
        <v>121144.6</v>
      </c>
      <c r="T87" s="1143"/>
      <c r="U87" s="1079"/>
      <c r="V87" s="1079"/>
      <c r="W87" s="1144">
        <f>SUM(W85:W86)</f>
        <v>121144.6</v>
      </c>
      <c r="AC87" s="1143"/>
      <c r="AD87" s="1079"/>
      <c r="AE87" s="1079"/>
      <c r="AF87" s="1144">
        <f>SUM(AF85:AF86)</f>
        <v>121144.6</v>
      </c>
    </row>
    <row r="88" spans="1:44" ht="29.25" customHeight="1" x14ac:dyDescent="0.3">
      <c r="A88" s="1076"/>
      <c r="B88" s="1143" t="s">
        <v>642</v>
      </c>
      <c r="C88" s="1145">
        <f>C81-C13-C12-C11-C10-C19-C20-C21-C22-C80-C14-C15-C23-C24</f>
        <v>2810.7849000029141</v>
      </c>
      <c r="G88" s="1220">
        <f>G10+G19</f>
        <v>43210309.044399999</v>
      </c>
      <c r="K88" s="1143" t="s">
        <v>642</v>
      </c>
      <c r="L88" s="1145">
        <f>L81-L13-L12-L11-L10-L19-L20-L21-L22-L80-L14-L15-L23-L24</f>
        <v>2810.7849000029141</v>
      </c>
      <c r="M88" s="1079"/>
      <c r="N88" s="1079"/>
      <c r="T88" s="1143" t="s">
        <v>642</v>
      </c>
      <c r="U88" s="1145">
        <f>U81-U13-U12-U11-U10-U19-U20-U21-U22-U80-U14-U15-U23-U24</f>
        <v>2810.7849000029141</v>
      </c>
      <c r="V88" s="1079"/>
      <c r="W88" s="1079"/>
      <c r="AC88" s="1143" t="s">
        <v>642</v>
      </c>
      <c r="AD88" s="1145">
        <f>AD81-AD13-AD12-AD11-AD10-AD19-AD20-AD21-AD22-AD80-AD14-AD15-AD23-AD24</f>
        <v>2810.7849000029141</v>
      </c>
      <c r="AE88" s="1079"/>
      <c r="AF88" s="1079"/>
    </row>
    <row r="89" spans="1:44" ht="29.25" customHeight="1" x14ac:dyDescent="0.3">
      <c r="A89" s="1076"/>
      <c r="B89" s="1143" t="s">
        <v>643</v>
      </c>
      <c r="C89" s="1145">
        <f>C88+C80</f>
        <v>2908.4181330990905</v>
      </c>
      <c r="D89" s="1145"/>
      <c r="K89" s="1143" t="s">
        <v>643</v>
      </c>
      <c r="L89" s="1145">
        <f>L88+L80</f>
        <v>2908.4181330990905</v>
      </c>
      <c r="M89" s="1145"/>
      <c r="N89" s="1079"/>
      <c r="T89" s="1143" t="s">
        <v>643</v>
      </c>
      <c r="U89" s="1145">
        <f>U88+U80</f>
        <v>2908.4181330990905</v>
      </c>
      <c r="V89" s="1145"/>
      <c r="W89" s="1079"/>
      <c r="AC89" s="1143" t="s">
        <v>643</v>
      </c>
      <c r="AD89" s="1145">
        <f>AD88+AD80</f>
        <v>2908.4181330990905</v>
      </c>
      <c r="AE89" s="1145"/>
      <c r="AF89" s="1079"/>
    </row>
    <row r="90" spans="1:44" ht="29.25" customHeight="1" x14ac:dyDescent="0.3">
      <c r="A90" s="1076"/>
      <c r="B90" s="1146" t="s">
        <v>980</v>
      </c>
      <c r="C90" s="1145"/>
      <c r="D90" s="1145">
        <f>D91+D92</f>
        <v>43210309.044399999</v>
      </c>
      <c r="E90" s="1145">
        <f>E91+E92</f>
        <v>43210.309044399997</v>
      </c>
      <c r="K90" s="1146" t="s">
        <v>980</v>
      </c>
      <c r="L90" s="1145"/>
      <c r="M90" s="1145">
        <f>M91+M92</f>
        <v>110606134.435</v>
      </c>
      <c r="N90" s="1145">
        <f>N91+N92</f>
        <v>110606.13443500001</v>
      </c>
      <c r="T90" s="1146" t="s">
        <v>980</v>
      </c>
      <c r="U90" s="1145"/>
      <c r="V90" s="1145">
        <f>V91+V92</f>
        <v>5375753.7999999998</v>
      </c>
      <c r="W90" s="1145">
        <f>W91+W92</f>
        <v>5375.7538000000004</v>
      </c>
      <c r="AC90" s="1146" t="s">
        <v>980</v>
      </c>
      <c r="AD90" s="1145"/>
      <c r="AE90" s="1145">
        <f>AE91+AE92</f>
        <v>32254522.800000001</v>
      </c>
      <c r="AF90" s="1145">
        <f>AF91+AF92</f>
        <v>32254.522799999999</v>
      </c>
    </row>
    <row r="91" spans="1:44" ht="29.25" customHeight="1" x14ac:dyDescent="0.3">
      <c r="A91" s="1076"/>
      <c r="B91" s="1146" t="s">
        <v>573</v>
      </c>
      <c r="C91" s="1145"/>
      <c r="D91" s="1145">
        <f>D10+D11+D12+D13+D14+D15+D16</f>
        <v>33187638.426399998</v>
      </c>
      <c r="E91" s="1145">
        <f>E10+E11+E12+E13+E14+E15+E16</f>
        <v>33187.638426399993</v>
      </c>
      <c r="K91" s="1146" t="s">
        <v>573</v>
      </c>
      <c r="L91" s="1145"/>
      <c r="M91" s="1145">
        <f>M10+M11+M12+M13+M14+M15+M16</f>
        <v>84950940.609999999</v>
      </c>
      <c r="N91" s="1145">
        <f>N10+N11+N12+N13+N14+N15+N16</f>
        <v>84950.940610000005</v>
      </c>
      <c r="T91" s="1146" t="s">
        <v>573</v>
      </c>
      <c r="U91" s="1145"/>
      <c r="V91" s="1145">
        <f>V10+V11+V12+V13+V14+V15+V16</f>
        <v>4128842.8</v>
      </c>
      <c r="W91" s="1145">
        <f>W10+W11+W12+W13+W14+W15+W16</f>
        <v>4128.8428000000004</v>
      </c>
      <c r="AC91" s="1146" t="s">
        <v>573</v>
      </c>
      <c r="AD91" s="1145"/>
      <c r="AE91" s="1145">
        <f>AE10+AE11+AE12+AE13+AE14+AE15+AE16</f>
        <v>24773056.800000001</v>
      </c>
      <c r="AF91" s="1145">
        <f>AF10+AF11+AF12+AF13+AF14+AF15+AF16</f>
        <v>24773.056799999998</v>
      </c>
    </row>
    <row r="92" spans="1:44" ht="29.25" customHeight="1" x14ac:dyDescent="0.3">
      <c r="A92" s="1076"/>
      <c r="B92" s="1146" t="s">
        <v>981</v>
      </c>
      <c r="C92" s="1145"/>
      <c r="D92" s="1145">
        <f>D19+D20+D21+D22+D23+D24+D25</f>
        <v>10022670.617999999</v>
      </c>
      <c r="E92" s="1145">
        <f>E19+E20+E21+E22+E23+E24+E25</f>
        <v>10022.670618000002</v>
      </c>
      <c r="K92" s="1146" t="s">
        <v>981</v>
      </c>
      <c r="L92" s="1145"/>
      <c r="M92" s="1145">
        <f>M19+M20+M21+M22+M23+M24+M25</f>
        <v>25655193.824999999</v>
      </c>
      <c r="N92" s="1145">
        <f>N19+N20+N21+N22+N23+N24+N25</f>
        <v>25655.193825000002</v>
      </c>
      <c r="T92" s="1146" t="s">
        <v>981</v>
      </c>
      <c r="U92" s="1145"/>
      <c r="V92" s="1145">
        <f>V19+V20+V21+V22+V23+V24+V25</f>
        <v>1246910.9999999998</v>
      </c>
      <c r="W92" s="1145">
        <f>W19+W20+W21+W22+W23+W24+W25</f>
        <v>1246.9110000000001</v>
      </c>
      <c r="AC92" s="1146" t="s">
        <v>981</v>
      </c>
      <c r="AD92" s="1145"/>
      <c r="AE92" s="1145">
        <f>AE19+AE20+AE21+AE22+AE23+AE24+AE25</f>
        <v>7481466</v>
      </c>
      <c r="AF92" s="1145">
        <f>AF19+AF20+AF21+AF22+AF23+AF24+AF25</f>
        <v>7481.4659999999994</v>
      </c>
    </row>
    <row r="93" spans="1:44" ht="29.25" customHeight="1" x14ac:dyDescent="0.3">
      <c r="A93" s="1076"/>
      <c r="B93" s="1146"/>
      <c r="C93" s="1145"/>
      <c r="D93" s="1145"/>
      <c r="E93" s="1145">
        <v>105026.1</v>
      </c>
      <c r="K93" s="1146"/>
      <c r="L93" s="1145"/>
      <c r="M93" s="1145"/>
      <c r="N93" s="1145">
        <v>105026.1</v>
      </c>
      <c r="T93" s="1146"/>
      <c r="U93" s="1145"/>
      <c r="V93" s="1145"/>
      <c r="W93" s="1145">
        <v>105026.1</v>
      </c>
      <c r="AC93" s="1146"/>
      <c r="AD93" s="1145"/>
      <c r="AE93" s="1145"/>
      <c r="AF93" s="1145">
        <v>105026.1</v>
      </c>
    </row>
    <row r="94" spans="1:44" ht="29.25" customHeight="1" x14ac:dyDescent="0.3">
      <c r="A94" s="1076"/>
      <c r="B94" s="1146"/>
      <c r="C94" s="1145"/>
      <c r="D94" s="1145"/>
      <c r="E94" s="1145"/>
      <c r="K94" s="1146"/>
      <c r="L94" s="1145"/>
      <c r="M94" s="1145"/>
      <c r="N94" s="1145"/>
      <c r="T94" s="1146"/>
      <c r="U94" s="1145"/>
      <c r="V94" s="1145"/>
      <c r="W94" s="1145"/>
    </row>
    <row r="95" spans="1:44" ht="29.25" customHeight="1" x14ac:dyDescent="0.3">
      <c r="A95" s="1076"/>
      <c r="B95" s="1146"/>
      <c r="C95" s="1145"/>
      <c r="D95" s="1145"/>
      <c r="E95" s="1145"/>
      <c r="K95" s="1146"/>
      <c r="L95" s="1145"/>
      <c r="M95" s="1145"/>
      <c r="N95" s="1145"/>
      <c r="T95" s="1146"/>
      <c r="U95" s="1145"/>
      <c r="V95" s="1145"/>
      <c r="W95" s="1145"/>
    </row>
    <row r="96" spans="1:44" ht="29.25" customHeight="1" x14ac:dyDescent="0.3">
      <c r="A96" s="1076"/>
      <c r="B96" s="1146"/>
      <c r="C96" s="1145"/>
      <c r="D96" s="1145"/>
      <c r="E96" s="1145"/>
      <c r="G96" s="1156">
        <f>D81-G81</f>
        <v>0</v>
      </c>
      <c r="K96" s="1146"/>
      <c r="L96" s="1145"/>
      <c r="M96" s="1145"/>
      <c r="N96" s="1145"/>
      <c r="P96" s="1158">
        <f>M81-P81</f>
        <v>0</v>
      </c>
      <c r="T96" s="1146"/>
      <c r="U96" s="1145"/>
      <c r="V96" s="1145"/>
      <c r="W96" s="1145"/>
      <c r="Y96" s="1156">
        <f>V81-Y81</f>
        <v>5375753.7999999998</v>
      </c>
    </row>
    <row r="97" spans="1:5" ht="29.25" customHeight="1" x14ac:dyDescent="0.3">
      <c r="A97" s="1076"/>
      <c r="C97" s="1145"/>
      <c r="D97" s="1145"/>
    </row>
    <row r="98" spans="1:5" hidden="1" x14ac:dyDescent="0.3">
      <c r="A98" s="1076"/>
      <c r="C98" s="1145"/>
    </row>
    <row r="99" spans="1:5" hidden="1" x14ac:dyDescent="0.3">
      <c r="A99" s="1076"/>
      <c r="B99" s="1076"/>
      <c r="D99" s="1147">
        <f>D54+D58+D63+D65+D68+D72+D76</f>
        <v>17686099.561523668</v>
      </c>
      <c r="E99" s="1076"/>
    </row>
    <row r="100" spans="1:5" hidden="1" x14ac:dyDescent="0.3">
      <c r="A100" s="1076"/>
      <c r="B100" s="1076"/>
      <c r="E100" s="1076"/>
    </row>
    <row r="101" spans="1:5" ht="19.5" hidden="1" customHeight="1" x14ac:dyDescent="0.3">
      <c r="A101" s="1076"/>
      <c r="B101" s="1076"/>
      <c r="C101" s="1148">
        <v>5089.6455999999998</v>
      </c>
      <c r="D101" s="1147">
        <v>218669600</v>
      </c>
      <c r="E101" s="1076"/>
    </row>
    <row r="102" spans="1:5" hidden="1" x14ac:dyDescent="0.3">
      <c r="D102" s="1145">
        <f>D81-D101</f>
        <v>-126458191.95315318</v>
      </c>
    </row>
    <row r="103" spans="1:5" hidden="1" x14ac:dyDescent="0.3"/>
    <row r="104" spans="1:5" hidden="1" x14ac:dyDescent="0.3"/>
    <row r="105" spans="1:5" hidden="1" x14ac:dyDescent="0.3"/>
  </sheetData>
  <mergeCells count="99">
    <mergeCell ref="AM84:AN84"/>
    <mergeCell ref="B79:E79"/>
    <mergeCell ref="K79:N79"/>
    <mergeCell ref="T79:W79"/>
    <mergeCell ref="AC79:AF79"/>
    <mergeCell ref="AM83:AN83"/>
    <mergeCell ref="AO83:AP83"/>
    <mergeCell ref="B69:E69"/>
    <mergeCell ref="K69:N69"/>
    <mergeCell ref="T69:W69"/>
    <mergeCell ref="AC69:AF69"/>
    <mergeCell ref="B73:E73"/>
    <mergeCell ref="K73:N73"/>
    <mergeCell ref="T73:W73"/>
    <mergeCell ref="AC73:AF73"/>
    <mergeCell ref="B64:E64"/>
    <mergeCell ref="K64:N64"/>
    <mergeCell ref="T64:W64"/>
    <mergeCell ref="AC64:AF64"/>
    <mergeCell ref="B66:E66"/>
    <mergeCell ref="K66:N66"/>
    <mergeCell ref="T66:W66"/>
    <mergeCell ref="AC66:AF66"/>
    <mergeCell ref="AF60:AF62"/>
    <mergeCell ref="C60:C62"/>
    <mergeCell ref="D60:D62"/>
    <mergeCell ref="E60:E62"/>
    <mergeCell ref="L60:L62"/>
    <mergeCell ref="M60:M62"/>
    <mergeCell ref="N60:N62"/>
    <mergeCell ref="U60:U62"/>
    <mergeCell ref="V60:V62"/>
    <mergeCell ref="W60:W62"/>
    <mergeCell ref="AD60:AD62"/>
    <mergeCell ref="AE60:AE62"/>
    <mergeCell ref="B55:E55"/>
    <mergeCell ref="K55:N55"/>
    <mergeCell ref="T55:W55"/>
    <mergeCell ref="AC55:AF55"/>
    <mergeCell ref="B59:E59"/>
    <mergeCell ref="K59:N59"/>
    <mergeCell ref="T59:W59"/>
    <mergeCell ref="AC59:AF59"/>
    <mergeCell ref="B46:E46"/>
    <mergeCell ref="K46:N46"/>
    <mergeCell ref="T46:W46"/>
    <mergeCell ref="AC46:AF46"/>
    <mergeCell ref="B47:E47"/>
    <mergeCell ref="K47:N47"/>
    <mergeCell ref="T47:W47"/>
    <mergeCell ref="AC47:AF47"/>
    <mergeCell ref="B8:E8"/>
    <mergeCell ref="K8:N8"/>
    <mergeCell ref="T8:W8"/>
    <mergeCell ref="AC8:AF8"/>
    <mergeCell ref="B31:E31"/>
    <mergeCell ref="K31:N31"/>
    <mergeCell ref="T31:W31"/>
    <mergeCell ref="AC31:AF31"/>
    <mergeCell ref="AI6:AJ6"/>
    <mergeCell ref="AM6:AR6"/>
    <mergeCell ref="B7:E7"/>
    <mergeCell ref="K7:N7"/>
    <mergeCell ref="T7:W7"/>
    <mergeCell ref="AC7:AF7"/>
    <mergeCell ref="C6:D6"/>
    <mergeCell ref="H6:I6"/>
    <mergeCell ref="L6:M6"/>
    <mergeCell ref="Q6:R6"/>
    <mergeCell ref="U6:V6"/>
    <mergeCell ref="Z6:AA6"/>
    <mergeCell ref="S3:S6"/>
    <mergeCell ref="T3:T6"/>
    <mergeCell ref="U3:W3"/>
    <mergeCell ref="AB3:AB6"/>
    <mergeCell ref="AC3:AC6"/>
    <mergeCell ref="AD3:AF3"/>
    <mergeCell ref="U4:W4"/>
    <mergeCell ref="AD4:AF4"/>
    <mergeCell ref="V5:W5"/>
    <mergeCell ref="AE5:AF5"/>
    <mergeCell ref="AD6:AE6"/>
    <mergeCell ref="A3:A6"/>
    <mergeCell ref="B3:B6"/>
    <mergeCell ref="C3:E3"/>
    <mergeCell ref="J3:J6"/>
    <mergeCell ref="K3:K6"/>
    <mergeCell ref="L3:N3"/>
    <mergeCell ref="C4:E4"/>
    <mergeCell ref="L4:N4"/>
    <mergeCell ref="D5:E5"/>
    <mergeCell ref="M5:N5"/>
    <mergeCell ref="A1:E1"/>
    <mergeCell ref="J1:N1"/>
    <mergeCell ref="S1:W1"/>
    <mergeCell ref="AB1:AF1"/>
    <mergeCell ref="J2:N2"/>
    <mergeCell ref="S2:W2"/>
    <mergeCell ref="AB2:AF2"/>
  </mergeCells>
  <pageMargins left="0.11811023622047245" right="0.11811023622047245" top="0.15748031496062992" bottom="0.15748031496062992" header="0.31496062992125984" footer="0.31496062992125984"/>
  <pageSetup paperSize="8" scale="48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0000"/>
    <pageSetUpPr fitToPage="1"/>
  </sheetPr>
  <dimension ref="A1:CK149"/>
  <sheetViews>
    <sheetView showZeros="0" zoomScale="70" zoomScaleNormal="70" zoomScaleSheetLayoutView="100" workbookViewId="0">
      <pane xSplit="3" ySplit="11" topLeftCell="D14" activePane="bottomRight" state="frozen"/>
      <selection pane="topRight" activeCell="D1" sqref="D1"/>
      <selection pane="bottomLeft" activeCell="A10" sqref="A10"/>
      <selection pane="bottomRight" activeCell="Q64" sqref="Q64"/>
    </sheetView>
  </sheetViews>
  <sheetFormatPr defaultColWidth="9.140625" defaultRowHeight="15" x14ac:dyDescent="0.25"/>
  <cols>
    <col min="1" max="1" width="45" customWidth="1"/>
    <col min="2" max="2" width="9" customWidth="1"/>
    <col min="3" max="3" width="17.85546875" customWidth="1"/>
    <col min="4" max="5" width="18.42578125" hidden="1" customWidth="1"/>
    <col min="6" max="6" width="24.28515625" hidden="1" customWidth="1"/>
    <col min="7" max="8" width="18.85546875" hidden="1" customWidth="1"/>
    <col min="9" max="9" width="23.5703125" hidden="1" customWidth="1"/>
    <col min="10" max="14" width="18.85546875" customWidth="1"/>
    <col min="15" max="15" width="20.28515625" customWidth="1"/>
    <col min="16" max="20" width="18.28515625" customWidth="1"/>
    <col min="21" max="26" width="18.28515625" hidden="1" customWidth="1"/>
    <col min="27" max="27" width="20.28515625" hidden="1" customWidth="1"/>
    <col min="28" max="29" width="24.140625" hidden="1" customWidth="1"/>
    <col min="30" max="45" width="20.28515625" hidden="1" customWidth="1"/>
    <col min="46" max="47" width="16.7109375" hidden="1" customWidth="1"/>
    <col min="48" max="48" width="18.7109375" hidden="1" customWidth="1"/>
    <col min="49" max="49" width="23.5703125" hidden="1" customWidth="1"/>
    <col min="50" max="50" width="21.28515625" hidden="1" customWidth="1"/>
    <col min="51" max="55" width="17.5703125" customWidth="1"/>
    <col min="56" max="58" width="17.5703125" hidden="1" customWidth="1"/>
    <col min="59" max="62" width="18" hidden="1" customWidth="1"/>
    <col min="63" max="63" width="9.5703125" hidden="1" customWidth="1"/>
    <col min="64" max="64" width="22.42578125" hidden="1" customWidth="1"/>
    <col min="65" max="65" width="17.140625" hidden="1" customWidth="1"/>
    <col min="66" max="66" width="15.140625" hidden="1" customWidth="1"/>
    <col min="67" max="67" width="18.140625" hidden="1" customWidth="1"/>
    <col min="68" max="68" width="18.85546875" hidden="1" customWidth="1"/>
    <col min="69" max="69" width="19.85546875" hidden="1" customWidth="1"/>
    <col min="70" max="70" width="15.140625" hidden="1" customWidth="1"/>
    <col min="71" max="71" width="22.85546875" hidden="1" customWidth="1"/>
    <col min="72" max="72" width="20.28515625" hidden="1" customWidth="1"/>
    <col min="73" max="74" width="21" hidden="1" customWidth="1"/>
    <col min="75" max="76" width="15.140625" hidden="1" customWidth="1"/>
    <col min="77" max="79" width="22" hidden="1" customWidth="1"/>
    <col min="80" max="81" width="21.140625" hidden="1" customWidth="1"/>
    <col min="82" max="82" width="20" hidden="1" customWidth="1"/>
    <col min="83" max="83" width="18" hidden="1" customWidth="1"/>
    <col min="84" max="84" width="21.7109375" hidden="1" customWidth="1"/>
    <col min="85" max="85" width="14.42578125" hidden="1" customWidth="1"/>
    <col min="86" max="86" width="13.5703125" hidden="1" customWidth="1"/>
    <col min="87" max="87" width="15" hidden="1" customWidth="1"/>
    <col min="88" max="89" width="9.140625" hidden="1" customWidth="1"/>
  </cols>
  <sheetData>
    <row r="1" spans="1:87" ht="18.75" x14ac:dyDescent="0.3">
      <c r="A1" s="123" t="s">
        <v>131</v>
      </c>
      <c r="B1" s="117"/>
      <c r="C1" s="124"/>
      <c r="D1" s="117"/>
      <c r="E1" s="581"/>
      <c r="F1" s="581"/>
      <c r="G1" s="581"/>
      <c r="H1" s="581">
        <v>307066119.22016066</v>
      </c>
      <c r="I1" s="583">
        <f>H16-H1</f>
        <v>-19.224745869636536</v>
      </c>
      <c r="J1" s="581"/>
      <c r="K1" s="581"/>
      <c r="L1" s="583">
        <f>K16+Q16+V16+Y16</f>
        <v>307066099.99541479</v>
      </c>
      <c r="M1" s="583"/>
      <c r="N1" s="583"/>
      <c r="O1" s="583"/>
      <c r="P1" s="581"/>
      <c r="Q1" s="583">
        <f>Q12+V12+Y12</f>
        <v>160399260.04041484</v>
      </c>
      <c r="R1" s="581">
        <f>Q1/55150</f>
        <v>2908.4181330990905</v>
      </c>
      <c r="S1" s="581"/>
      <c r="T1" s="581"/>
      <c r="U1" s="1282">
        <v>2687.8769000000002</v>
      </c>
      <c r="V1" s="1282">
        <f>2908.41813309909-V2</f>
        <v>2810.7849000029137</v>
      </c>
      <c r="W1" s="1282">
        <v>55150</v>
      </c>
      <c r="X1" s="581">
        <f>41150*V4</f>
        <v>119681406.17702757</v>
      </c>
      <c r="Y1" s="581"/>
      <c r="Z1" s="581"/>
      <c r="AA1" s="583"/>
      <c r="AB1" s="583"/>
      <c r="AC1" s="583"/>
      <c r="AD1" s="583"/>
      <c r="AE1" s="583"/>
      <c r="AF1" s="581"/>
      <c r="AG1" s="581"/>
      <c r="AH1" s="581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125"/>
      <c r="AV1" s="125"/>
      <c r="AW1" s="125"/>
      <c r="AX1" s="125"/>
      <c r="AY1" s="117"/>
      <c r="AZ1" s="117"/>
      <c r="BA1" s="117"/>
      <c r="BB1" s="117"/>
      <c r="BC1" s="117"/>
      <c r="BD1" s="117"/>
      <c r="BE1" s="117"/>
      <c r="BF1" s="117"/>
      <c r="BG1" s="117"/>
      <c r="BH1" s="117"/>
      <c r="BI1" s="117"/>
      <c r="BJ1" s="117"/>
      <c r="BK1" s="117"/>
      <c r="BL1" s="117"/>
      <c r="BM1" s="117"/>
      <c r="BN1" s="117"/>
      <c r="BO1" s="117"/>
      <c r="BP1" s="117"/>
      <c r="BQ1" s="117"/>
      <c r="BR1" s="117"/>
      <c r="BS1" s="117"/>
      <c r="BT1" s="117"/>
      <c r="BU1" s="117"/>
      <c r="BV1" s="117"/>
      <c r="BW1" s="117"/>
      <c r="BX1" s="117"/>
      <c r="BY1" s="531"/>
      <c r="BZ1" s="531"/>
      <c r="CA1" s="531"/>
      <c r="CB1" s="531"/>
      <c r="CC1" s="602"/>
      <c r="CD1" s="117"/>
      <c r="CE1" s="117"/>
      <c r="CF1" s="117"/>
      <c r="CG1" s="117"/>
      <c r="CH1" s="117"/>
      <c r="CI1" s="117"/>
    </row>
    <row r="2" spans="1:87" ht="18.75" x14ac:dyDescent="0.3">
      <c r="A2" s="123"/>
      <c r="B2" s="117"/>
      <c r="C2" s="124"/>
      <c r="D2" s="117"/>
      <c r="E2" s="581"/>
      <c r="F2" s="581"/>
      <c r="G2" s="581"/>
      <c r="H2" s="581"/>
      <c r="I2" s="583"/>
      <c r="J2" s="581"/>
      <c r="K2" s="581"/>
      <c r="L2" s="583"/>
      <c r="M2" s="583"/>
      <c r="N2" s="583"/>
      <c r="O2" s="583"/>
      <c r="P2" s="581"/>
      <c r="Q2" s="583"/>
      <c r="R2" s="581"/>
      <c r="S2" s="581"/>
      <c r="T2" s="581"/>
      <c r="U2" s="1282"/>
      <c r="V2" s="1282">
        <v>97.633233096176497</v>
      </c>
      <c r="W2" s="1282"/>
      <c r="X2" s="581"/>
      <c r="Y2" s="581"/>
      <c r="Z2" s="581"/>
      <c r="AA2" s="583"/>
      <c r="AB2" s="583"/>
      <c r="AC2" s="583"/>
      <c r="AD2" s="583"/>
      <c r="AE2" s="583"/>
      <c r="AF2" s="581"/>
      <c r="AG2" s="581"/>
      <c r="AH2" s="581"/>
      <c r="AI2" s="117"/>
      <c r="AJ2" s="117"/>
      <c r="AK2" s="117"/>
      <c r="AL2" s="117"/>
      <c r="AM2" s="117"/>
      <c r="AN2" s="117"/>
      <c r="AO2" s="581">
        <v>6484832.3303290457</v>
      </c>
      <c r="AP2" s="117"/>
      <c r="AQ2" s="117"/>
      <c r="AR2" s="117"/>
      <c r="AS2" s="117"/>
      <c r="AT2" s="117"/>
      <c r="AU2" s="125"/>
      <c r="AV2" s="125"/>
      <c r="AW2" s="125"/>
      <c r="AX2" s="125"/>
      <c r="AY2" s="117"/>
      <c r="AZ2" s="117"/>
      <c r="BA2" s="117"/>
      <c r="BB2" s="117"/>
      <c r="BC2" s="117"/>
      <c r="BD2" s="117"/>
      <c r="BE2" s="117"/>
      <c r="BF2" s="117"/>
      <c r="BG2" s="117"/>
      <c r="BH2" s="117"/>
      <c r="BI2" s="117"/>
      <c r="BJ2" s="581">
        <v>12585632.873636365</v>
      </c>
      <c r="BK2" s="117"/>
      <c r="BL2" s="117"/>
      <c r="BM2" s="117"/>
      <c r="BN2" s="117"/>
      <c r="BO2" s="117"/>
      <c r="BP2" s="117"/>
      <c r="BQ2" s="117"/>
      <c r="BR2" s="117"/>
      <c r="BS2" s="117"/>
      <c r="BT2" s="117"/>
      <c r="BU2" s="117"/>
      <c r="BV2" s="117"/>
      <c r="BW2" s="117"/>
      <c r="BX2" s="117"/>
      <c r="BY2" s="531"/>
      <c r="BZ2" s="531"/>
      <c r="CA2" s="531"/>
      <c r="CB2" s="531"/>
      <c r="CC2" s="602"/>
      <c r="CD2" s="117"/>
      <c r="CE2" s="117"/>
      <c r="CF2" s="117"/>
      <c r="CG2" s="117"/>
      <c r="CH2" s="117"/>
      <c r="CI2" s="117"/>
    </row>
    <row r="3" spans="1:87" ht="18.75" x14ac:dyDescent="0.3">
      <c r="A3" s="126" t="s">
        <v>132</v>
      </c>
      <c r="B3" s="117"/>
      <c r="C3" s="124"/>
      <c r="D3" s="117"/>
      <c r="E3" s="583">
        <f>'[3]ПФХД 2019 с разбивкой  (4)'!E11</f>
        <v>2885172104.5799999</v>
      </c>
      <c r="F3" s="1283">
        <v>88396500</v>
      </c>
      <c r="G3" s="583">
        <f>F15-I15</f>
        <v>15152790.090000093</v>
      </c>
      <c r="H3" s="581">
        <f>H16/55150</f>
        <v>5567.8349953837678</v>
      </c>
      <c r="I3" s="581">
        <v>307066119.2202</v>
      </c>
      <c r="J3" s="583">
        <f>I3-H12</f>
        <v>19.224785208702087</v>
      </c>
      <c r="K3" s="581">
        <v>88396500</v>
      </c>
      <c r="L3" s="1282">
        <f>L1/55150</f>
        <v>5567.8349953837678</v>
      </c>
      <c r="M3" s="1282"/>
      <c r="N3" s="1282"/>
      <c r="O3" s="1282"/>
      <c r="P3" s="581">
        <f>(Q16+V16+Y16)/55150</f>
        <v>2908.4181330990905</v>
      </c>
      <c r="Q3" s="581">
        <v>42348127.649999999</v>
      </c>
      <c r="R3" s="583">
        <f>Q27-Q3</f>
        <v>12806244.719999999</v>
      </c>
      <c r="S3" s="583"/>
      <c r="T3" s="583"/>
      <c r="U3" s="581"/>
      <c r="V3" s="581">
        <f>V12/12000</f>
        <v>2908.4181330990905</v>
      </c>
      <c r="W3" s="581"/>
      <c r="X3" s="581"/>
      <c r="Y3" s="581">
        <f>Y24/2000</f>
        <v>2908.4181330990896</v>
      </c>
      <c r="Z3" s="581"/>
      <c r="AA3" s="583"/>
      <c r="AB3" s="583"/>
      <c r="AC3" s="583"/>
      <c r="AD3" s="583"/>
      <c r="AE3" s="583"/>
      <c r="AF3" s="581"/>
      <c r="AG3" s="581"/>
      <c r="AH3" s="581"/>
      <c r="AI3" s="117"/>
      <c r="AJ3" s="117"/>
      <c r="AK3" s="117"/>
      <c r="AL3" s="117"/>
      <c r="AM3" s="117"/>
      <c r="AN3" s="117"/>
      <c r="AO3" s="581">
        <v>1958419.3637593717</v>
      </c>
      <c r="AP3" s="117"/>
      <c r="AQ3" s="117"/>
      <c r="AR3" s="117"/>
      <c r="AS3" s="117"/>
      <c r="AT3" s="117"/>
      <c r="AU3" s="125"/>
      <c r="AV3" s="125"/>
      <c r="AW3" s="125"/>
      <c r="AX3" s="125"/>
      <c r="AY3" s="117"/>
      <c r="AZ3" s="117"/>
      <c r="BA3" s="117"/>
      <c r="BB3" s="117"/>
      <c r="BC3" s="117"/>
      <c r="BD3" s="117"/>
      <c r="BE3" s="117"/>
      <c r="BF3" s="117"/>
      <c r="BG3" s="117"/>
      <c r="BH3" s="117"/>
      <c r="BI3" s="117"/>
      <c r="BJ3" s="583">
        <f>BJ2-BI12</f>
        <v>3.6363638937473297E-3</v>
      </c>
      <c r="BK3" s="117"/>
      <c r="BL3" s="127" t="s">
        <v>240</v>
      </c>
      <c r="BM3" s="127" t="s">
        <v>241</v>
      </c>
      <c r="BN3" s="117"/>
      <c r="BO3" s="117"/>
      <c r="BP3" s="117"/>
      <c r="BQ3" s="117"/>
      <c r="BR3" s="117"/>
      <c r="BS3" s="117"/>
      <c r="BT3" s="117"/>
      <c r="BU3" s="117"/>
      <c r="BV3" s="117"/>
      <c r="BW3" s="117"/>
      <c r="BX3" s="117"/>
      <c r="BY3" s="531"/>
      <c r="BZ3" s="531"/>
      <c r="CA3" s="531"/>
      <c r="CB3" s="531"/>
      <c r="CC3" s="602"/>
      <c r="CD3" s="117"/>
      <c r="CE3" s="117"/>
      <c r="CF3" s="117"/>
      <c r="CG3" s="117"/>
      <c r="CH3" s="117"/>
      <c r="CI3" s="117"/>
    </row>
    <row r="4" spans="1:87" ht="19.5" thickBot="1" x14ac:dyDescent="0.35">
      <c r="A4" s="126"/>
      <c r="B4" s="117"/>
      <c r="C4" s="124"/>
      <c r="D4" s="117"/>
      <c r="E4" s="583">
        <f>E12-E3</f>
        <v>-2173180674.4745851</v>
      </c>
      <c r="F4" s="583">
        <f>F12-'[3]ПФХД 2019 с разбивкой  (4)'!F11</f>
        <v>-901136874.46458483</v>
      </c>
      <c r="G4" s="581"/>
      <c r="H4" s="581"/>
      <c r="I4" s="581"/>
      <c r="J4" s="581"/>
      <c r="K4" s="583">
        <f>K3-I16</f>
        <v>4.5852065086364746E-3</v>
      </c>
      <c r="L4" s="581"/>
      <c r="M4" s="581"/>
      <c r="N4" s="581"/>
      <c r="O4" s="581"/>
      <c r="P4" s="581">
        <f>K16/55150</f>
        <v>2659.4168622846778</v>
      </c>
      <c r="Q4" s="581">
        <f>Q16/41150</f>
        <v>2908.4181330990905</v>
      </c>
      <c r="R4" s="581"/>
      <c r="S4" s="581"/>
      <c r="T4" s="581"/>
      <c r="U4" s="581"/>
      <c r="V4" s="581">
        <f>V16/12000</f>
        <v>2908.4181330990905</v>
      </c>
      <c r="W4" s="581"/>
      <c r="X4" s="581"/>
      <c r="Y4" s="581">
        <f>Y16/2000</f>
        <v>2908.41813309909</v>
      </c>
      <c r="Z4" s="581">
        <f>V4*2000</f>
        <v>5816836.2661981806</v>
      </c>
      <c r="AA4" s="583"/>
      <c r="AB4" s="583"/>
      <c r="AC4" s="583"/>
      <c r="AD4" s="583"/>
      <c r="AE4" s="583"/>
      <c r="AF4" s="581"/>
      <c r="AG4" s="581"/>
      <c r="AH4" s="581"/>
      <c r="AI4" s="117"/>
      <c r="AJ4" s="117"/>
      <c r="AK4" s="117"/>
      <c r="AL4" s="117"/>
      <c r="AM4" s="117"/>
      <c r="AN4" s="117"/>
      <c r="AO4" s="117"/>
      <c r="AP4" s="117"/>
      <c r="AQ4" s="117"/>
      <c r="AR4" s="117"/>
      <c r="AS4" s="117"/>
      <c r="AT4" s="117"/>
      <c r="AU4" s="125"/>
      <c r="AV4" s="125"/>
      <c r="AW4" s="125"/>
      <c r="AX4" s="125"/>
      <c r="AY4" s="117"/>
      <c r="AZ4" s="117"/>
      <c r="BA4" s="117"/>
      <c r="BB4" s="117"/>
      <c r="BC4" s="117"/>
      <c r="BD4" s="117"/>
      <c r="BE4" s="117"/>
      <c r="BF4" s="117"/>
      <c r="BG4" s="117"/>
      <c r="BH4" s="117"/>
      <c r="BI4" s="117"/>
      <c r="BJ4" s="117"/>
      <c r="BK4" s="117"/>
      <c r="BL4" s="1055"/>
      <c r="BM4" s="1055"/>
      <c r="BN4" s="117"/>
      <c r="BO4" s="117"/>
      <c r="BP4" s="117"/>
      <c r="BQ4" s="117"/>
      <c r="BR4" s="117"/>
      <c r="BS4" s="117"/>
      <c r="BT4" s="117"/>
      <c r="BU4" s="117"/>
      <c r="BV4" s="117"/>
      <c r="BW4" s="117"/>
      <c r="BX4" s="117"/>
      <c r="BY4" s="531"/>
      <c r="BZ4" s="531"/>
      <c r="CA4" s="531"/>
      <c r="CB4" s="531"/>
      <c r="CC4" s="602"/>
      <c r="CD4" s="117"/>
      <c r="CE4" s="117"/>
      <c r="CF4" s="117"/>
      <c r="CG4" s="117"/>
      <c r="CH4" s="117"/>
      <c r="CI4" s="117"/>
    </row>
    <row r="5" spans="1:87" ht="19.5" hidden="1" thickBot="1" x14ac:dyDescent="0.35">
      <c r="A5" s="126"/>
      <c r="B5" s="117"/>
      <c r="C5" s="124"/>
      <c r="D5" s="117"/>
      <c r="E5" s="111">
        <f>E24-E12+E77</f>
        <v>29007760.579025507</v>
      </c>
      <c r="F5" s="111"/>
      <c r="G5" s="117"/>
      <c r="H5" s="111">
        <f>'[3]расчет норматив'!J32</f>
        <v>218669599.31117821</v>
      </c>
      <c r="I5" s="111">
        <f>H12-H24</f>
        <v>-18827921.139025509</v>
      </c>
      <c r="J5" s="117"/>
      <c r="K5" s="117"/>
      <c r="L5" s="117"/>
      <c r="M5" s="117"/>
      <c r="N5" s="117"/>
      <c r="O5" s="117"/>
      <c r="P5" s="117"/>
      <c r="Q5" s="111">
        <f>'[3]расчет норматив'!Z6+анализ!Q76</f>
        <v>73111481.358586103</v>
      </c>
      <c r="R5" s="117"/>
      <c r="S5" s="117"/>
      <c r="T5" s="117"/>
      <c r="U5" s="117"/>
      <c r="V5" s="117" t="b">
        <f>V12='[3]расчет норматив'!AA6</f>
        <v>0</v>
      </c>
      <c r="W5" s="117"/>
      <c r="X5" s="117"/>
      <c r="Y5" s="117"/>
      <c r="Z5" s="117"/>
      <c r="AA5" s="111">
        <f>AA12-AA24</f>
        <v>0</v>
      </c>
      <c r="AB5" s="111">
        <f>AA5+AA76</f>
        <v>0</v>
      </c>
      <c r="AC5" s="111"/>
      <c r="AD5" s="111"/>
      <c r="AE5" s="111"/>
      <c r="AF5" s="128"/>
      <c r="AG5" s="128"/>
      <c r="AH5" s="117"/>
      <c r="AI5" s="128"/>
      <c r="AJ5" s="128"/>
      <c r="AK5" s="117"/>
      <c r="AL5" s="117"/>
      <c r="AM5" s="117"/>
      <c r="AN5" s="117"/>
      <c r="AO5" s="117"/>
      <c r="AP5" s="117"/>
      <c r="AQ5" s="117"/>
      <c r="AR5" s="117"/>
      <c r="AS5" s="117"/>
      <c r="AT5" s="117"/>
      <c r="AU5" s="125"/>
      <c r="AV5" s="125"/>
      <c r="AW5" s="125"/>
      <c r="AX5" s="125"/>
      <c r="AY5" s="111"/>
      <c r="AZ5" s="111"/>
      <c r="BA5" s="111"/>
      <c r="BB5" s="111"/>
      <c r="BC5" s="111"/>
      <c r="BD5" s="117"/>
      <c r="BE5" s="117"/>
      <c r="BF5" s="117"/>
      <c r="BG5" s="117"/>
      <c r="BH5" s="117"/>
      <c r="BI5" s="117"/>
      <c r="BJ5" s="117"/>
      <c r="BK5" s="117"/>
      <c r="BL5" s="117"/>
      <c r="BM5" s="117"/>
      <c r="BN5" s="117"/>
      <c r="BO5" s="117"/>
      <c r="BP5" s="117"/>
      <c r="BQ5" s="117"/>
      <c r="BR5" s="117"/>
      <c r="BS5" s="117"/>
      <c r="BT5" s="117"/>
      <c r="BU5" s="117"/>
      <c r="BV5" s="117"/>
      <c r="BW5" s="117"/>
      <c r="BX5" s="117"/>
      <c r="BY5" s="531"/>
      <c r="BZ5" s="531"/>
      <c r="CA5" s="531"/>
      <c r="CB5" s="531"/>
      <c r="CC5" s="602"/>
      <c r="CD5" s="117"/>
      <c r="CE5" s="117"/>
      <c r="CF5" s="117"/>
      <c r="CG5" s="117"/>
      <c r="CH5" s="117"/>
      <c r="CI5" s="117"/>
    </row>
    <row r="6" spans="1:87" ht="19.5" hidden="1" thickBot="1" x14ac:dyDescent="0.35">
      <c r="A6" s="129"/>
      <c r="B6" s="117"/>
      <c r="C6" s="124"/>
      <c r="D6" s="117"/>
      <c r="E6" s="117"/>
      <c r="F6" s="117"/>
      <c r="G6" s="117"/>
      <c r="H6" s="117"/>
      <c r="I6" s="117"/>
      <c r="J6" s="117"/>
      <c r="K6" s="117"/>
      <c r="L6" s="117"/>
      <c r="M6" s="117"/>
      <c r="N6" s="117"/>
      <c r="O6" s="117"/>
      <c r="P6" s="117"/>
      <c r="Q6" s="117"/>
      <c r="R6" s="111">
        <f>P12+U12</f>
        <v>113643500</v>
      </c>
      <c r="S6" s="111"/>
      <c r="T6" s="111"/>
      <c r="U6" s="117">
        <f>R6/2906.41</f>
        <v>39100.987128450564</v>
      </c>
      <c r="V6" s="111">
        <f>Q12+V12</f>
        <v>154582423.77421665</v>
      </c>
      <c r="W6" s="117"/>
      <c r="X6" s="117"/>
      <c r="Y6" s="117"/>
      <c r="Z6" s="117"/>
      <c r="AA6" s="117"/>
      <c r="AB6" s="117"/>
      <c r="AC6" s="117"/>
      <c r="AD6" s="117"/>
      <c r="AE6" s="117"/>
      <c r="AF6" s="117"/>
      <c r="AG6" s="117"/>
      <c r="AH6" s="117"/>
      <c r="AI6" s="117"/>
      <c r="AJ6" s="117"/>
      <c r="AK6" s="117"/>
      <c r="AL6" s="117"/>
      <c r="AM6" s="117"/>
      <c r="AN6" s="117"/>
      <c r="AO6" s="117"/>
      <c r="AP6" s="117"/>
      <c r="AQ6" s="117"/>
      <c r="AR6" s="117"/>
      <c r="AS6" s="117"/>
      <c r="AT6" s="117"/>
      <c r="AU6" s="125"/>
      <c r="AV6" s="125"/>
      <c r="AW6" s="125"/>
      <c r="AX6" s="125"/>
      <c r="AY6" s="111"/>
      <c r="AZ6" s="111"/>
      <c r="BA6" s="111"/>
      <c r="BB6" s="111"/>
      <c r="BC6" s="111"/>
      <c r="BD6" s="117"/>
      <c r="BE6" s="117"/>
      <c r="BF6" s="117"/>
      <c r="BG6" s="117"/>
      <c r="BH6" s="117"/>
      <c r="BI6" s="117"/>
      <c r="BJ6" s="117"/>
      <c r="BK6" s="117"/>
      <c r="BL6" s="117"/>
      <c r="BM6" s="117"/>
      <c r="BN6" s="117"/>
      <c r="BO6" s="117"/>
      <c r="BP6" s="117"/>
      <c r="BQ6" s="117"/>
      <c r="BR6" s="117"/>
      <c r="BS6" s="117"/>
      <c r="BT6" s="117"/>
      <c r="BU6" s="117"/>
      <c r="BV6" s="117"/>
      <c r="BW6" s="117"/>
      <c r="BX6" s="117"/>
      <c r="BY6" s="531"/>
      <c r="BZ6" s="531"/>
      <c r="CA6" s="531"/>
      <c r="CB6" s="531"/>
      <c r="CC6" s="602"/>
      <c r="CD6" s="117"/>
      <c r="CE6" s="117"/>
      <c r="CF6" s="117"/>
      <c r="CG6" s="117"/>
      <c r="CH6" s="117"/>
      <c r="CI6" s="117"/>
    </row>
    <row r="7" spans="1:87" ht="19.5" customHeight="1" thickBot="1" x14ac:dyDescent="0.35">
      <c r="A7" s="1453" t="s">
        <v>88</v>
      </c>
      <c r="B7" s="1439" t="s">
        <v>133</v>
      </c>
      <c r="C7" s="1440" t="s">
        <v>134</v>
      </c>
      <c r="D7" s="1460" t="s">
        <v>135</v>
      </c>
      <c r="E7" s="1461"/>
      <c r="F7" s="1461"/>
      <c r="G7" s="1461"/>
      <c r="H7" s="1461"/>
      <c r="I7" s="1461"/>
      <c r="J7" s="1461"/>
      <c r="K7" s="1461"/>
      <c r="L7" s="1461"/>
      <c r="M7" s="1461"/>
      <c r="N7" s="1461"/>
      <c r="O7" s="1461"/>
      <c r="P7" s="1461"/>
      <c r="Q7" s="1461"/>
      <c r="R7" s="1461"/>
      <c r="S7" s="1461"/>
      <c r="T7" s="1461"/>
      <c r="U7" s="1461"/>
      <c r="V7" s="1461"/>
      <c r="W7" s="1461"/>
      <c r="X7" s="1461"/>
      <c r="Y7" s="1461"/>
      <c r="Z7" s="1461"/>
      <c r="AA7" s="1461"/>
      <c r="AB7" s="1461"/>
      <c r="AC7" s="1461"/>
      <c r="AD7" s="1461"/>
      <c r="AE7" s="1461"/>
      <c r="AF7" s="1461"/>
      <c r="AG7" s="1461"/>
      <c r="AH7" s="1461"/>
      <c r="AI7" s="1461"/>
      <c r="AJ7" s="1461"/>
      <c r="AK7" s="1461"/>
      <c r="AL7" s="1461"/>
      <c r="AM7" s="1461"/>
      <c r="AN7" s="1461"/>
      <c r="AO7" s="1461"/>
      <c r="AP7" s="1461"/>
      <c r="AQ7" s="1461"/>
      <c r="AR7" s="1461"/>
      <c r="AS7" s="1461"/>
      <c r="AT7" s="1461"/>
      <c r="AU7" s="1461"/>
      <c r="AV7" s="1461"/>
      <c r="AW7" s="1461"/>
      <c r="AX7" s="1461"/>
      <c r="AY7" s="1461"/>
      <c r="AZ7" s="1461"/>
      <c r="BA7" s="1461"/>
      <c r="BB7" s="1461"/>
      <c r="BC7" s="1461"/>
      <c r="BD7" s="1461"/>
      <c r="BE7" s="1461"/>
      <c r="BF7" s="1461"/>
      <c r="BG7" s="1461"/>
      <c r="BH7" s="1461"/>
      <c r="BI7" s="1461"/>
      <c r="BJ7" s="1462"/>
      <c r="BK7" s="117"/>
      <c r="BL7" s="117"/>
      <c r="BM7" s="117"/>
      <c r="BN7" s="117"/>
      <c r="BO7" s="117"/>
      <c r="BP7" s="117"/>
      <c r="BQ7" s="117"/>
      <c r="BR7" s="117"/>
      <c r="BS7" s="117"/>
      <c r="BT7" s="117"/>
      <c r="BU7" s="117"/>
      <c r="BV7" s="117"/>
      <c r="BW7" s="117"/>
      <c r="BX7" s="117"/>
      <c r="BY7" s="531"/>
      <c r="BZ7" s="531"/>
      <c r="CA7" s="531"/>
      <c r="CB7" s="531"/>
      <c r="CC7" s="602"/>
      <c r="CD7" s="117"/>
      <c r="CE7" s="117"/>
      <c r="CF7" s="117"/>
      <c r="CG7" s="117"/>
      <c r="CH7" s="117"/>
      <c r="CI7" s="117"/>
    </row>
    <row r="8" spans="1:87" ht="15.75" customHeight="1" thickBot="1" x14ac:dyDescent="0.35">
      <c r="A8" s="1454"/>
      <c r="B8" s="1383"/>
      <c r="C8" s="1441"/>
      <c r="D8" s="1506" t="s">
        <v>136</v>
      </c>
      <c r="E8" s="1439" t="s">
        <v>402</v>
      </c>
      <c r="F8" s="1440" t="s">
        <v>395</v>
      </c>
      <c r="G8" s="1460" t="s">
        <v>137</v>
      </c>
      <c r="H8" s="1461"/>
      <c r="I8" s="1461"/>
      <c r="J8" s="1461"/>
      <c r="K8" s="1461"/>
      <c r="L8" s="1461"/>
      <c r="M8" s="1461"/>
      <c r="N8" s="1461"/>
      <c r="O8" s="1461"/>
      <c r="P8" s="1461"/>
      <c r="Q8" s="1461"/>
      <c r="R8" s="1461"/>
      <c r="S8" s="1461"/>
      <c r="T8" s="1461"/>
      <c r="U8" s="1461"/>
      <c r="V8" s="1461"/>
      <c r="W8" s="1461"/>
      <c r="X8" s="1461"/>
      <c r="Y8" s="1461"/>
      <c r="Z8" s="1461"/>
      <c r="AA8" s="1461"/>
      <c r="AB8" s="1461"/>
      <c r="AC8" s="1461"/>
      <c r="AD8" s="1461"/>
      <c r="AE8" s="1461"/>
      <c r="AF8" s="1461"/>
      <c r="AG8" s="1461"/>
      <c r="AH8" s="1461"/>
      <c r="AI8" s="1461"/>
      <c r="AJ8" s="1461"/>
      <c r="AK8" s="1461"/>
      <c r="AL8" s="1461"/>
      <c r="AM8" s="1461"/>
      <c r="AN8" s="1461"/>
      <c r="AO8" s="1461"/>
      <c r="AP8" s="1461"/>
      <c r="AQ8" s="1461"/>
      <c r="AR8" s="1461"/>
      <c r="AS8" s="1461"/>
      <c r="AT8" s="1461"/>
      <c r="AU8" s="1461"/>
      <c r="AV8" s="1461"/>
      <c r="AW8" s="1461"/>
      <c r="AX8" s="1461"/>
      <c r="AY8" s="1461"/>
      <c r="AZ8" s="1461"/>
      <c r="BA8" s="1461"/>
      <c r="BB8" s="1461"/>
      <c r="BC8" s="1461"/>
      <c r="BD8" s="1461"/>
      <c r="BE8" s="1461"/>
      <c r="BF8" s="1461"/>
      <c r="BG8" s="1461"/>
      <c r="BH8" s="1461"/>
      <c r="BI8" s="1461"/>
      <c r="BJ8" s="1462"/>
      <c r="BK8" s="117"/>
      <c r="BL8" s="117"/>
      <c r="BM8" s="117"/>
      <c r="BN8" s="117"/>
      <c r="BO8" s="117"/>
      <c r="BP8" s="117"/>
      <c r="BQ8" s="117"/>
      <c r="BR8" s="117"/>
      <c r="BS8" s="117"/>
      <c r="BT8" s="117"/>
      <c r="BU8" s="117"/>
      <c r="BV8" s="117"/>
      <c r="BW8" s="117"/>
      <c r="BX8" s="117"/>
      <c r="BY8" s="531"/>
      <c r="BZ8" s="531"/>
      <c r="CA8" s="531"/>
      <c r="CB8" s="531"/>
      <c r="CC8" s="602"/>
      <c r="CD8" s="117"/>
      <c r="CE8" s="117"/>
      <c r="CF8" s="117"/>
      <c r="CG8" s="117"/>
      <c r="CH8" s="117"/>
      <c r="CI8" s="117"/>
    </row>
    <row r="9" spans="1:87" ht="96" customHeight="1" thickBot="1" x14ac:dyDescent="0.35">
      <c r="A9" s="1454"/>
      <c r="B9" s="1383"/>
      <c r="C9" s="1441"/>
      <c r="D9" s="1507"/>
      <c r="E9" s="1383"/>
      <c r="F9" s="1441"/>
      <c r="G9" s="1508" t="s">
        <v>138</v>
      </c>
      <c r="H9" s="1510" t="s">
        <v>397</v>
      </c>
      <c r="I9" s="1511" t="s">
        <v>395</v>
      </c>
      <c r="J9" s="1433" t="s">
        <v>996</v>
      </c>
      <c r="K9" s="1433"/>
      <c r="L9" s="1433"/>
      <c r="M9" s="1433"/>
      <c r="N9" s="1433"/>
      <c r="O9" s="1433"/>
      <c r="P9" s="1433"/>
      <c r="Q9" s="1433"/>
      <c r="R9" s="1433"/>
      <c r="S9" s="1433"/>
      <c r="T9" s="1433"/>
      <c r="U9" s="1433"/>
      <c r="V9" s="1433"/>
      <c r="W9" s="1433"/>
      <c r="X9" s="1298"/>
      <c r="Y9" s="1298"/>
      <c r="Z9" s="1298"/>
      <c r="AA9" s="1429"/>
      <c r="AB9" s="1436"/>
      <c r="AC9" s="1444"/>
      <c r="AD9" s="1431"/>
      <c r="AE9" s="1425"/>
      <c r="AF9" s="1449"/>
      <c r="AG9" s="1451"/>
      <c r="AH9" s="1455"/>
      <c r="AI9" s="1449"/>
      <c r="AJ9" s="1451"/>
      <c r="AK9" s="1425"/>
      <c r="AL9" s="1449"/>
      <c r="AM9" s="1451"/>
      <c r="AN9" s="1448"/>
      <c r="AO9" s="1449"/>
      <c r="AP9" s="1451"/>
      <c r="AQ9" s="1448"/>
      <c r="AR9" s="1449"/>
      <c r="AS9" s="1451"/>
      <c r="AT9" s="1465"/>
      <c r="AU9" s="1467"/>
      <c r="AV9" s="1457" t="s">
        <v>145</v>
      </c>
      <c r="AW9" s="1458"/>
      <c r="AX9" s="1458"/>
      <c r="AY9" s="1513"/>
      <c r="AZ9" s="1513"/>
      <c r="BA9" s="1513"/>
      <c r="BB9" s="1513"/>
      <c r="BC9" s="1513"/>
      <c r="BD9" s="1458"/>
      <c r="BE9" s="1458"/>
      <c r="BF9" s="1458"/>
      <c r="BG9" s="1458"/>
      <c r="BH9" s="1458"/>
      <c r="BI9" s="1458"/>
      <c r="BJ9" s="1459"/>
      <c r="BK9" s="117"/>
      <c r="BL9" s="117"/>
      <c r="BM9" s="117"/>
      <c r="BN9" s="117"/>
      <c r="BO9" s="117"/>
      <c r="BP9" s="117"/>
      <c r="BQ9" s="117"/>
      <c r="BR9" s="117"/>
      <c r="BS9" s="1463" t="s">
        <v>506</v>
      </c>
      <c r="BT9" s="1464"/>
      <c r="BU9" s="1463" t="s">
        <v>197</v>
      </c>
      <c r="BV9" s="1464"/>
      <c r="BW9" s="117"/>
      <c r="BX9" s="117"/>
      <c r="BY9" s="531"/>
      <c r="BZ9" s="531"/>
      <c r="CA9" s="531"/>
      <c r="CB9" s="531"/>
      <c r="CC9" s="1463" t="s">
        <v>506</v>
      </c>
      <c r="CD9" s="1464"/>
      <c r="CE9" s="1463" t="s">
        <v>197</v>
      </c>
      <c r="CF9" s="1464"/>
      <c r="CG9" s="117"/>
      <c r="CH9" s="117"/>
      <c r="CI9" s="117"/>
    </row>
    <row r="10" spans="1:87" ht="114.75" customHeight="1" x14ac:dyDescent="0.3">
      <c r="A10" s="1454"/>
      <c r="B10" s="1383"/>
      <c r="C10" s="1441"/>
      <c r="D10" s="1507"/>
      <c r="E10" s="1383"/>
      <c r="F10" s="1441"/>
      <c r="G10" s="1509"/>
      <c r="H10" s="1435"/>
      <c r="I10" s="1438"/>
      <c r="J10" s="1302" t="s">
        <v>235</v>
      </c>
      <c r="K10" s="1303" t="s">
        <v>993</v>
      </c>
      <c r="L10" s="1303" t="s">
        <v>395</v>
      </c>
      <c r="M10" s="1304" t="s">
        <v>997</v>
      </c>
      <c r="N10" s="1303" t="s">
        <v>998</v>
      </c>
      <c r="O10" s="1305" t="s">
        <v>999</v>
      </c>
      <c r="P10" s="1302" t="s">
        <v>365</v>
      </c>
      <c r="Q10" s="1303" t="s">
        <v>398</v>
      </c>
      <c r="R10" s="1303" t="s">
        <v>395</v>
      </c>
      <c r="S10" s="1303" t="s">
        <v>1000</v>
      </c>
      <c r="T10" s="1301" t="s">
        <v>999</v>
      </c>
      <c r="U10" s="311" t="s">
        <v>366</v>
      </c>
      <c r="V10" s="311" t="s">
        <v>399</v>
      </c>
      <c r="W10" s="312" t="s">
        <v>396</v>
      </c>
      <c r="X10" s="288" t="s">
        <v>984</v>
      </c>
      <c r="Y10" s="311" t="s">
        <v>992</v>
      </c>
      <c r="Z10" s="312" t="s">
        <v>396</v>
      </c>
      <c r="AA10" s="1430"/>
      <c r="AB10" s="1426"/>
      <c r="AC10" s="1445"/>
      <c r="AD10" s="1432"/>
      <c r="AE10" s="1426"/>
      <c r="AF10" s="1450"/>
      <c r="AG10" s="1452"/>
      <c r="AH10" s="1456"/>
      <c r="AI10" s="1450"/>
      <c r="AJ10" s="1452"/>
      <c r="AK10" s="1426"/>
      <c r="AL10" s="1450"/>
      <c r="AM10" s="1452"/>
      <c r="AN10" s="1430"/>
      <c r="AO10" s="1450"/>
      <c r="AP10" s="1452"/>
      <c r="AQ10" s="1430"/>
      <c r="AR10" s="1450"/>
      <c r="AS10" s="1452"/>
      <c r="AT10" s="1466"/>
      <c r="AU10" s="1468"/>
      <c r="AV10" s="329" t="s">
        <v>364</v>
      </c>
      <c r="AW10" s="330" t="s">
        <v>406</v>
      </c>
      <c r="AX10" s="1011" t="s">
        <v>395</v>
      </c>
      <c r="AY10" s="329" t="s">
        <v>139</v>
      </c>
      <c r="AZ10" s="330" t="s">
        <v>401</v>
      </c>
      <c r="BA10" s="330" t="s">
        <v>395</v>
      </c>
      <c r="BB10" s="1011" t="s">
        <v>1000</v>
      </c>
      <c r="BC10" s="331" t="s">
        <v>999</v>
      </c>
      <c r="BD10" s="389" t="s">
        <v>146</v>
      </c>
      <c r="BE10" s="330" t="s">
        <v>400</v>
      </c>
      <c r="BF10" s="331" t="s">
        <v>395</v>
      </c>
      <c r="BG10" s="537" t="s">
        <v>147</v>
      </c>
      <c r="BH10" s="329" t="s">
        <v>915</v>
      </c>
      <c r="BI10" s="330" t="s">
        <v>916</v>
      </c>
      <c r="BJ10" s="331" t="s">
        <v>395</v>
      </c>
      <c r="BK10" s="117"/>
      <c r="BL10" s="117"/>
      <c r="BM10" s="117"/>
      <c r="BN10" s="117"/>
      <c r="BO10" s="608" t="s">
        <v>507</v>
      </c>
      <c r="BP10" s="627" t="s">
        <v>508</v>
      </c>
      <c r="BQ10" s="627" t="s">
        <v>395</v>
      </c>
      <c r="BR10" s="627" t="s">
        <v>509</v>
      </c>
      <c r="BS10" s="612" t="s">
        <v>505</v>
      </c>
      <c r="BT10" s="613" t="s">
        <v>395</v>
      </c>
      <c r="BU10" s="612" t="s">
        <v>505</v>
      </c>
      <c r="BV10" s="613" t="s">
        <v>395</v>
      </c>
      <c r="BW10" s="117"/>
      <c r="BX10" s="117"/>
      <c r="BY10" s="608" t="s">
        <v>507</v>
      </c>
      <c r="BZ10" s="627" t="s">
        <v>508</v>
      </c>
      <c r="CA10" s="627" t="s">
        <v>395</v>
      </c>
      <c r="CB10" s="627" t="s">
        <v>509</v>
      </c>
      <c r="CC10" s="612" t="s">
        <v>505</v>
      </c>
      <c r="CD10" s="613" t="s">
        <v>395</v>
      </c>
      <c r="CE10" s="612" t="s">
        <v>505</v>
      </c>
      <c r="CF10" s="613" t="s">
        <v>395</v>
      </c>
      <c r="CG10" s="117"/>
      <c r="CH10" s="117"/>
      <c r="CI10" s="117"/>
    </row>
    <row r="11" spans="1:87" ht="18.75" x14ac:dyDescent="0.3">
      <c r="A11" s="408">
        <v>1</v>
      </c>
      <c r="B11" s="1295">
        <v>2</v>
      </c>
      <c r="C11" s="1299">
        <v>3</v>
      </c>
      <c r="D11" s="408">
        <v>4</v>
      </c>
      <c r="E11" s="1295"/>
      <c r="F11" s="409"/>
      <c r="G11" s="291">
        <v>5</v>
      </c>
      <c r="H11" s="156"/>
      <c r="I11" s="666"/>
      <c r="J11" s="291"/>
      <c r="K11" s="156"/>
      <c r="L11" s="156"/>
      <c r="M11" s="156"/>
      <c r="N11" s="156"/>
      <c r="O11" s="666"/>
      <c r="P11" s="291"/>
      <c r="Q11" s="156"/>
      <c r="R11" s="156"/>
      <c r="S11" s="156"/>
      <c r="T11" s="292"/>
      <c r="U11" s="282"/>
      <c r="V11" s="282"/>
      <c r="W11" s="313"/>
      <c r="X11" s="291"/>
      <c r="Y11" s="282"/>
      <c r="Z11" s="313"/>
      <c r="AA11" s="275"/>
      <c r="AB11" s="306"/>
      <c r="AC11" s="371"/>
      <c r="AD11" s="524"/>
      <c r="AE11" s="522"/>
      <c r="AF11" s="385"/>
      <c r="AG11" s="387"/>
      <c r="AH11" s="378"/>
      <c r="AI11" s="385"/>
      <c r="AJ11" s="387"/>
      <c r="AK11" s="522"/>
      <c r="AL11" s="385"/>
      <c r="AM11" s="387"/>
      <c r="AN11" s="386"/>
      <c r="AO11" s="385"/>
      <c r="AP11" s="387"/>
      <c r="AQ11" s="386"/>
      <c r="AR11" s="385"/>
      <c r="AS11" s="387"/>
      <c r="AT11" s="421"/>
      <c r="AU11" s="391"/>
      <c r="AV11" s="403">
        <v>9</v>
      </c>
      <c r="AW11" s="1058"/>
      <c r="AX11" s="1012"/>
      <c r="AY11" s="1016"/>
      <c r="AZ11" s="350"/>
      <c r="BA11" s="350"/>
      <c r="BB11" s="1306"/>
      <c r="BC11" s="1307"/>
      <c r="BD11" s="322"/>
      <c r="BE11" s="160"/>
      <c r="BF11" s="333"/>
      <c r="BG11" s="538">
        <v>10</v>
      </c>
      <c r="BH11" s="332"/>
      <c r="BI11" s="160"/>
      <c r="BJ11" s="333"/>
      <c r="BK11" s="117"/>
      <c r="BL11" s="117"/>
      <c r="BM11" s="117"/>
      <c r="BN11" s="117"/>
      <c r="BO11" s="117"/>
      <c r="BP11" s="117"/>
      <c r="BQ11" s="117"/>
      <c r="BR11" s="117"/>
      <c r="BS11" s="612"/>
      <c r="BT11" s="614"/>
      <c r="BU11" s="625"/>
      <c r="BV11" s="614"/>
      <c r="BW11" s="117"/>
      <c r="BX11" s="117"/>
      <c r="BY11" s="531"/>
      <c r="BZ11" s="531"/>
      <c r="CA11" s="531"/>
      <c r="CB11" s="531"/>
      <c r="CC11" s="612"/>
      <c r="CD11" s="614"/>
      <c r="CE11" s="625"/>
      <c r="CF11" s="614"/>
      <c r="CG11" s="117"/>
      <c r="CH11" s="117"/>
      <c r="CI11" s="117"/>
    </row>
    <row r="12" spans="1:87" s="115" customFormat="1" ht="18.75" x14ac:dyDescent="0.3">
      <c r="A12" s="435" t="s">
        <v>148</v>
      </c>
      <c r="B12" s="1296">
        <v>100</v>
      </c>
      <c r="C12" s="436" t="s">
        <v>149</v>
      </c>
      <c r="D12" s="1274">
        <f>D15+D21+D22</f>
        <v>608128304.56999993</v>
      </c>
      <c r="E12" s="59">
        <f>H12+AB12+AW12+AU12</f>
        <v>711991430.10541487</v>
      </c>
      <c r="F12" s="410">
        <f>E12-D12</f>
        <v>103863125.53541493</v>
      </c>
      <c r="G12" s="293">
        <f>SUM(G15)</f>
        <v>218669600</v>
      </c>
      <c r="H12" s="157">
        <f>H15</f>
        <v>307066099.99541479</v>
      </c>
      <c r="I12" s="667">
        <f>H12-G12</f>
        <v>88396499.995414793</v>
      </c>
      <c r="J12" s="293">
        <f>SUM(J15)</f>
        <v>105026100</v>
      </c>
      <c r="K12" s="157">
        <f>SUM(K15)</f>
        <v>146666839.95499998</v>
      </c>
      <c r="L12" s="157">
        <f>K12-J12</f>
        <v>41640739.954999983</v>
      </c>
      <c r="M12" s="157">
        <f>M15</f>
        <v>52486106.82</v>
      </c>
      <c r="N12" s="157">
        <f>N15</f>
        <v>82114460</v>
      </c>
      <c r="O12" s="667"/>
      <c r="P12" s="293">
        <f>P15</f>
        <v>68563030.900000006</v>
      </c>
      <c r="Q12" s="157">
        <f>Q15</f>
        <v>119681406.17702757</v>
      </c>
      <c r="R12" s="157">
        <f>Q12-P12</f>
        <v>51118375.277027562</v>
      </c>
      <c r="S12" s="157"/>
      <c r="T12" s="294"/>
      <c r="U12" s="283">
        <f>SUM(U15)</f>
        <v>45080469.100000001</v>
      </c>
      <c r="V12" s="283">
        <f>SUM(V15)</f>
        <v>34901017.597189084</v>
      </c>
      <c r="W12" s="314">
        <f>V12-U12</f>
        <v>-10179451.502810918</v>
      </c>
      <c r="X12" s="293"/>
      <c r="Y12" s="283">
        <f>SUM(Y15)</f>
        <v>5816836.2661981797</v>
      </c>
      <c r="Z12" s="314"/>
      <c r="AA12" s="276"/>
      <c r="AB12" s="307"/>
      <c r="AC12" s="372"/>
      <c r="AD12" s="525"/>
      <c r="AE12" s="307"/>
      <c r="AF12" s="153"/>
      <c r="AG12" s="357"/>
      <c r="AH12" s="379"/>
      <c r="AI12" s="153"/>
      <c r="AJ12" s="357"/>
      <c r="AK12" s="307"/>
      <c r="AL12" s="153"/>
      <c r="AM12" s="357"/>
      <c r="AN12" s="153"/>
      <c r="AO12" s="153"/>
      <c r="AP12" s="357"/>
      <c r="AQ12" s="153"/>
      <c r="AR12" s="153"/>
      <c r="AS12" s="357"/>
      <c r="AT12" s="422"/>
      <c r="AU12" s="392"/>
      <c r="AV12" s="334">
        <v>389458704.57999998</v>
      </c>
      <c r="AW12" s="161">
        <f>AZ12+BE12+BI12</f>
        <v>404925330.11000001</v>
      </c>
      <c r="AX12" s="1013">
        <f>AW12-AV12</f>
        <v>15466625.530000031</v>
      </c>
      <c r="AY12" s="334">
        <f>AY15+AY22</f>
        <v>321604870.63999999</v>
      </c>
      <c r="AZ12" s="161">
        <f>AZ15+AZ22</f>
        <v>321604870.63999999</v>
      </c>
      <c r="BA12" s="161">
        <f>AZ12-AY12</f>
        <v>0</v>
      </c>
      <c r="BB12" s="1013"/>
      <c r="BC12" s="335"/>
      <c r="BD12" s="323">
        <f>BD15+BD22+BD23</f>
        <v>55582036.509999998</v>
      </c>
      <c r="BE12" s="161">
        <f>BE15+BE22+BE23</f>
        <v>70734826.599999994</v>
      </c>
      <c r="BF12" s="335">
        <f>BE12-BD12</f>
        <v>15152790.089999996</v>
      </c>
      <c r="BG12" s="539">
        <v>0</v>
      </c>
      <c r="BH12" s="334">
        <f>BH15+BH22+BH23</f>
        <v>12271797.43</v>
      </c>
      <c r="BI12" s="161">
        <f>BI15+BI22+BI23</f>
        <v>12585632.870000001</v>
      </c>
      <c r="BJ12" s="335">
        <f>BI12-BH12</f>
        <v>313835.44000000134</v>
      </c>
      <c r="BL12" s="131">
        <v>343352551.449</v>
      </c>
      <c r="BM12" s="131">
        <v>275145687.99900001</v>
      </c>
      <c r="BN12" s="609">
        <v>68206863.450000003</v>
      </c>
      <c r="BO12" s="634"/>
      <c r="BP12" s="634"/>
      <c r="BQ12" s="634"/>
      <c r="BR12" s="634"/>
      <c r="BS12" s="615"/>
      <c r="BT12" s="616">
        <f>AP12-BS12</f>
        <v>0</v>
      </c>
      <c r="BU12" s="615">
        <f>BU16+BU22+BU23</f>
        <v>68215561.770000011</v>
      </c>
      <c r="BV12" s="626">
        <f>AS12-BU12</f>
        <v>-68215561.770000011</v>
      </c>
      <c r="BW12" s="634"/>
      <c r="BX12" s="634"/>
      <c r="BY12" s="628">
        <f>AV12</f>
        <v>389458704.57999998</v>
      </c>
      <c r="BZ12" s="628">
        <v>344453050.41000003</v>
      </c>
      <c r="CA12" s="628">
        <f>BY12-BZ12</f>
        <v>45005654.169999957</v>
      </c>
      <c r="CB12" s="629">
        <f>BZ12</f>
        <v>344453050.41000003</v>
      </c>
      <c r="CC12" s="615">
        <v>251139175</v>
      </c>
      <c r="CD12" s="616">
        <f>AZ12-CC12</f>
        <v>70465695.639999986</v>
      </c>
      <c r="CE12" s="615">
        <f>CE16+CE22+CE23</f>
        <v>68215561.770000011</v>
      </c>
      <c r="CF12" s="626">
        <f>BE12-CE12</f>
        <v>2519264.8299999833</v>
      </c>
      <c r="CG12" s="135">
        <v>1076466.1000000001</v>
      </c>
      <c r="CH12" s="135">
        <v>146019.47000000626</v>
      </c>
      <c r="CI12" s="135">
        <f>CG12+CH12</f>
        <v>1222485.5700000064</v>
      </c>
    </row>
    <row r="13" spans="1:87" ht="18.75" x14ac:dyDescent="0.3">
      <c r="A13" s="437" t="s">
        <v>137</v>
      </c>
      <c r="B13" s="133"/>
      <c r="C13" s="438"/>
      <c r="D13" s="1275"/>
      <c r="E13" s="59">
        <f>H13+AB13+AV13+AU13</f>
        <v>0</v>
      </c>
      <c r="F13" s="410">
        <f t="shared" ref="F13:F75" si="0">E13-D13</f>
        <v>0</v>
      </c>
      <c r="G13" s="295"/>
      <c r="H13" s="159"/>
      <c r="I13" s="668"/>
      <c r="J13" s="295"/>
      <c r="K13" s="159"/>
      <c r="L13" s="159"/>
      <c r="M13" s="159"/>
      <c r="N13" s="159"/>
      <c r="O13" s="668"/>
      <c r="P13" s="295"/>
      <c r="Q13" s="159"/>
      <c r="R13" s="159"/>
      <c r="S13" s="159"/>
      <c r="T13" s="296"/>
      <c r="U13" s="284"/>
      <c r="V13" s="284"/>
      <c r="W13" s="315"/>
      <c r="X13" s="295"/>
      <c r="Y13" s="284"/>
      <c r="Z13" s="315"/>
      <c r="AA13" s="277"/>
      <c r="AB13" s="308"/>
      <c r="AC13" s="373"/>
      <c r="AD13" s="526"/>
      <c r="AE13" s="308"/>
      <c r="AF13" s="154"/>
      <c r="AG13" s="357"/>
      <c r="AH13" s="380"/>
      <c r="AI13" s="153"/>
      <c r="AJ13" s="357"/>
      <c r="AK13" s="308"/>
      <c r="AL13" s="154"/>
      <c r="AM13" s="358"/>
      <c r="AN13" s="277"/>
      <c r="AO13" s="154"/>
      <c r="AP13" s="358"/>
      <c r="AQ13" s="277"/>
      <c r="AR13" s="154"/>
      <c r="AS13" s="358"/>
      <c r="AT13" s="423"/>
      <c r="AU13" s="393"/>
      <c r="AV13" s="334"/>
      <c r="AW13" s="161"/>
      <c r="AX13" s="1013">
        <f t="shared" ref="AX13:AX75" si="1">AW13-AV13</f>
        <v>0</v>
      </c>
      <c r="AY13" s="336"/>
      <c r="AZ13" s="260"/>
      <c r="BA13" s="260"/>
      <c r="BB13" s="1308"/>
      <c r="BC13" s="337"/>
      <c r="BD13" s="325"/>
      <c r="BE13" s="260"/>
      <c r="BF13" s="337"/>
      <c r="BG13" s="540"/>
      <c r="BH13" s="336"/>
      <c r="BI13" s="260"/>
      <c r="BJ13" s="337"/>
      <c r="BK13" s="117"/>
      <c r="BL13" s="117"/>
      <c r="BM13" s="117"/>
      <c r="BN13" s="117"/>
      <c r="BO13" s="117"/>
      <c r="BP13" s="117"/>
      <c r="BQ13" s="117"/>
      <c r="BR13" s="117"/>
      <c r="BS13" s="617"/>
      <c r="BT13" s="614"/>
      <c r="BU13" s="625"/>
      <c r="BV13" s="614"/>
      <c r="BW13" s="117"/>
      <c r="BX13" s="117"/>
      <c r="BY13" s="628"/>
      <c r="BZ13" s="628"/>
      <c r="CA13" s="531"/>
      <c r="CB13" s="531"/>
      <c r="CC13" s="617">
        <f>AZ12-CC12</f>
        <v>70465695.639999986</v>
      </c>
      <c r="CD13" s="614"/>
      <c r="CE13" s="625"/>
      <c r="CF13" s="614"/>
      <c r="CG13" s="111">
        <f>CE12+CI12</f>
        <v>69438047.340000018</v>
      </c>
      <c r="CH13" s="117"/>
      <c r="CI13" s="117"/>
    </row>
    <row r="14" spans="1:87" ht="18.75" x14ac:dyDescent="0.3">
      <c r="A14" s="437" t="s">
        <v>150</v>
      </c>
      <c r="B14" s="1295">
        <v>110</v>
      </c>
      <c r="C14" s="438"/>
      <c r="D14" s="1275"/>
      <c r="E14" s="59">
        <f>H14+AB14+AV14+AU14</f>
        <v>0</v>
      </c>
      <c r="F14" s="410">
        <f t="shared" si="0"/>
        <v>0</v>
      </c>
      <c r="G14" s="297"/>
      <c r="H14" s="158"/>
      <c r="I14" s="669"/>
      <c r="J14" s="297"/>
      <c r="K14" s="158"/>
      <c r="L14" s="158"/>
      <c r="M14" s="158"/>
      <c r="N14" s="158"/>
      <c r="O14" s="669"/>
      <c r="P14" s="297"/>
      <c r="Q14" s="158"/>
      <c r="R14" s="158"/>
      <c r="S14" s="158"/>
      <c r="T14" s="298"/>
      <c r="U14" s="285"/>
      <c r="V14" s="285"/>
      <c r="W14" s="316"/>
      <c r="X14" s="297"/>
      <c r="Y14" s="285"/>
      <c r="Z14" s="316"/>
      <c r="AA14" s="278"/>
      <c r="AB14" s="309"/>
      <c r="AC14" s="374"/>
      <c r="AD14" s="527"/>
      <c r="AE14" s="309"/>
      <c r="AF14" s="261"/>
      <c r="AG14" s="357"/>
      <c r="AH14" s="381"/>
      <c r="AI14" s="153"/>
      <c r="AJ14" s="357"/>
      <c r="AK14" s="309"/>
      <c r="AL14" s="261"/>
      <c r="AM14" s="359"/>
      <c r="AN14" s="278"/>
      <c r="AO14" s="261"/>
      <c r="AP14" s="359"/>
      <c r="AQ14" s="278"/>
      <c r="AR14" s="261"/>
      <c r="AS14" s="359"/>
      <c r="AT14" s="424"/>
      <c r="AU14" s="393"/>
      <c r="AV14" s="334"/>
      <c r="AW14" s="161"/>
      <c r="AX14" s="1013">
        <f t="shared" si="1"/>
        <v>0</v>
      </c>
      <c r="AY14" s="336"/>
      <c r="AZ14" s="260"/>
      <c r="BA14" s="260"/>
      <c r="BB14" s="1308"/>
      <c r="BC14" s="337"/>
      <c r="BD14" s="325"/>
      <c r="BE14" s="260"/>
      <c r="BF14" s="337"/>
      <c r="BG14" s="541"/>
      <c r="BH14" s="336"/>
      <c r="BI14" s="260"/>
      <c r="BJ14" s="337"/>
      <c r="BK14" s="117"/>
      <c r="BL14" s="111"/>
      <c r="BM14" s="111">
        <f>BM12-AY12</f>
        <v>-46459182.640999973</v>
      </c>
      <c r="BN14" s="111">
        <f>BN12-BD12</f>
        <v>12624826.940000005</v>
      </c>
      <c r="BO14" s="111"/>
      <c r="BP14" s="111"/>
      <c r="BQ14" s="111"/>
      <c r="BR14" s="111"/>
      <c r="BS14" s="615"/>
      <c r="BT14" s="614"/>
      <c r="BU14" s="625"/>
      <c r="BV14" s="614"/>
      <c r="BW14" s="111"/>
      <c r="BX14" s="111"/>
      <c r="BY14" s="628"/>
      <c r="BZ14" s="628"/>
      <c r="CA14" s="533"/>
      <c r="CB14" s="533"/>
      <c r="CC14" s="615"/>
      <c r="CD14" s="614"/>
      <c r="CE14" s="625"/>
      <c r="CF14" s="614"/>
      <c r="CG14" s="117"/>
      <c r="CH14" s="117"/>
      <c r="CI14" s="117"/>
    </row>
    <row r="15" spans="1:87" ht="18.75" x14ac:dyDescent="0.3">
      <c r="A15" s="437" t="s">
        <v>151</v>
      </c>
      <c r="B15" s="1295">
        <v>120</v>
      </c>
      <c r="C15" s="438"/>
      <c r="D15" s="1275">
        <f t="shared" ref="D15:D22" si="2">G15+AA15+AV15+AU15</f>
        <v>573229079.06999993</v>
      </c>
      <c r="E15" s="64">
        <f>H15+AB15+AW15+AU15</f>
        <v>676778369.15541482</v>
      </c>
      <c r="F15" s="411">
        <f t="shared" si="0"/>
        <v>103549290.08541489</v>
      </c>
      <c r="G15" s="295">
        <v>218669600</v>
      </c>
      <c r="H15" s="159">
        <f>H16</f>
        <v>307066099.99541479</v>
      </c>
      <c r="I15" s="668">
        <f>H15-G15</f>
        <v>88396499.995414793</v>
      </c>
      <c r="J15" s="295">
        <f>J16</f>
        <v>105026100</v>
      </c>
      <c r="K15" s="159">
        <f>K16</f>
        <v>146666839.95499998</v>
      </c>
      <c r="L15" s="158">
        <f>K15-J15</f>
        <v>41640739.954999983</v>
      </c>
      <c r="M15" s="158">
        <f>M16</f>
        <v>52486106.82</v>
      </c>
      <c r="N15" s="158">
        <f>N16</f>
        <v>82114460</v>
      </c>
      <c r="O15" s="669"/>
      <c r="P15" s="295">
        <f>P16</f>
        <v>68563030.900000006</v>
      </c>
      <c r="Q15" s="159">
        <f>Q16</f>
        <v>119681406.17702757</v>
      </c>
      <c r="R15" s="158">
        <f>Q15-P15</f>
        <v>51118375.277027562</v>
      </c>
      <c r="S15" s="158"/>
      <c r="T15" s="298"/>
      <c r="U15" s="285">
        <f>U16</f>
        <v>45080469.100000001</v>
      </c>
      <c r="V15" s="285">
        <f>V16</f>
        <v>34901017.597189084</v>
      </c>
      <c r="W15" s="316">
        <f>V15-U15</f>
        <v>-10179451.502810918</v>
      </c>
      <c r="X15" s="297"/>
      <c r="Y15" s="285">
        <f>Y16</f>
        <v>5816836.2661981797</v>
      </c>
      <c r="Z15" s="316"/>
      <c r="AA15" s="277"/>
      <c r="AB15" s="308"/>
      <c r="AC15" s="373"/>
      <c r="AD15" s="526"/>
      <c r="AE15" s="308"/>
      <c r="AF15" s="154"/>
      <c r="AG15" s="357"/>
      <c r="AH15" s="380"/>
      <c r="AI15" s="153"/>
      <c r="AJ15" s="357"/>
      <c r="AK15" s="308"/>
      <c r="AL15" s="154"/>
      <c r="AM15" s="358"/>
      <c r="AN15" s="277"/>
      <c r="AO15" s="154"/>
      <c r="AP15" s="358"/>
      <c r="AQ15" s="277"/>
      <c r="AR15" s="154"/>
      <c r="AS15" s="358"/>
      <c r="AT15" s="423"/>
      <c r="AU15" s="393"/>
      <c r="AV15" s="334">
        <v>354559479.06999999</v>
      </c>
      <c r="AW15" s="161">
        <f>AZ15+BE15+BI15</f>
        <v>369712269.15999997</v>
      </c>
      <c r="AX15" s="1013">
        <f t="shared" si="1"/>
        <v>15152790.089999974</v>
      </c>
      <c r="AY15" s="338">
        <v>306981817.18000001</v>
      </c>
      <c r="AZ15" s="162">
        <f>AZ16+AZ18</f>
        <v>306981817.18000001</v>
      </c>
      <c r="BA15" s="162">
        <f>AZ15-AY15</f>
        <v>0</v>
      </c>
      <c r="BB15" s="1309"/>
      <c r="BC15" s="339"/>
      <c r="BD15" s="324">
        <v>44423842.689999998</v>
      </c>
      <c r="BE15" s="162">
        <f>BE16+BE18</f>
        <v>59576632.779999994</v>
      </c>
      <c r="BF15" s="339">
        <f>BE15-BD15</f>
        <v>15152790.089999996</v>
      </c>
      <c r="BG15" s="541"/>
      <c r="BH15" s="338">
        <v>3153819.2</v>
      </c>
      <c r="BI15" s="162">
        <f>BI16</f>
        <v>3153819.2</v>
      </c>
      <c r="BJ15" s="339">
        <f>BI15-BH15</f>
        <v>0</v>
      </c>
      <c r="BK15" s="117"/>
      <c r="BL15" s="117"/>
      <c r="BM15" s="117"/>
      <c r="BN15" s="117"/>
      <c r="BO15" s="117"/>
      <c r="BP15" s="117"/>
      <c r="BQ15" s="117"/>
      <c r="BR15" s="117"/>
      <c r="BS15" s="618"/>
      <c r="BT15" s="614"/>
      <c r="BU15" s="625"/>
      <c r="BV15" s="614"/>
      <c r="BW15" s="117"/>
      <c r="BX15" s="117"/>
      <c r="BY15" s="628"/>
      <c r="BZ15" s="628"/>
      <c r="CA15" s="531"/>
      <c r="CB15" s="531"/>
      <c r="CC15" s="618">
        <f>13676010.29-8000000</f>
        <v>5676010.2899999991</v>
      </c>
      <c r="CD15" s="614"/>
      <c r="CE15" s="625"/>
      <c r="CF15" s="614"/>
      <c r="CG15" s="117"/>
      <c r="CH15" s="117"/>
      <c r="CI15" s="117"/>
    </row>
    <row r="16" spans="1:87" ht="18.75" x14ac:dyDescent="0.3">
      <c r="A16" s="437" t="s">
        <v>152</v>
      </c>
      <c r="B16" s="133"/>
      <c r="C16" s="438"/>
      <c r="D16" s="1275">
        <f t="shared" si="2"/>
        <v>557025508.76999998</v>
      </c>
      <c r="E16" s="64">
        <f>H16+AB16+AW16+AU16</f>
        <v>660574798.85541475</v>
      </c>
      <c r="F16" s="411">
        <f t="shared" si="0"/>
        <v>103549290.08541477</v>
      </c>
      <c r="G16" s="295">
        <v>218669600</v>
      </c>
      <c r="H16" s="159">
        <f>K16+Q16+V16+Y16</f>
        <v>307066099.99541479</v>
      </c>
      <c r="I16" s="668">
        <f>H16-G16</f>
        <v>88396499.995414793</v>
      </c>
      <c r="J16" s="295">
        <f>42610100+6071200+19709100+1786600+10488200+12868200+1833500+5952100+539600+3167500</f>
        <v>105026100</v>
      </c>
      <c r="K16" s="159">
        <f>U1*W1-1159618.02-409933.84-19.22</f>
        <v>146666839.95499998</v>
      </c>
      <c r="L16" s="159">
        <f>K16-J16</f>
        <v>41640739.954999983</v>
      </c>
      <c r="M16" s="159">
        <f>M24</f>
        <v>52486106.82</v>
      </c>
      <c r="N16" s="159">
        <f>N24</f>
        <v>82114460</v>
      </c>
      <c r="O16" s="668"/>
      <c r="P16" s="295">
        <v>68563030.900000006</v>
      </c>
      <c r="Q16" s="159">
        <f>V4*(55150-12000-2000)</f>
        <v>119681406.17702757</v>
      </c>
      <c r="R16" s="159">
        <f>Q16-P16</f>
        <v>51118375.277027562</v>
      </c>
      <c r="S16" s="159"/>
      <c r="T16" s="296"/>
      <c r="U16" s="284">
        <v>45080469.100000001</v>
      </c>
      <c r="V16" s="284">
        <f>12000*V1+(V2*12000)</f>
        <v>34901017.597189084</v>
      </c>
      <c r="W16" s="315">
        <f>V16-U16</f>
        <v>-10179451.502810918</v>
      </c>
      <c r="X16" s="295"/>
      <c r="Y16" s="284">
        <f>2000*V1+(V2*2000)</f>
        <v>5816836.2661981797</v>
      </c>
      <c r="Z16" s="315"/>
      <c r="AA16" s="277"/>
      <c r="AB16" s="308"/>
      <c r="AC16" s="373"/>
      <c r="AD16" s="526"/>
      <c r="AE16" s="308"/>
      <c r="AF16" s="154"/>
      <c r="AG16" s="357"/>
      <c r="AH16" s="380"/>
      <c r="AI16" s="153"/>
      <c r="AJ16" s="357"/>
      <c r="AK16" s="308"/>
      <c r="AL16" s="154"/>
      <c r="AM16" s="358"/>
      <c r="AN16" s="277"/>
      <c r="AO16" s="154"/>
      <c r="AP16" s="358"/>
      <c r="AQ16" s="277"/>
      <c r="AR16" s="154"/>
      <c r="AS16" s="358"/>
      <c r="AT16" s="423"/>
      <c r="AU16" s="394"/>
      <c r="AV16" s="334">
        <v>338355908.76999998</v>
      </c>
      <c r="AW16" s="161">
        <f>AZ16+BE16+BI16</f>
        <v>353508698.85999995</v>
      </c>
      <c r="AX16" s="1013">
        <f t="shared" si="1"/>
        <v>15152790.089999974</v>
      </c>
      <c r="AY16" s="338">
        <v>290778246.88</v>
      </c>
      <c r="AZ16" s="162">
        <v>290778246.88</v>
      </c>
      <c r="BA16" s="162">
        <f>AZ16-AY16</f>
        <v>0</v>
      </c>
      <c r="BB16" s="1309"/>
      <c r="BC16" s="339"/>
      <c r="BD16" s="324">
        <v>44423842.689999998</v>
      </c>
      <c r="BE16" s="162">
        <f>70734826.6-BE22</f>
        <v>59576632.779999994</v>
      </c>
      <c r="BF16" s="339">
        <f>BE16-BD16</f>
        <v>15152790.089999996</v>
      </c>
      <c r="BG16" s="541"/>
      <c r="BH16" s="338">
        <v>3153819.2</v>
      </c>
      <c r="BI16" s="162">
        <v>3153819.2</v>
      </c>
      <c r="BJ16" s="339">
        <f>BI16-BH16</f>
        <v>0</v>
      </c>
      <c r="BK16" s="117"/>
      <c r="BL16" s="117"/>
      <c r="BM16" s="117"/>
      <c r="BN16" s="117"/>
      <c r="BO16" s="117"/>
      <c r="BP16" s="117"/>
      <c r="BQ16" s="117"/>
      <c r="BR16" s="117"/>
      <c r="BS16" s="618"/>
      <c r="BT16" s="614"/>
      <c r="BU16" s="618">
        <v>67613872.370000005</v>
      </c>
      <c r="BV16" s="614"/>
      <c r="BW16" s="117"/>
      <c r="BX16" s="117"/>
      <c r="BY16" s="628"/>
      <c r="BZ16" s="628"/>
      <c r="CA16" s="531"/>
      <c r="CB16" s="531"/>
      <c r="CC16" s="618">
        <f>5100000</f>
        <v>5100000</v>
      </c>
      <c r="CD16" s="614"/>
      <c r="CE16" s="618">
        <v>67613872.370000005</v>
      </c>
      <c r="CF16" s="614"/>
      <c r="CG16" s="117"/>
      <c r="CH16" s="117"/>
      <c r="CI16" s="117"/>
    </row>
    <row r="17" spans="1:84" ht="18.75" x14ac:dyDescent="0.3">
      <c r="A17" s="437" t="s">
        <v>153</v>
      </c>
      <c r="B17" s="133"/>
      <c r="C17" s="438"/>
      <c r="D17" s="1275">
        <f t="shared" si="2"/>
        <v>0</v>
      </c>
      <c r="E17" s="64">
        <f>H17+AB17+AV17+AU17</f>
        <v>0</v>
      </c>
      <c r="F17" s="410">
        <f t="shared" si="0"/>
        <v>0</v>
      </c>
      <c r="G17" s="295"/>
      <c r="H17" s="159"/>
      <c r="I17" s="668">
        <f t="shared" ref="I17:I23" si="3">H17-G17</f>
        <v>0</v>
      </c>
      <c r="J17" s="295"/>
      <c r="K17" s="159"/>
      <c r="L17" s="159"/>
      <c r="M17" s="159"/>
      <c r="N17" s="159"/>
      <c r="O17" s="668"/>
      <c r="P17" s="295"/>
      <c r="Q17" s="159"/>
      <c r="R17" s="159"/>
      <c r="S17" s="159"/>
      <c r="T17" s="296"/>
      <c r="U17" s="284"/>
      <c r="V17" s="284"/>
      <c r="W17" s="315"/>
      <c r="X17" s="295"/>
      <c r="Y17" s="284"/>
      <c r="Z17" s="315"/>
      <c r="AA17" s="277"/>
      <c r="AB17" s="308"/>
      <c r="AC17" s="373"/>
      <c r="AD17" s="526"/>
      <c r="AE17" s="308"/>
      <c r="AF17" s="154"/>
      <c r="AG17" s="357"/>
      <c r="AH17" s="380"/>
      <c r="AI17" s="153"/>
      <c r="AJ17" s="357"/>
      <c r="AK17" s="308"/>
      <c r="AL17" s="154"/>
      <c r="AM17" s="358"/>
      <c r="AN17" s="277"/>
      <c r="AO17" s="154"/>
      <c r="AP17" s="358"/>
      <c r="AQ17" s="277"/>
      <c r="AR17" s="154"/>
      <c r="AS17" s="358"/>
      <c r="AT17" s="423"/>
      <c r="AU17" s="394"/>
      <c r="AV17" s="334">
        <v>0</v>
      </c>
      <c r="AW17" s="161">
        <f t="shared" ref="AW17:AW75" si="4">AZ17+BE17</f>
        <v>0</v>
      </c>
      <c r="AX17" s="1013">
        <f t="shared" si="1"/>
        <v>0</v>
      </c>
      <c r="AY17" s="336"/>
      <c r="AZ17" s="162">
        <f t="shared" ref="AZ17:AZ18" si="5">AV17-BE17-BI17</f>
        <v>0</v>
      </c>
      <c r="BA17" s="260"/>
      <c r="BB17" s="1308"/>
      <c r="BC17" s="337"/>
      <c r="BD17" s="325"/>
      <c r="BE17" s="260"/>
      <c r="BF17" s="337"/>
      <c r="BG17" s="541"/>
      <c r="BH17" s="336"/>
      <c r="BI17" s="260"/>
      <c r="BJ17" s="337"/>
      <c r="BK17" s="117"/>
      <c r="BL17" s="117"/>
      <c r="BM17" s="117"/>
      <c r="BN17" s="117"/>
      <c r="BO17" s="117"/>
      <c r="BP17" s="117"/>
      <c r="BQ17" s="117"/>
      <c r="BR17" s="117"/>
      <c r="BS17" s="619"/>
      <c r="BT17" s="614"/>
      <c r="BU17" s="625"/>
      <c r="BV17" s="614"/>
      <c r="BW17" s="117"/>
      <c r="BX17" s="117"/>
      <c r="BY17" s="628"/>
      <c r="BZ17" s="628"/>
      <c r="CA17" s="531"/>
      <c r="CB17" s="531"/>
      <c r="CC17" s="619">
        <f>SUM(CC15:CC16)</f>
        <v>10776010.289999999</v>
      </c>
      <c r="CD17" s="614"/>
      <c r="CE17" s="625"/>
      <c r="CF17" s="614"/>
    </row>
    <row r="18" spans="1:84" ht="18.75" x14ac:dyDescent="0.3">
      <c r="A18" s="437" t="s">
        <v>154</v>
      </c>
      <c r="B18" s="133"/>
      <c r="C18" s="438"/>
      <c r="D18" s="1275">
        <f t="shared" si="2"/>
        <v>16203570.300000001</v>
      </c>
      <c r="E18" s="64">
        <f>H18+AB18+AW18+AU18</f>
        <v>16203570.300000001</v>
      </c>
      <c r="F18" s="410">
        <f t="shared" si="0"/>
        <v>0</v>
      </c>
      <c r="G18" s="295"/>
      <c r="H18" s="159"/>
      <c r="I18" s="668">
        <f t="shared" si="3"/>
        <v>0</v>
      </c>
      <c r="J18" s="295"/>
      <c r="K18" s="159"/>
      <c r="L18" s="159"/>
      <c r="M18" s="159"/>
      <c r="N18" s="159"/>
      <c r="O18" s="668"/>
      <c r="P18" s="295"/>
      <c r="Q18" s="159"/>
      <c r="R18" s="159"/>
      <c r="S18" s="159"/>
      <c r="T18" s="296"/>
      <c r="U18" s="284"/>
      <c r="V18" s="284"/>
      <c r="W18" s="315"/>
      <c r="X18" s="295"/>
      <c r="Y18" s="284"/>
      <c r="Z18" s="315"/>
      <c r="AA18" s="277"/>
      <c r="AB18" s="308"/>
      <c r="AC18" s="373"/>
      <c r="AD18" s="526"/>
      <c r="AE18" s="308"/>
      <c r="AF18" s="154"/>
      <c r="AG18" s="357"/>
      <c r="AH18" s="380"/>
      <c r="AI18" s="153"/>
      <c r="AJ18" s="357"/>
      <c r="AK18" s="308"/>
      <c r="AL18" s="154"/>
      <c r="AM18" s="358"/>
      <c r="AN18" s="277"/>
      <c r="AO18" s="154"/>
      <c r="AP18" s="358"/>
      <c r="AQ18" s="277"/>
      <c r="AR18" s="154"/>
      <c r="AS18" s="358"/>
      <c r="AT18" s="423"/>
      <c r="AU18" s="393"/>
      <c r="AV18" s="334">
        <v>16203570.300000001</v>
      </c>
      <c r="AW18" s="161">
        <f>AZ18+BE18+BI18</f>
        <v>16203570.300000001</v>
      </c>
      <c r="AX18" s="1013">
        <f t="shared" si="1"/>
        <v>0</v>
      </c>
      <c r="AY18" s="338">
        <v>16203570.300000001</v>
      </c>
      <c r="AZ18" s="162">
        <f t="shared" si="5"/>
        <v>16203570.300000001</v>
      </c>
      <c r="BA18" s="162">
        <f>AZ18-AY18</f>
        <v>0</v>
      </c>
      <c r="BB18" s="1309"/>
      <c r="BC18" s="339"/>
      <c r="BD18" s="324"/>
      <c r="BE18" s="162"/>
      <c r="BF18" s="339"/>
      <c r="BG18" s="541"/>
      <c r="BH18" s="338"/>
      <c r="BI18" s="162"/>
      <c r="BJ18" s="339"/>
      <c r="BK18" s="117"/>
      <c r="BL18" s="117"/>
      <c r="BM18" s="117"/>
      <c r="BN18" s="117"/>
      <c r="BO18" s="117"/>
      <c r="BP18" s="117"/>
      <c r="BQ18" s="117"/>
      <c r="BR18" s="117"/>
      <c r="BS18" s="618"/>
      <c r="BT18" s="614"/>
      <c r="BU18" s="625"/>
      <c r="BV18" s="614"/>
      <c r="BW18" s="117"/>
      <c r="BX18" s="117"/>
      <c r="BY18" s="628"/>
      <c r="BZ18" s="628"/>
      <c r="CA18" s="531"/>
      <c r="CB18" s="531"/>
      <c r="CC18" s="618">
        <f>CC13-CC17</f>
        <v>59689685.349999987</v>
      </c>
      <c r="CD18" s="614"/>
      <c r="CE18" s="625"/>
      <c r="CF18" s="614"/>
    </row>
    <row r="19" spans="1:84" ht="31.5" x14ac:dyDescent="0.3">
      <c r="A19" s="437" t="s">
        <v>155</v>
      </c>
      <c r="B19" s="1295">
        <v>130</v>
      </c>
      <c r="C19" s="438"/>
      <c r="D19" s="1275">
        <f t="shared" si="2"/>
        <v>0</v>
      </c>
      <c r="E19" s="59">
        <f>H19+AB19+AV19+AU19</f>
        <v>0</v>
      </c>
      <c r="F19" s="410">
        <f t="shared" si="0"/>
        <v>0</v>
      </c>
      <c r="G19" s="297"/>
      <c r="H19" s="158"/>
      <c r="I19" s="668">
        <f t="shared" si="3"/>
        <v>0</v>
      </c>
      <c r="J19" s="297"/>
      <c r="K19" s="158"/>
      <c r="L19" s="158"/>
      <c r="M19" s="158"/>
      <c r="N19" s="158"/>
      <c r="O19" s="669"/>
      <c r="P19" s="297"/>
      <c r="Q19" s="158"/>
      <c r="R19" s="158"/>
      <c r="S19" s="158"/>
      <c r="T19" s="298"/>
      <c r="U19" s="285"/>
      <c r="V19" s="285"/>
      <c r="W19" s="316"/>
      <c r="X19" s="297"/>
      <c r="Y19" s="285"/>
      <c r="Z19" s="316"/>
      <c r="AA19" s="279"/>
      <c r="AB19" s="310"/>
      <c r="AC19" s="375"/>
      <c r="AD19" s="528"/>
      <c r="AE19" s="310"/>
      <c r="AF19" s="63"/>
      <c r="AG19" s="357"/>
      <c r="AH19" s="382"/>
      <c r="AI19" s="153"/>
      <c r="AJ19" s="357"/>
      <c r="AK19" s="310"/>
      <c r="AL19" s="63"/>
      <c r="AM19" s="360"/>
      <c r="AN19" s="279"/>
      <c r="AO19" s="63"/>
      <c r="AP19" s="360"/>
      <c r="AQ19" s="279"/>
      <c r="AR19" s="63"/>
      <c r="AS19" s="360"/>
      <c r="AT19" s="425"/>
      <c r="AU19" s="395"/>
      <c r="AV19" s="334">
        <v>0</v>
      </c>
      <c r="AW19" s="161">
        <f t="shared" si="4"/>
        <v>0</v>
      </c>
      <c r="AX19" s="1013">
        <f t="shared" si="1"/>
        <v>0</v>
      </c>
      <c r="AY19" s="336"/>
      <c r="AZ19" s="260"/>
      <c r="BA19" s="260"/>
      <c r="BB19" s="1308"/>
      <c r="BC19" s="337"/>
      <c r="BD19" s="325"/>
      <c r="BE19" s="260"/>
      <c r="BF19" s="337"/>
      <c r="BG19" s="540" t="s">
        <v>149</v>
      </c>
      <c r="BH19" s="336"/>
      <c r="BI19" s="260"/>
      <c r="BJ19" s="337"/>
      <c r="BK19" s="117"/>
      <c r="BL19" s="117"/>
      <c r="BM19" s="117"/>
      <c r="BN19" s="117"/>
      <c r="BO19" s="117"/>
      <c r="BP19" s="117"/>
      <c r="BQ19" s="117"/>
      <c r="BR19" s="117"/>
      <c r="BS19" s="617"/>
      <c r="BT19" s="614"/>
      <c r="BU19" s="625"/>
      <c r="BV19" s="614"/>
      <c r="BW19" s="117"/>
      <c r="BX19" s="117"/>
      <c r="BY19" s="628"/>
      <c r="BZ19" s="628"/>
      <c r="CA19" s="531"/>
      <c r="CB19" s="531"/>
      <c r="CC19" s="617"/>
      <c r="CD19" s="614"/>
      <c r="CE19" s="625"/>
      <c r="CF19" s="614"/>
    </row>
    <row r="20" spans="1:84" ht="63.75" customHeight="1" x14ac:dyDescent="0.3">
      <c r="A20" s="437" t="s">
        <v>156</v>
      </c>
      <c r="B20" s="1295">
        <v>140</v>
      </c>
      <c r="C20" s="438"/>
      <c r="D20" s="1275">
        <f t="shared" si="2"/>
        <v>0</v>
      </c>
      <c r="E20" s="59">
        <f>H20+AB20+AV20+AU20</f>
        <v>0</v>
      </c>
      <c r="F20" s="410">
        <f t="shared" si="0"/>
        <v>0</v>
      </c>
      <c r="G20" s="297"/>
      <c r="H20" s="158"/>
      <c r="I20" s="668">
        <f t="shared" si="3"/>
        <v>0</v>
      </c>
      <c r="J20" s="297"/>
      <c r="K20" s="158"/>
      <c r="L20" s="158"/>
      <c r="M20" s="158"/>
      <c r="N20" s="158"/>
      <c r="O20" s="669"/>
      <c r="P20" s="297"/>
      <c r="Q20" s="158"/>
      <c r="R20" s="158"/>
      <c r="S20" s="158"/>
      <c r="T20" s="298"/>
      <c r="U20" s="285"/>
      <c r="V20" s="285"/>
      <c r="W20" s="316"/>
      <c r="X20" s="297"/>
      <c r="Y20" s="285"/>
      <c r="Z20" s="316"/>
      <c r="AA20" s="279"/>
      <c r="AB20" s="310"/>
      <c r="AC20" s="375"/>
      <c r="AD20" s="528"/>
      <c r="AE20" s="310"/>
      <c r="AF20" s="63"/>
      <c r="AG20" s="357"/>
      <c r="AH20" s="382"/>
      <c r="AI20" s="153"/>
      <c r="AJ20" s="357"/>
      <c r="AK20" s="310"/>
      <c r="AL20" s="63"/>
      <c r="AM20" s="360"/>
      <c r="AN20" s="279"/>
      <c r="AO20" s="63"/>
      <c r="AP20" s="360"/>
      <c r="AQ20" s="279"/>
      <c r="AR20" s="63"/>
      <c r="AS20" s="360"/>
      <c r="AT20" s="425"/>
      <c r="AU20" s="395"/>
      <c r="AV20" s="334">
        <v>0</v>
      </c>
      <c r="AW20" s="161">
        <f t="shared" si="4"/>
        <v>0</v>
      </c>
      <c r="AX20" s="1013">
        <f t="shared" si="1"/>
        <v>0</v>
      </c>
      <c r="AY20" s="336"/>
      <c r="AZ20" s="260"/>
      <c r="BA20" s="260"/>
      <c r="BB20" s="1308"/>
      <c r="BC20" s="337"/>
      <c r="BD20" s="325"/>
      <c r="BE20" s="260"/>
      <c r="BF20" s="337"/>
      <c r="BG20" s="540" t="s">
        <v>149</v>
      </c>
      <c r="BH20" s="336"/>
      <c r="BI20" s="260"/>
      <c r="BJ20" s="337"/>
      <c r="BK20" s="117"/>
      <c r="BL20" s="117"/>
      <c r="BM20" s="117"/>
      <c r="BN20" s="117"/>
      <c r="BO20" s="117"/>
      <c r="BP20" s="117"/>
      <c r="BQ20" s="117"/>
      <c r="BR20" s="117"/>
      <c r="BS20" s="617"/>
      <c r="BT20" s="614"/>
      <c r="BU20" s="625"/>
      <c r="BV20" s="614"/>
      <c r="BW20" s="117"/>
      <c r="BX20" s="117"/>
      <c r="BY20" s="628"/>
      <c r="BZ20" s="628"/>
      <c r="CA20" s="531"/>
      <c r="CB20" s="531"/>
      <c r="CC20" s="617"/>
      <c r="CD20" s="614"/>
      <c r="CE20" s="625"/>
      <c r="CF20" s="614"/>
    </row>
    <row r="21" spans="1:84" ht="38.25" customHeight="1" x14ac:dyDescent="0.3">
      <c r="A21" s="437" t="s">
        <v>157</v>
      </c>
      <c r="B21" s="1295">
        <v>150</v>
      </c>
      <c r="C21" s="438"/>
      <c r="D21" s="1275">
        <f t="shared" si="2"/>
        <v>0</v>
      </c>
      <c r="E21" s="64">
        <f>H21+AB21+AW21+AU21</f>
        <v>0</v>
      </c>
      <c r="F21" s="411">
        <f t="shared" si="0"/>
        <v>0</v>
      </c>
      <c r="G21" s="297"/>
      <c r="H21" s="158"/>
      <c r="I21" s="668">
        <f t="shared" si="3"/>
        <v>0</v>
      </c>
      <c r="J21" s="297"/>
      <c r="K21" s="158"/>
      <c r="L21" s="158"/>
      <c r="M21" s="158"/>
      <c r="N21" s="158"/>
      <c r="O21" s="669"/>
      <c r="P21" s="297"/>
      <c r="Q21" s="158"/>
      <c r="R21" s="158"/>
      <c r="S21" s="158"/>
      <c r="T21" s="298"/>
      <c r="U21" s="285"/>
      <c r="V21" s="285"/>
      <c r="W21" s="316"/>
      <c r="X21" s="297"/>
      <c r="Y21" s="285"/>
      <c r="Z21" s="316"/>
      <c r="AA21" s="279"/>
      <c r="AB21" s="310"/>
      <c r="AC21" s="375"/>
      <c r="AD21" s="528"/>
      <c r="AE21" s="310"/>
      <c r="AF21" s="63"/>
      <c r="AG21" s="360"/>
      <c r="AH21" s="382"/>
      <c r="AI21" s="63"/>
      <c r="AJ21" s="360"/>
      <c r="AK21" s="310"/>
      <c r="AL21" s="63"/>
      <c r="AM21" s="360"/>
      <c r="AN21" s="63"/>
      <c r="AO21" s="63"/>
      <c r="AP21" s="360"/>
      <c r="AQ21" s="63"/>
      <c r="AR21" s="63"/>
      <c r="AS21" s="360"/>
      <c r="AT21" s="426"/>
      <c r="AU21" s="395"/>
      <c r="AV21" s="334">
        <v>0</v>
      </c>
      <c r="AW21" s="161">
        <f t="shared" si="4"/>
        <v>0</v>
      </c>
      <c r="AX21" s="1013">
        <f t="shared" si="1"/>
        <v>0</v>
      </c>
      <c r="AY21" s="338"/>
      <c r="AZ21" s="162"/>
      <c r="BA21" s="162"/>
      <c r="BB21" s="1309"/>
      <c r="BC21" s="339"/>
      <c r="BD21" s="324"/>
      <c r="BE21" s="162"/>
      <c r="BF21" s="339"/>
      <c r="BG21" s="540" t="s">
        <v>149</v>
      </c>
      <c r="BH21" s="338"/>
      <c r="BI21" s="162"/>
      <c r="BJ21" s="339"/>
      <c r="BK21" s="117"/>
      <c r="BL21" s="117"/>
      <c r="BM21" s="117"/>
      <c r="BN21" s="117"/>
      <c r="BO21" s="117"/>
      <c r="BP21" s="117"/>
      <c r="BQ21" s="117"/>
      <c r="BR21" s="117"/>
      <c r="BS21" s="617"/>
      <c r="BT21" s="614"/>
      <c r="BU21" s="625"/>
      <c r="BV21" s="614"/>
      <c r="BW21" s="117"/>
      <c r="BX21" s="117"/>
      <c r="BY21" s="628"/>
      <c r="BZ21" s="628"/>
      <c r="CA21" s="531"/>
      <c r="CB21" s="531"/>
      <c r="CC21" s="617"/>
      <c r="CD21" s="614"/>
      <c r="CE21" s="625"/>
      <c r="CF21" s="614"/>
    </row>
    <row r="22" spans="1:84" ht="19.5" customHeight="1" x14ac:dyDescent="0.3">
      <c r="A22" s="437" t="s">
        <v>158</v>
      </c>
      <c r="B22" s="1295">
        <v>160</v>
      </c>
      <c r="C22" s="438"/>
      <c r="D22" s="1275">
        <f t="shared" si="2"/>
        <v>34899225.5</v>
      </c>
      <c r="E22" s="64">
        <f>H22+AB22+AW22+AU22</f>
        <v>35213060.950000003</v>
      </c>
      <c r="F22" s="411">
        <f t="shared" si="0"/>
        <v>313835.45000000298</v>
      </c>
      <c r="G22" s="297"/>
      <c r="H22" s="158"/>
      <c r="I22" s="668">
        <f t="shared" si="3"/>
        <v>0</v>
      </c>
      <c r="J22" s="297"/>
      <c r="K22" s="158"/>
      <c r="L22" s="158"/>
      <c r="M22" s="158"/>
      <c r="N22" s="158"/>
      <c r="O22" s="669"/>
      <c r="P22" s="297"/>
      <c r="Q22" s="158"/>
      <c r="R22" s="158"/>
      <c r="S22" s="158"/>
      <c r="T22" s="298"/>
      <c r="U22" s="285"/>
      <c r="V22" s="285"/>
      <c r="W22" s="316"/>
      <c r="X22" s="297"/>
      <c r="Y22" s="285"/>
      <c r="Z22" s="316"/>
      <c r="AA22" s="279"/>
      <c r="AB22" s="310"/>
      <c r="AC22" s="375"/>
      <c r="AD22" s="528"/>
      <c r="AE22" s="310"/>
      <c r="AF22" s="63"/>
      <c r="AG22" s="357"/>
      <c r="AH22" s="382"/>
      <c r="AI22" s="153"/>
      <c r="AJ22" s="357"/>
      <c r="AK22" s="310"/>
      <c r="AL22" s="63"/>
      <c r="AM22" s="360"/>
      <c r="AN22" s="279"/>
      <c r="AO22" s="63"/>
      <c r="AP22" s="360"/>
      <c r="AQ22" s="279"/>
      <c r="AR22" s="63"/>
      <c r="AS22" s="360"/>
      <c r="AT22" s="425"/>
      <c r="AU22" s="395"/>
      <c r="AV22" s="334">
        <f>34899225.51-0.01</f>
        <v>34899225.5</v>
      </c>
      <c r="AW22" s="161">
        <f>AZ22+BE22+BI22</f>
        <v>35213060.950000003</v>
      </c>
      <c r="AX22" s="1013">
        <f t="shared" si="1"/>
        <v>313835.45000000298</v>
      </c>
      <c r="AY22" s="338">
        <v>14623053.460000001</v>
      </c>
      <c r="AZ22" s="162">
        <f>14623053.46</f>
        <v>14623053.460000001</v>
      </c>
      <c r="BA22" s="162">
        <f>AZ22-AY22</f>
        <v>0</v>
      </c>
      <c r="BB22" s="1309"/>
      <c r="BC22" s="339"/>
      <c r="BD22" s="324">
        <v>11158193.82</v>
      </c>
      <c r="BE22" s="162">
        <v>11158193.82</v>
      </c>
      <c r="BF22" s="339">
        <f>BE22-BD22</f>
        <v>0</v>
      </c>
      <c r="BG22" s="542"/>
      <c r="BH22" s="338">
        <v>9117978.2300000004</v>
      </c>
      <c r="BI22" s="162">
        <f>9117978.23+313835.44</f>
        <v>9431813.6699999999</v>
      </c>
      <c r="BJ22" s="339">
        <f>BI22-BH22</f>
        <v>313835.43999999948</v>
      </c>
      <c r="BK22" s="117"/>
      <c r="BL22" s="117"/>
      <c r="BM22" s="117"/>
      <c r="BN22" s="117"/>
      <c r="BO22" s="117"/>
      <c r="BP22" s="117"/>
      <c r="BQ22" s="117"/>
      <c r="BR22" s="117"/>
      <c r="BS22" s="617"/>
      <c r="BT22" s="614"/>
      <c r="BU22" s="618">
        <v>106376.9</v>
      </c>
      <c r="BV22" s="614"/>
      <c r="BW22" s="117"/>
      <c r="BX22" s="117"/>
      <c r="BY22" s="628"/>
      <c r="BZ22" s="628"/>
      <c r="CA22" s="531"/>
      <c r="CB22" s="531"/>
      <c r="CC22" s="617"/>
      <c r="CD22" s="614"/>
      <c r="CE22" s="618">
        <v>106376.9</v>
      </c>
      <c r="CF22" s="614"/>
    </row>
    <row r="23" spans="1:84" ht="22.5" customHeight="1" x14ac:dyDescent="0.3">
      <c r="A23" s="437" t="s">
        <v>159</v>
      </c>
      <c r="B23" s="1295">
        <v>180</v>
      </c>
      <c r="C23" s="1299" t="s">
        <v>149</v>
      </c>
      <c r="D23" s="1275">
        <f>G23+AA23+AV23+AT23</f>
        <v>0</v>
      </c>
      <c r="E23" s="64">
        <f>H23+AB23+AW23+AU23</f>
        <v>0</v>
      </c>
      <c r="F23" s="411">
        <f t="shared" si="0"/>
        <v>0</v>
      </c>
      <c r="G23" s="295"/>
      <c r="H23" s="159"/>
      <c r="I23" s="668">
        <f t="shared" si="3"/>
        <v>0</v>
      </c>
      <c r="J23" s="295"/>
      <c r="K23" s="159"/>
      <c r="L23" s="159"/>
      <c r="M23" s="159"/>
      <c r="N23" s="159"/>
      <c r="O23" s="668"/>
      <c r="P23" s="295"/>
      <c r="Q23" s="159"/>
      <c r="R23" s="159"/>
      <c r="S23" s="159"/>
      <c r="T23" s="296"/>
      <c r="U23" s="284"/>
      <c r="V23" s="284"/>
      <c r="W23" s="315"/>
      <c r="X23" s="295"/>
      <c r="Y23" s="284"/>
      <c r="Z23" s="315"/>
      <c r="AA23" s="277"/>
      <c r="AB23" s="308"/>
      <c r="AC23" s="373"/>
      <c r="AD23" s="526"/>
      <c r="AE23" s="308"/>
      <c r="AF23" s="154"/>
      <c r="AG23" s="357"/>
      <c r="AH23" s="380"/>
      <c r="AI23" s="153"/>
      <c r="AJ23" s="357"/>
      <c r="AK23" s="308"/>
      <c r="AL23" s="154"/>
      <c r="AM23" s="358"/>
      <c r="AN23" s="277"/>
      <c r="AO23" s="154"/>
      <c r="AP23" s="358"/>
      <c r="AQ23" s="277"/>
      <c r="AR23" s="154"/>
      <c r="AS23" s="358"/>
      <c r="AT23" s="423"/>
      <c r="AU23" s="393"/>
      <c r="AV23" s="334">
        <v>0</v>
      </c>
      <c r="AW23" s="161">
        <f t="shared" si="4"/>
        <v>0</v>
      </c>
      <c r="AX23" s="1013">
        <f t="shared" si="1"/>
        <v>0</v>
      </c>
      <c r="AY23" s="336"/>
      <c r="AZ23" s="260"/>
      <c r="BA23" s="260"/>
      <c r="BB23" s="1308"/>
      <c r="BC23" s="337"/>
      <c r="BD23" s="324"/>
      <c r="BE23" s="162"/>
      <c r="BF23" s="339">
        <f>BE23-BD23</f>
        <v>0</v>
      </c>
      <c r="BG23" s="543" t="s">
        <v>149</v>
      </c>
      <c r="BH23" s="338"/>
      <c r="BI23" s="162"/>
      <c r="BJ23" s="339">
        <f>BI23-BH23</f>
        <v>0</v>
      </c>
      <c r="BK23" s="117"/>
      <c r="BL23" s="117"/>
      <c r="BM23" s="117"/>
      <c r="BN23" s="117"/>
      <c r="BO23" s="117"/>
      <c r="BP23" s="117"/>
      <c r="BQ23" s="117"/>
      <c r="BR23" s="117"/>
      <c r="BS23" s="617"/>
      <c r="BT23" s="614"/>
      <c r="BU23" s="618">
        <v>495312.5</v>
      </c>
      <c r="BV23" s="614"/>
      <c r="BW23" s="117"/>
      <c r="BX23" s="117"/>
      <c r="BY23" s="628"/>
      <c r="BZ23" s="628"/>
      <c r="CA23" s="531"/>
      <c r="CB23" s="533">
        <f>BY24-CB24</f>
        <v>60175149.48999995</v>
      </c>
      <c r="CC23" s="617"/>
      <c r="CD23" s="614"/>
      <c r="CE23" s="618">
        <v>495312.5</v>
      </c>
      <c r="CF23" s="614"/>
    </row>
    <row r="24" spans="1:84" s="115" customFormat="1" ht="18.75" x14ac:dyDescent="0.3">
      <c r="A24" s="435" t="s">
        <v>160</v>
      </c>
      <c r="B24" s="1296">
        <v>200</v>
      </c>
      <c r="C24" s="436" t="s">
        <v>149</v>
      </c>
      <c r="D24" s="1276">
        <f>D25+D46+D34</f>
        <v>639380734.995</v>
      </c>
      <c r="E24" s="59">
        <f>H24+AB24+AW24+AU24</f>
        <v>740999190.68444026</v>
      </c>
      <c r="F24" s="410">
        <f t="shared" si="0"/>
        <v>101618455.68944025</v>
      </c>
      <c r="G24" s="293">
        <f>G25+G30+G34+G43+G46+G68+G72</f>
        <v>239742190.98000002</v>
      </c>
      <c r="H24" s="157">
        <f>H25+H37+H46</f>
        <v>325894021.1344403</v>
      </c>
      <c r="I24" s="667">
        <f>H24-G24</f>
        <v>86151830.154440284</v>
      </c>
      <c r="J24" s="293">
        <f>J25+J34+J46</f>
        <v>121550240.51000001</v>
      </c>
      <c r="K24" s="157">
        <f t="shared" ref="K24:O24" si="6">K25+K34+K46</f>
        <v>163190980.46499997</v>
      </c>
      <c r="L24" s="157">
        <f t="shared" si="6"/>
        <v>41640739.954999983</v>
      </c>
      <c r="M24" s="157">
        <f t="shared" si="6"/>
        <v>52486106.82</v>
      </c>
      <c r="N24" s="157">
        <f t="shared" si="6"/>
        <v>82114460</v>
      </c>
      <c r="O24" s="157">
        <f t="shared" si="6"/>
        <v>81076520.464999989</v>
      </c>
      <c r="P24" s="293">
        <f>P25+P30+P34+P43+P46+P68+P72</f>
        <v>73111481.360000014</v>
      </c>
      <c r="Q24" s="157">
        <f>Q25+Q30+Q34+Q43+Q46+Q68+Q72</f>
        <v>124229856.6426276</v>
      </c>
      <c r="R24" s="157">
        <f>Q24-P24</f>
        <v>51118375.282627583</v>
      </c>
      <c r="S24" s="157">
        <f t="shared" ref="S24:T24" si="7">S25+S30+S34+S43+S46+S68+S72</f>
        <v>87249163.609999999</v>
      </c>
      <c r="T24" s="157">
        <f t="shared" si="7"/>
        <v>36980693.032627583</v>
      </c>
      <c r="U24" s="283">
        <f>U25+U30+U34+U43+U46+U68+U72</f>
        <v>45080469.100000001</v>
      </c>
      <c r="V24" s="283">
        <f>V25+V30+V34+V43+V46+V68+V72</f>
        <v>34901017.597189084</v>
      </c>
      <c r="W24" s="314">
        <f>V24-U24</f>
        <v>-10179451.502810918</v>
      </c>
      <c r="X24" s="293"/>
      <c r="Y24" s="283">
        <f>Y25+Y30+Y34+Y43+Y46+Y68+Y72</f>
        <v>5816836.2661981788</v>
      </c>
      <c r="Z24" s="314"/>
      <c r="AA24" s="276"/>
      <c r="AB24" s="307"/>
      <c r="AC24" s="372"/>
      <c r="AD24" s="525"/>
      <c r="AE24" s="307"/>
      <c r="AF24" s="153"/>
      <c r="AG24" s="357"/>
      <c r="AH24" s="379"/>
      <c r="AI24" s="153"/>
      <c r="AJ24" s="357"/>
      <c r="AK24" s="307"/>
      <c r="AL24" s="153"/>
      <c r="AM24" s="357"/>
      <c r="AN24" s="153"/>
      <c r="AO24" s="153"/>
      <c r="AP24" s="357"/>
      <c r="AQ24" s="153"/>
      <c r="AR24" s="153"/>
      <c r="AS24" s="357"/>
      <c r="AT24" s="422"/>
      <c r="AU24" s="396"/>
      <c r="AV24" s="334">
        <v>399638544.01499999</v>
      </c>
      <c r="AW24" s="161">
        <f>AZ24+BE24+BI24</f>
        <v>415105169.54999995</v>
      </c>
      <c r="AX24" s="1013">
        <f t="shared" si="1"/>
        <v>15466625.534999967</v>
      </c>
      <c r="AY24" s="334">
        <f>AY25+AY30+AY42+AY43+AY68+AY46+AY34</f>
        <v>331413056.08999997</v>
      </c>
      <c r="AZ24" s="161">
        <f>AZ25+AZ30+AZ42+AZ43+AZ68+AZ46+AZ34</f>
        <v>331413056.08999997</v>
      </c>
      <c r="BA24" s="161">
        <f>AZ24-AY24</f>
        <v>0</v>
      </c>
      <c r="BB24" s="161">
        <f t="shared" ref="BB24:BC24" si="8">BB25+BB30+BB42+BB43+BB68+BB46+BB34</f>
        <v>248071771.95999998</v>
      </c>
      <c r="BC24" s="335">
        <f t="shared" si="8"/>
        <v>83341284.13000001</v>
      </c>
      <c r="BD24" s="323">
        <f>BD25+BD30+BD42+BD43+BD46+BD68+BD34</f>
        <v>55953690.5</v>
      </c>
      <c r="BE24" s="161">
        <f>BE25+BE30+BE42+BE43+BE46+BE68+BE34</f>
        <v>71106480.590000004</v>
      </c>
      <c r="BF24" s="335">
        <f>BE24-BD24</f>
        <v>15152790.090000004</v>
      </c>
      <c r="BG24" s="539">
        <f>BG25+BG30+BG37+BG42+BG43+BG68+BG46</f>
        <v>0</v>
      </c>
      <c r="BH24" s="334">
        <f>BH25+BH30+BH42+BH43+BH46+BH68+BH34</f>
        <v>12271797.430000002</v>
      </c>
      <c r="BI24" s="161">
        <f>BI25+BI30+BI42+BI43+BI46+BI68+BI34</f>
        <v>12585632.870000003</v>
      </c>
      <c r="BJ24" s="335">
        <f>BI24-BH24</f>
        <v>313835.44000000134</v>
      </c>
      <c r="BL24" s="969">
        <v>315793818.93169999</v>
      </c>
      <c r="BM24" s="135">
        <f>BL24-AZ24</f>
        <v>-15619237.158299983</v>
      </c>
      <c r="BS24" s="334">
        <f>BS25+BS30+BS42+BS43+BS46+BS68+BS34</f>
        <v>0</v>
      </c>
      <c r="BT24" s="539">
        <f>BT25+BT30+BT42+BT43+BT46+BT68+BT34</f>
        <v>0</v>
      </c>
      <c r="BU24" s="334">
        <f t="shared" ref="BU24:BV24" si="9">BU25+BU30+BU42+BU43+BU46+BU68+BU34</f>
        <v>69438047.340000004</v>
      </c>
      <c r="BV24" s="539">
        <f t="shared" si="9"/>
        <v>-69438047.340000004</v>
      </c>
      <c r="BY24" s="628">
        <f>AV24</f>
        <v>399638544.01499999</v>
      </c>
      <c r="BZ24" s="628">
        <f t="shared" ref="BZ24:BZ75" si="10">CC24+CE24</f>
        <v>331661665.28999996</v>
      </c>
      <c r="CA24" s="535">
        <f>BY24-BZ24</f>
        <v>67976878.725000024</v>
      </c>
      <c r="CB24" s="334">
        <f>CB25+CB30+CB42+CB43+CB46+CB68+CB34</f>
        <v>339463394.52500004</v>
      </c>
      <c r="CC24" s="334">
        <f>CC25+CC30+CC42+CC43+CC46+CC68+CC34</f>
        <v>262223617.94999999</v>
      </c>
      <c r="CD24" s="539">
        <f>CD25+CD30+CD42+CD43+CD46+CD68+CD34</f>
        <v>69189438.140000001</v>
      </c>
      <c r="CE24" s="334">
        <f t="shared" ref="CE24:CF24" si="11">CE25+CE30+CE42+CE43+CE46+CE68+CE34</f>
        <v>69438047.340000004</v>
      </c>
      <c r="CF24" s="539">
        <f t="shared" si="11"/>
        <v>-13484356.840000002</v>
      </c>
    </row>
    <row r="25" spans="1:84" s="115" customFormat="1" ht="18.75" customHeight="1" x14ac:dyDescent="0.3">
      <c r="A25" s="435" t="s">
        <v>161</v>
      </c>
      <c r="B25" s="1296">
        <v>210</v>
      </c>
      <c r="C25" s="436">
        <v>110</v>
      </c>
      <c r="D25" s="1274">
        <f>D27+D28+D29</f>
        <v>397349570.79999995</v>
      </c>
      <c r="E25" s="59">
        <f>H25+AB25+AW25+AU25</f>
        <v>476595677.32499993</v>
      </c>
      <c r="F25" s="410">
        <f t="shared" si="0"/>
        <v>79246106.524999976</v>
      </c>
      <c r="G25" s="293">
        <f>G27+G28+G29</f>
        <v>187885462.61000001</v>
      </c>
      <c r="H25" s="157">
        <f>H27+H28+H29</f>
        <v>257624855.71499997</v>
      </c>
      <c r="I25" s="667">
        <f>H25-G25</f>
        <v>69739393.104999959</v>
      </c>
      <c r="J25" s="293">
        <f>J27+J28+J29</f>
        <v>121550240.51000001</v>
      </c>
      <c r="K25" s="157">
        <f t="shared" ref="K25:O25" si="12">K27+K28+K29</f>
        <v>163190980.46499997</v>
      </c>
      <c r="L25" s="157">
        <f t="shared" si="12"/>
        <v>41640739.954999983</v>
      </c>
      <c r="M25" s="157">
        <f t="shared" si="12"/>
        <v>52486106.82</v>
      </c>
      <c r="N25" s="157">
        <f t="shared" si="12"/>
        <v>82114460</v>
      </c>
      <c r="O25" s="157">
        <f t="shared" si="12"/>
        <v>81076520.464999989</v>
      </c>
      <c r="P25" s="293">
        <f>P27+P28+P29</f>
        <v>40250801.520000003</v>
      </c>
      <c r="Q25" s="157">
        <f>Q27+Q28+Q29</f>
        <v>73098543.430000007</v>
      </c>
      <c r="R25" s="157">
        <f>Q25-P25</f>
        <v>32847741.910000004</v>
      </c>
      <c r="S25" s="157">
        <f t="shared" ref="S25:T25" si="13">S27+S28+S29</f>
        <v>56580710.909999996</v>
      </c>
      <c r="T25" s="157">
        <f t="shared" si="13"/>
        <v>16517832.519999998</v>
      </c>
      <c r="U25" s="283">
        <f>U27+U28+U29</f>
        <v>26084420.580000002</v>
      </c>
      <c r="V25" s="283">
        <f>V27+V28+V29</f>
        <v>17969600</v>
      </c>
      <c r="W25" s="314">
        <f>V25-U25</f>
        <v>-8114820.5800000019</v>
      </c>
      <c r="X25" s="293"/>
      <c r="Y25" s="283">
        <f>Y27+Y28+Y29</f>
        <v>3365731.82</v>
      </c>
      <c r="Z25" s="314"/>
      <c r="AA25" s="276"/>
      <c r="AB25" s="307"/>
      <c r="AC25" s="372"/>
      <c r="AD25" s="525"/>
      <c r="AE25" s="307"/>
      <c r="AF25" s="153"/>
      <c r="AG25" s="357"/>
      <c r="AH25" s="379"/>
      <c r="AI25" s="153"/>
      <c r="AJ25" s="357"/>
      <c r="AK25" s="307"/>
      <c r="AL25" s="153"/>
      <c r="AM25" s="357"/>
      <c r="AN25" s="153"/>
      <c r="AO25" s="153"/>
      <c r="AP25" s="357"/>
      <c r="AQ25" s="153"/>
      <c r="AR25" s="153"/>
      <c r="AS25" s="357"/>
      <c r="AT25" s="422"/>
      <c r="AU25" s="396"/>
      <c r="AV25" s="334">
        <v>209464108.19</v>
      </c>
      <c r="AW25" s="161">
        <f>AZ25+BE25+BI25</f>
        <v>218970821.60999998</v>
      </c>
      <c r="AX25" s="1013">
        <f t="shared" si="1"/>
        <v>9506713.4199999869</v>
      </c>
      <c r="AY25" s="334">
        <f>AY27+AY28+AY29</f>
        <v>170310396.47</v>
      </c>
      <c r="AZ25" s="161">
        <f>AZ27+AZ28+AZ29</f>
        <v>170310396.47</v>
      </c>
      <c r="BA25" s="161">
        <f>AZ25-AY25</f>
        <v>0</v>
      </c>
      <c r="BB25" s="161">
        <f t="shared" ref="BB25:BC25" si="14">BB27+BB28+BB29</f>
        <v>151459508.94</v>
      </c>
      <c r="BC25" s="335">
        <f t="shared" si="14"/>
        <v>18850887.530000001</v>
      </c>
      <c r="BD25" s="323">
        <f>BD27+BD28+BD29</f>
        <v>32053015.510000002</v>
      </c>
      <c r="BE25" s="161">
        <f>BE27+BE28+BE29</f>
        <v>41245893.489999995</v>
      </c>
      <c r="BF25" s="335">
        <f>BE25-BD25</f>
        <v>9192877.979999993</v>
      </c>
      <c r="BG25" s="539">
        <f>BG27+BG28+BG29</f>
        <v>0</v>
      </c>
      <c r="BH25" s="334">
        <f>BH27+BH28+BH29</f>
        <v>7100696.21</v>
      </c>
      <c r="BI25" s="161">
        <f>BI27+BI28+BI29</f>
        <v>7414531.6499999994</v>
      </c>
      <c r="BJ25" s="335">
        <f>BI25-BH25</f>
        <v>313835.43999999948</v>
      </c>
      <c r="BS25" s="334">
        <f>BS27+BS28+BS29</f>
        <v>0</v>
      </c>
      <c r="BT25" s="539">
        <f>BT27+BT28+BT29</f>
        <v>0</v>
      </c>
      <c r="BU25" s="334">
        <f t="shared" ref="BU25:BV25" si="15">BU27+BU28+BU29</f>
        <v>43280242.210000001</v>
      </c>
      <c r="BV25" s="539">
        <f t="shared" si="15"/>
        <v>-43280242.210000001</v>
      </c>
      <c r="BY25" s="628">
        <f>AV25</f>
        <v>209464108.19</v>
      </c>
      <c r="BZ25" s="628">
        <f t="shared" si="10"/>
        <v>198794090.73000002</v>
      </c>
      <c r="CA25" s="535">
        <f t="shared" ref="CA25:CA75" si="16">BY25-BZ25</f>
        <v>10670017.459999979</v>
      </c>
      <c r="CB25" s="334">
        <f>CB27+CB28+CB29</f>
        <v>207156438.47000003</v>
      </c>
      <c r="CC25" s="334">
        <f>CC27+CC28+CC29</f>
        <v>155513848.52000001</v>
      </c>
      <c r="CD25" s="539">
        <f>CD27+CD28+CD29</f>
        <v>14796547.949999996</v>
      </c>
      <c r="CE25" s="334">
        <f t="shared" ref="CE25:CF25" si="17">CE27+CE28+CE29</f>
        <v>43280242.210000001</v>
      </c>
      <c r="CF25" s="539">
        <f t="shared" si="17"/>
        <v>-11227226.700000003</v>
      </c>
    </row>
    <row r="26" spans="1:84" ht="18.75" x14ac:dyDescent="0.3">
      <c r="A26" s="437" t="s">
        <v>92</v>
      </c>
      <c r="B26" s="133"/>
      <c r="C26" s="438"/>
      <c r="D26" s="1275"/>
      <c r="E26" s="59">
        <f>H26+AB26+AV26+AU26</f>
        <v>0</v>
      </c>
      <c r="F26" s="410">
        <f t="shared" si="0"/>
        <v>0</v>
      </c>
      <c r="G26" s="297"/>
      <c r="H26" s="158"/>
      <c r="I26" s="667">
        <f t="shared" ref="I26:I75" si="18">H26-G26</f>
        <v>0</v>
      </c>
      <c r="J26" s="297"/>
      <c r="K26" s="158"/>
      <c r="L26" s="158"/>
      <c r="M26" s="158"/>
      <c r="N26" s="158"/>
      <c r="O26" s="669"/>
      <c r="P26" s="297"/>
      <c r="Q26" s="158"/>
      <c r="R26" s="158"/>
      <c r="S26" s="158"/>
      <c r="T26" s="298"/>
      <c r="U26" s="285"/>
      <c r="V26" s="285"/>
      <c r="W26" s="316"/>
      <c r="X26" s="297"/>
      <c r="Y26" s="285"/>
      <c r="Z26" s="316"/>
      <c r="AA26" s="279"/>
      <c r="AB26" s="310"/>
      <c r="AC26" s="375"/>
      <c r="AD26" s="528"/>
      <c r="AE26" s="310"/>
      <c r="AF26" s="63"/>
      <c r="AG26" s="357"/>
      <c r="AH26" s="382"/>
      <c r="AI26" s="153"/>
      <c r="AJ26" s="357"/>
      <c r="AK26" s="310"/>
      <c r="AL26" s="63"/>
      <c r="AM26" s="360"/>
      <c r="AN26" s="279"/>
      <c r="AO26" s="63"/>
      <c r="AP26" s="360"/>
      <c r="AQ26" s="279"/>
      <c r="AR26" s="63"/>
      <c r="AS26" s="360"/>
      <c r="AT26" s="425"/>
      <c r="AU26" s="395"/>
      <c r="AV26" s="334">
        <v>0</v>
      </c>
      <c r="AW26" s="161">
        <f t="shared" ref="AW26:AW74" si="19">AZ26+BE26+BI26</f>
        <v>0</v>
      </c>
      <c r="AX26" s="1013">
        <f t="shared" si="1"/>
        <v>0</v>
      </c>
      <c r="AY26" s="338"/>
      <c r="AZ26" s="162"/>
      <c r="BA26" s="162"/>
      <c r="BB26" s="1309"/>
      <c r="BC26" s="339"/>
      <c r="BD26" s="324"/>
      <c r="BE26" s="162"/>
      <c r="BF26" s="339"/>
      <c r="BG26" s="540"/>
      <c r="BH26" s="338"/>
      <c r="BI26" s="162"/>
      <c r="BJ26" s="339"/>
      <c r="BK26" s="117"/>
      <c r="BL26" s="117"/>
      <c r="BM26" s="117"/>
      <c r="BN26" s="117"/>
      <c r="BO26" s="117"/>
      <c r="BP26" s="117"/>
      <c r="BQ26" s="117"/>
      <c r="BR26" s="117"/>
      <c r="BS26" s="617"/>
      <c r="BT26" s="614"/>
      <c r="BU26" s="625"/>
      <c r="BV26" s="614"/>
      <c r="BW26" s="117"/>
      <c r="BX26" s="117"/>
      <c r="BY26" s="628">
        <f t="shared" ref="BY26:BY77" si="20">AV26</f>
        <v>0</v>
      </c>
      <c r="BZ26" s="628">
        <f t="shared" si="10"/>
        <v>0</v>
      </c>
      <c r="CA26" s="535">
        <f t="shared" si="16"/>
        <v>0</v>
      </c>
      <c r="CB26" s="533"/>
      <c r="CC26" s="617"/>
      <c r="CD26" s="614"/>
      <c r="CE26" s="625"/>
      <c r="CF26" s="614"/>
    </row>
    <row r="27" spans="1:84" ht="18.75" customHeight="1" x14ac:dyDescent="0.3">
      <c r="A27" s="437" t="s">
        <v>162</v>
      </c>
      <c r="B27" s="1385">
        <v>211</v>
      </c>
      <c r="C27" s="1299">
        <v>111</v>
      </c>
      <c r="D27" s="1275">
        <f>G27+AA27+AV27+AU27</f>
        <v>303725698.51999998</v>
      </c>
      <c r="E27" s="64">
        <f>H27+AB27+AW27+AU27</f>
        <v>364403061.26999998</v>
      </c>
      <c r="F27" s="1248">
        <f t="shared" si="0"/>
        <v>60677362.75</v>
      </c>
      <c r="G27" s="297">
        <v>143436558.53</v>
      </c>
      <c r="H27" s="158">
        <f>K27+Q27+V27+Y27</f>
        <v>196878110.87</v>
      </c>
      <c r="I27" s="669">
        <f t="shared" si="18"/>
        <v>53441552.340000004</v>
      </c>
      <c r="J27" s="297">
        <v>93378135.340000004</v>
      </c>
      <c r="K27" s="158">
        <v>125338694.68000001</v>
      </c>
      <c r="L27" s="158">
        <f>K27-J27</f>
        <v>31960559.340000004</v>
      </c>
      <c r="M27" s="158">
        <f>40311.91*1000</f>
        <v>40311910</v>
      </c>
      <c r="N27" s="158">
        <f>82114460/1.302</f>
        <v>63067941.628264204</v>
      </c>
      <c r="O27" s="669">
        <f>K27-N27</f>
        <v>62270753.051735803</v>
      </c>
      <c r="P27" s="297">
        <v>30201086.870000001</v>
      </c>
      <c r="Q27" s="158">
        <v>55154372.369999997</v>
      </c>
      <c r="R27" s="158">
        <f>Q27-P27</f>
        <v>24953285.499999996</v>
      </c>
      <c r="S27" s="158">
        <f>84395120.83-M27</f>
        <v>44083210.829999998</v>
      </c>
      <c r="T27" s="298">
        <f>Q27-S27</f>
        <v>11071161.539999999</v>
      </c>
      <c r="U27" s="285">
        <v>19857336.32</v>
      </c>
      <c r="V27" s="285">
        <v>13800000</v>
      </c>
      <c r="W27" s="316">
        <f>V27-U27</f>
        <v>-6057336.3200000003</v>
      </c>
      <c r="X27" s="297"/>
      <c r="Y27" s="285">
        <f>2585043.82</f>
        <v>2585043.8199999998</v>
      </c>
      <c r="Z27" s="316"/>
      <c r="AA27" s="279"/>
      <c r="AB27" s="310"/>
      <c r="AC27" s="1075"/>
      <c r="AD27" s="528"/>
      <c r="AE27" s="310"/>
      <c r="AF27" s="63"/>
      <c r="AG27" s="357"/>
      <c r="AH27" s="382"/>
      <c r="AI27" s="63"/>
      <c r="AJ27" s="360"/>
      <c r="AK27" s="310"/>
      <c r="AL27" s="63"/>
      <c r="AM27" s="360"/>
      <c r="AN27" s="63"/>
      <c r="AO27" s="63"/>
      <c r="AP27" s="360"/>
      <c r="AQ27" s="279"/>
      <c r="AR27" s="63"/>
      <c r="AS27" s="360"/>
      <c r="AT27" s="425"/>
      <c r="AU27" s="395"/>
      <c r="AV27" s="334">
        <v>160289139.99000001</v>
      </c>
      <c r="AW27" s="161">
        <f t="shared" si="19"/>
        <v>167524950.40000001</v>
      </c>
      <c r="AX27" s="1013">
        <f t="shared" si="1"/>
        <v>7235810.4099999964</v>
      </c>
      <c r="AY27" s="338">
        <v>130433900.66</v>
      </c>
      <c r="AZ27" s="162">
        <v>130433900.66</v>
      </c>
      <c r="BA27" s="162">
        <f>AZ27-AY27</f>
        <v>0</v>
      </c>
      <c r="BB27" s="1309">
        <v>115855062.38</v>
      </c>
      <c r="BC27" s="339">
        <f>AZ27-BB27</f>
        <v>14578838.280000001</v>
      </c>
      <c r="BD27" s="324">
        <v>24449679.02</v>
      </c>
      <c r="BE27" s="162">
        <v>31371653.989999998</v>
      </c>
      <c r="BF27" s="339">
        <f>BE27-BD27</f>
        <v>6921974.9699999988</v>
      </c>
      <c r="BG27" s="540"/>
      <c r="BH27" s="338">
        <v>5405560.3099999996</v>
      </c>
      <c r="BI27" s="162">
        <f>5405560.31+313835.44</f>
        <v>5719395.75</v>
      </c>
      <c r="BJ27" s="339">
        <f>BI27-BH27</f>
        <v>313835.44000000041</v>
      </c>
      <c r="BK27" s="117"/>
      <c r="BL27" s="117"/>
      <c r="BM27" s="117"/>
      <c r="BN27" s="117"/>
      <c r="BO27" s="117"/>
      <c r="BP27" s="117"/>
      <c r="BQ27" s="117"/>
      <c r="BR27" s="117"/>
      <c r="BS27" s="617"/>
      <c r="BT27" s="621">
        <f>AO27-BS27</f>
        <v>0</v>
      </c>
      <c r="BU27" s="617">
        <v>33573582.210000001</v>
      </c>
      <c r="BV27" s="621">
        <f>AR27-BU27</f>
        <v>-33573582.210000001</v>
      </c>
      <c r="BW27" s="117"/>
      <c r="BX27" s="117"/>
      <c r="BY27" s="629">
        <f t="shared" si="20"/>
        <v>160289139.99000001</v>
      </c>
      <c r="BZ27" s="629">
        <f t="shared" si="10"/>
        <v>151333957.74000001</v>
      </c>
      <c r="CA27" s="533">
        <f t="shared" si="16"/>
        <v>8955182.25</v>
      </c>
      <c r="CB27" s="533">
        <f>BY27</f>
        <v>160289139.99000001</v>
      </c>
      <c r="CC27" s="617">
        <v>117760375.53</v>
      </c>
      <c r="CD27" s="621">
        <f>AY27-CC27</f>
        <v>12673525.129999995</v>
      </c>
      <c r="CE27" s="617">
        <v>33573582.210000001</v>
      </c>
      <c r="CF27" s="621">
        <f>BD27-CE27</f>
        <v>-9123903.1900000013</v>
      </c>
    </row>
    <row r="28" spans="1:84" ht="18.75" customHeight="1" x14ac:dyDescent="0.3">
      <c r="A28" s="437" t="s">
        <v>163</v>
      </c>
      <c r="B28" s="1385"/>
      <c r="C28" s="1299">
        <v>119</v>
      </c>
      <c r="D28" s="1275">
        <f>G28+AA28+AV28+AU28</f>
        <v>92331556.010000005</v>
      </c>
      <c r="E28" s="64">
        <f>H28+AB28+AW28+AU28</f>
        <v>110719832.08499998</v>
      </c>
      <c r="F28" s="1073">
        <f t="shared" si="0"/>
        <v>18388276.074999973</v>
      </c>
      <c r="G28" s="297">
        <v>43924235.740000002</v>
      </c>
      <c r="H28" s="158">
        <f>K28+Q28+V28+Y28</f>
        <v>60222076.504999973</v>
      </c>
      <c r="I28" s="669">
        <f t="shared" si="18"/>
        <v>16297840.764999971</v>
      </c>
      <c r="J28" s="297">
        <v>28172105.169999998</v>
      </c>
      <c r="K28" s="158">
        <f>37852285.79-0.00500001-0.000000015</f>
        <v>37852285.784999974</v>
      </c>
      <c r="L28" s="158">
        <f>K28-J28</f>
        <v>9680180.614999976</v>
      </c>
      <c r="M28" s="158">
        <f>M27*0.302</f>
        <v>12174196.82</v>
      </c>
      <c r="N28" s="158">
        <f>N27*0.302</f>
        <v>19046518.371735789</v>
      </c>
      <c r="O28" s="669">
        <f>K28-N28</f>
        <v>18805767.413264185</v>
      </c>
      <c r="P28" s="297">
        <v>9701799.1500000004</v>
      </c>
      <c r="Q28" s="158">
        <v>17421502.719999999</v>
      </c>
      <c r="R28" s="158">
        <f>Q28-P28</f>
        <v>7719703.5699999984</v>
      </c>
      <c r="S28" s="158">
        <f>24333890-M28</f>
        <v>12159693.18</v>
      </c>
      <c r="T28" s="298">
        <f t="shared" ref="T28:T29" si="21">Q28-S28</f>
        <v>5261809.5399999991</v>
      </c>
      <c r="U28" s="285">
        <v>6050331.4199999999</v>
      </c>
      <c r="V28" s="285">
        <v>4167600</v>
      </c>
      <c r="W28" s="316">
        <f>V28-U28</f>
        <v>-1882731.42</v>
      </c>
      <c r="X28" s="297"/>
      <c r="Y28" s="285">
        <v>780688</v>
      </c>
      <c r="Z28" s="316"/>
      <c r="AA28" s="279"/>
      <c r="AB28" s="310"/>
      <c r="AC28" s="1074"/>
      <c r="AD28" s="528"/>
      <c r="AE28" s="310"/>
      <c r="AF28" s="63"/>
      <c r="AG28" s="357"/>
      <c r="AH28" s="382"/>
      <c r="AI28" s="63"/>
      <c r="AJ28" s="360"/>
      <c r="AK28" s="310"/>
      <c r="AL28" s="63"/>
      <c r="AM28" s="360"/>
      <c r="AN28" s="63"/>
      <c r="AO28" s="63"/>
      <c r="AP28" s="360"/>
      <c r="AQ28" s="279"/>
      <c r="AR28" s="63"/>
      <c r="AS28" s="360"/>
      <c r="AT28" s="425"/>
      <c r="AU28" s="395"/>
      <c r="AV28" s="334">
        <v>48407320.270000003</v>
      </c>
      <c r="AW28" s="161">
        <f t="shared" si="19"/>
        <v>50497755.580000006</v>
      </c>
      <c r="AX28" s="1013">
        <f t="shared" si="1"/>
        <v>2090435.3100000024</v>
      </c>
      <c r="AY28" s="338">
        <v>39376495.810000002</v>
      </c>
      <c r="AZ28" s="162">
        <v>39376495.810000002</v>
      </c>
      <c r="BA28" s="162">
        <f>AZ28-AY28</f>
        <v>0</v>
      </c>
      <c r="BB28" s="1309">
        <v>35163074.590000004</v>
      </c>
      <c r="BC28" s="339">
        <f t="shared" ref="BC28:BC29" si="22">AZ28-BB28</f>
        <v>4213421.2199999988</v>
      </c>
      <c r="BD28" s="324">
        <v>7383804.1900000004</v>
      </c>
      <c r="BE28" s="162">
        <v>9474239.5</v>
      </c>
      <c r="BF28" s="339">
        <f>BE28-BD28</f>
        <v>2090435.3099999996</v>
      </c>
      <c r="BG28" s="540"/>
      <c r="BH28" s="338">
        <v>1647020.27</v>
      </c>
      <c r="BI28" s="162">
        <v>1647020.27</v>
      </c>
      <c r="BJ28" s="339">
        <f>BI28-BH28</f>
        <v>0</v>
      </c>
      <c r="BK28" s="117"/>
      <c r="BL28" s="117"/>
      <c r="BM28" s="117"/>
      <c r="BN28" s="117"/>
      <c r="BO28" s="117"/>
      <c r="BP28" s="117"/>
      <c r="BQ28" s="117"/>
      <c r="BR28" s="117"/>
      <c r="BS28" s="617"/>
      <c r="BT28" s="621">
        <f>AO28-BS28</f>
        <v>0</v>
      </c>
      <c r="BU28" s="617">
        <v>9464700.4900000002</v>
      </c>
      <c r="BV28" s="621">
        <f t="shared" ref="BV28:BV29" si="23">AR28-BU28</f>
        <v>-9464700.4900000002</v>
      </c>
      <c r="BW28" s="117"/>
      <c r="BX28" s="117"/>
      <c r="BY28" s="629">
        <f t="shared" si="20"/>
        <v>48407320.270000003</v>
      </c>
      <c r="BZ28" s="629">
        <f t="shared" si="10"/>
        <v>46099650.550000004</v>
      </c>
      <c r="CA28" s="533">
        <f t="shared" si="16"/>
        <v>2307669.7199999988</v>
      </c>
      <c r="CB28" s="533">
        <f>BZ28</f>
        <v>46099650.550000004</v>
      </c>
      <c r="CC28" s="617">
        <f>36338408.06+96542+200000</f>
        <v>36634950.060000002</v>
      </c>
      <c r="CD28" s="621">
        <f>AY28-CC28</f>
        <v>2741545.75</v>
      </c>
      <c r="CE28" s="617">
        <v>9464700.4900000002</v>
      </c>
      <c r="CF28" s="621">
        <f t="shared" ref="CF28:CF29" si="24">BD28-CE28</f>
        <v>-2080896.2999999998</v>
      </c>
    </row>
    <row r="29" spans="1:84" ht="39.75" customHeight="1" x14ac:dyDescent="0.3">
      <c r="A29" s="437" t="s">
        <v>164</v>
      </c>
      <c r="B29" s="1385"/>
      <c r="C29" s="1299">
        <v>112</v>
      </c>
      <c r="D29" s="1275">
        <f>G29+AA29+AV29+AU29</f>
        <v>1292316.27</v>
      </c>
      <c r="E29" s="64">
        <f>H29+AB29+AW29+AU29</f>
        <v>1472783.97</v>
      </c>
      <c r="F29" s="410">
        <f t="shared" si="0"/>
        <v>180467.69999999995</v>
      </c>
      <c r="G29" s="297">
        <v>524668.34</v>
      </c>
      <c r="H29" s="158">
        <f>Q29+V29+Y29</f>
        <v>524668.34</v>
      </c>
      <c r="I29" s="669">
        <f t="shared" si="18"/>
        <v>0</v>
      </c>
      <c r="J29" s="297"/>
      <c r="K29" s="158"/>
      <c r="L29" s="158"/>
      <c r="M29" s="158"/>
      <c r="N29" s="158"/>
      <c r="O29" s="669"/>
      <c r="P29" s="297">
        <v>347915.5</v>
      </c>
      <c r="Q29" s="158">
        <f>G29-J29-V29</f>
        <v>522668.33999999997</v>
      </c>
      <c r="R29" s="158">
        <f>Q29-P29</f>
        <v>174752.83999999997</v>
      </c>
      <c r="S29" s="158">
        <v>337806.9</v>
      </c>
      <c r="T29" s="298">
        <f t="shared" si="21"/>
        <v>184861.43999999994</v>
      </c>
      <c r="U29" s="285">
        <v>176752.84</v>
      </c>
      <c r="V29" s="285">
        <v>2000</v>
      </c>
      <c r="W29" s="316">
        <f>V29-U29</f>
        <v>-174752.84</v>
      </c>
      <c r="X29" s="297"/>
      <c r="Y29" s="285"/>
      <c r="Z29" s="316"/>
      <c r="AA29" s="279"/>
      <c r="AB29" s="310"/>
      <c r="AC29" s="375"/>
      <c r="AD29" s="528"/>
      <c r="AE29" s="310"/>
      <c r="AF29" s="63"/>
      <c r="AG29" s="357"/>
      <c r="AH29" s="382"/>
      <c r="AI29" s="153"/>
      <c r="AJ29" s="357"/>
      <c r="AK29" s="310"/>
      <c r="AL29" s="63"/>
      <c r="AM29" s="360"/>
      <c r="AN29" s="279"/>
      <c r="AO29" s="63"/>
      <c r="AP29" s="360"/>
      <c r="AQ29" s="279"/>
      <c r="AR29" s="63"/>
      <c r="AS29" s="360"/>
      <c r="AT29" s="425"/>
      <c r="AU29" s="395"/>
      <c r="AV29" s="334">
        <v>767647.93</v>
      </c>
      <c r="AW29" s="161">
        <f t="shared" si="19"/>
        <v>948115.63</v>
      </c>
      <c r="AX29" s="1013">
        <f t="shared" si="1"/>
        <v>180467.69999999995</v>
      </c>
      <c r="AY29" s="338">
        <v>500000</v>
      </c>
      <c r="AZ29" s="162">
        <v>500000</v>
      </c>
      <c r="BA29" s="162">
        <f>AZ29-AY29</f>
        <v>0</v>
      </c>
      <c r="BB29" s="1309">
        <v>441371.97</v>
      </c>
      <c r="BC29" s="339">
        <f t="shared" si="22"/>
        <v>58628.030000000028</v>
      </c>
      <c r="BD29" s="324">
        <v>219532.3</v>
      </c>
      <c r="BE29" s="162">
        <v>400000</v>
      </c>
      <c r="BF29" s="339">
        <f>BE29-BD29</f>
        <v>180467.7</v>
      </c>
      <c r="BG29" s="540"/>
      <c r="BH29" s="338">
        <v>48115.63</v>
      </c>
      <c r="BI29" s="162">
        <v>48115.63</v>
      </c>
      <c r="BJ29" s="339">
        <f>BI29-BH29</f>
        <v>0</v>
      </c>
      <c r="BK29" s="117"/>
      <c r="BL29" s="117"/>
      <c r="BM29" s="117"/>
      <c r="BN29" s="117"/>
      <c r="BO29" s="117"/>
      <c r="BP29" s="117"/>
      <c r="BQ29" s="117"/>
      <c r="BR29" s="117"/>
      <c r="BS29" s="617"/>
      <c r="BT29" s="621">
        <f>AO29-BS29</f>
        <v>0</v>
      </c>
      <c r="BU29" s="617">
        <v>241959.51</v>
      </c>
      <c r="BV29" s="621">
        <f t="shared" si="23"/>
        <v>-241959.51</v>
      </c>
      <c r="BW29" s="117"/>
      <c r="BX29" s="117"/>
      <c r="BY29" s="629">
        <f t="shared" si="20"/>
        <v>767647.93</v>
      </c>
      <c r="BZ29" s="629">
        <f t="shared" si="10"/>
        <v>1360482.44</v>
      </c>
      <c r="CA29" s="533">
        <f t="shared" si="16"/>
        <v>-592834.50999999989</v>
      </c>
      <c r="CB29" s="533">
        <f>BY29</f>
        <v>767647.93</v>
      </c>
      <c r="CC29" s="617">
        <v>1118522.93</v>
      </c>
      <c r="CD29" s="621">
        <f>AY29-CC29</f>
        <v>-618522.92999999993</v>
      </c>
      <c r="CE29" s="617">
        <v>241959.51</v>
      </c>
      <c r="CF29" s="621">
        <f t="shared" si="24"/>
        <v>-22427.210000000021</v>
      </c>
    </row>
    <row r="30" spans="1:84" s="115" customFormat="1" ht="31.5" x14ac:dyDescent="0.3">
      <c r="A30" s="435" t="s">
        <v>165</v>
      </c>
      <c r="B30" s="1385">
        <v>220</v>
      </c>
      <c r="C30" s="436">
        <v>300</v>
      </c>
      <c r="D30" s="1274">
        <v>0</v>
      </c>
      <c r="E30" s="59">
        <f>H30+AB30+AV30+AU30</f>
        <v>0</v>
      </c>
      <c r="F30" s="410">
        <f t="shared" si="0"/>
        <v>0</v>
      </c>
      <c r="G30" s="293">
        <f>G32+G33</f>
        <v>0</v>
      </c>
      <c r="H30" s="157"/>
      <c r="I30" s="669">
        <f t="shared" si="18"/>
        <v>0</v>
      </c>
      <c r="J30" s="293"/>
      <c r="K30" s="157"/>
      <c r="L30" s="157"/>
      <c r="M30" s="157"/>
      <c r="N30" s="157"/>
      <c r="O30" s="667"/>
      <c r="P30" s="293"/>
      <c r="Q30" s="157"/>
      <c r="R30" s="157"/>
      <c r="S30" s="157"/>
      <c r="T30" s="294"/>
      <c r="U30" s="283"/>
      <c r="V30" s="283"/>
      <c r="W30" s="314"/>
      <c r="X30" s="293"/>
      <c r="Y30" s="283"/>
      <c r="Z30" s="314"/>
      <c r="AA30" s="276"/>
      <c r="AB30" s="307"/>
      <c r="AC30" s="372"/>
      <c r="AD30" s="525"/>
      <c r="AE30" s="307"/>
      <c r="AF30" s="153"/>
      <c r="AG30" s="357"/>
      <c r="AH30" s="379"/>
      <c r="AI30" s="153"/>
      <c r="AJ30" s="357"/>
      <c r="AK30" s="307"/>
      <c r="AL30" s="153"/>
      <c r="AM30" s="357"/>
      <c r="AN30" s="276"/>
      <c r="AO30" s="153"/>
      <c r="AP30" s="357"/>
      <c r="AQ30" s="276"/>
      <c r="AR30" s="153"/>
      <c r="AS30" s="357"/>
      <c r="AT30" s="422"/>
      <c r="AU30" s="396"/>
      <c r="AV30" s="334">
        <v>0</v>
      </c>
      <c r="AW30" s="161">
        <f t="shared" si="19"/>
        <v>0</v>
      </c>
      <c r="AX30" s="1013">
        <f t="shared" si="1"/>
        <v>0</v>
      </c>
      <c r="AY30" s="334"/>
      <c r="AZ30" s="162">
        <f t="shared" ref="AZ30" si="25">AV30-BE30-BI30</f>
        <v>0</v>
      </c>
      <c r="BA30" s="161"/>
      <c r="BB30" s="1013"/>
      <c r="BC30" s="335"/>
      <c r="BD30" s="323"/>
      <c r="BE30" s="161"/>
      <c r="BF30" s="335"/>
      <c r="BG30" s="539">
        <f>BG32+BG33</f>
        <v>0</v>
      </c>
      <c r="BH30" s="334"/>
      <c r="BI30" s="161"/>
      <c r="BJ30" s="335"/>
      <c r="BS30" s="617"/>
      <c r="BT30" s="621">
        <f>AP30-BS30</f>
        <v>0</v>
      </c>
      <c r="BU30" s="617"/>
      <c r="BV30" s="621"/>
      <c r="BY30" s="628">
        <f t="shared" si="20"/>
        <v>0</v>
      </c>
      <c r="BZ30" s="628">
        <f t="shared" si="10"/>
        <v>0</v>
      </c>
      <c r="CA30" s="535">
        <f t="shared" si="16"/>
        <v>0</v>
      </c>
      <c r="CB30" s="533"/>
      <c r="CC30" s="617"/>
      <c r="CD30" s="621">
        <f>AZ30-CC30</f>
        <v>0</v>
      </c>
      <c r="CE30" s="617"/>
      <c r="CF30" s="621"/>
    </row>
    <row r="31" spans="1:84" ht="18.75" x14ac:dyDescent="0.3">
      <c r="A31" s="437" t="s">
        <v>92</v>
      </c>
      <c r="B31" s="1385"/>
      <c r="C31" s="438"/>
      <c r="D31" s="1275"/>
      <c r="E31" s="59">
        <f>H31+AB31+AV31+AU31</f>
        <v>0</v>
      </c>
      <c r="F31" s="410">
        <f t="shared" si="0"/>
        <v>0</v>
      </c>
      <c r="G31" s="297"/>
      <c r="H31" s="158"/>
      <c r="I31" s="669">
        <f t="shared" si="18"/>
        <v>0</v>
      </c>
      <c r="J31" s="297"/>
      <c r="K31" s="158"/>
      <c r="L31" s="158"/>
      <c r="M31" s="158"/>
      <c r="N31" s="158"/>
      <c r="O31" s="669"/>
      <c r="P31" s="297"/>
      <c r="Q31" s="158"/>
      <c r="R31" s="158"/>
      <c r="S31" s="158"/>
      <c r="T31" s="298"/>
      <c r="U31" s="285"/>
      <c r="V31" s="285"/>
      <c r="W31" s="316"/>
      <c r="X31" s="297"/>
      <c r="Y31" s="285"/>
      <c r="Z31" s="316"/>
      <c r="AA31" s="279"/>
      <c r="AB31" s="310"/>
      <c r="AC31" s="375"/>
      <c r="AD31" s="528"/>
      <c r="AE31" s="310"/>
      <c r="AF31" s="63"/>
      <c r="AG31" s="357"/>
      <c r="AH31" s="382"/>
      <c r="AI31" s="153"/>
      <c r="AJ31" s="357"/>
      <c r="AK31" s="310"/>
      <c r="AL31" s="63"/>
      <c r="AM31" s="360"/>
      <c r="AN31" s="279"/>
      <c r="AO31" s="63"/>
      <c r="AP31" s="360"/>
      <c r="AQ31" s="279"/>
      <c r="AR31" s="63"/>
      <c r="AS31" s="360"/>
      <c r="AT31" s="425"/>
      <c r="AU31" s="395"/>
      <c r="AV31" s="334">
        <v>0</v>
      </c>
      <c r="AW31" s="161">
        <f t="shared" si="19"/>
        <v>0</v>
      </c>
      <c r="AX31" s="1013">
        <f t="shared" si="1"/>
        <v>0</v>
      </c>
      <c r="AY31" s="338"/>
      <c r="AZ31" s="162"/>
      <c r="BA31" s="162"/>
      <c r="BB31" s="1309"/>
      <c r="BC31" s="339"/>
      <c r="BD31" s="324"/>
      <c r="BE31" s="162"/>
      <c r="BF31" s="339"/>
      <c r="BG31" s="540"/>
      <c r="BH31" s="338"/>
      <c r="BI31" s="162"/>
      <c r="BJ31" s="339"/>
      <c r="BK31" s="117"/>
      <c r="BL31" s="117"/>
      <c r="BM31" s="117"/>
      <c r="BN31" s="117"/>
      <c r="BO31" s="117"/>
      <c r="BP31" s="117"/>
      <c r="BQ31" s="117"/>
      <c r="BR31" s="117"/>
      <c r="BS31" s="617"/>
      <c r="BT31" s="621">
        <f>AP31-BS31</f>
        <v>0</v>
      </c>
      <c r="BU31" s="617"/>
      <c r="BV31" s="621"/>
      <c r="BW31" s="117"/>
      <c r="BX31" s="117"/>
      <c r="BY31" s="628">
        <f t="shared" si="20"/>
        <v>0</v>
      </c>
      <c r="BZ31" s="628">
        <f t="shared" si="10"/>
        <v>0</v>
      </c>
      <c r="CA31" s="535">
        <f t="shared" si="16"/>
        <v>0</v>
      </c>
      <c r="CB31" s="533"/>
      <c r="CC31" s="617"/>
      <c r="CD31" s="621">
        <f>AZ31-CC31</f>
        <v>0</v>
      </c>
      <c r="CE31" s="617"/>
      <c r="CF31" s="621"/>
    </row>
    <row r="32" spans="1:84" ht="18.75" x14ac:dyDescent="0.3">
      <c r="A32" s="1446" t="s">
        <v>166</v>
      </c>
      <c r="B32" s="1385"/>
      <c r="C32" s="1299">
        <v>321</v>
      </c>
      <c r="D32" s="1275"/>
      <c r="E32" s="59">
        <f>H32+AB32+AV32+AU32</f>
        <v>0</v>
      </c>
      <c r="F32" s="410">
        <f t="shared" si="0"/>
        <v>0</v>
      </c>
      <c r="G32" s="297"/>
      <c r="H32" s="158"/>
      <c r="I32" s="669">
        <f t="shared" si="18"/>
        <v>0</v>
      </c>
      <c r="J32" s="297"/>
      <c r="K32" s="158"/>
      <c r="L32" s="158"/>
      <c r="M32" s="158"/>
      <c r="N32" s="158"/>
      <c r="O32" s="669"/>
      <c r="P32" s="297"/>
      <c r="Q32" s="158"/>
      <c r="R32" s="158"/>
      <c r="S32" s="158"/>
      <c r="T32" s="298"/>
      <c r="U32" s="285"/>
      <c r="V32" s="285"/>
      <c r="W32" s="316"/>
      <c r="X32" s="297"/>
      <c r="Y32" s="285"/>
      <c r="Z32" s="316"/>
      <c r="AA32" s="279"/>
      <c r="AB32" s="310"/>
      <c r="AC32" s="375"/>
      <c r="AD32" s="528"/>
      <c r="AE32" s="310"/>
      <c r="AF32" s="63"/>
      <c r="AG32" s="357"/>
      <c r="AH32" s="382"/>
      <c r="AI32" s="153"/>
      <c r="AJ32" s="357"/>
      <c r="AK32" s="310"/>
      <c r="AL32" s="63"/>
      <c r="AM32" s="360"/>
      <c r="AN32" s="279"/>
      <c r="AO32" s="63"/>
      <c r="AP32" s="360"/>
      <c r="AQ32" s="279"/>
      <c r="AR32" s="63"/>
      <c r="AS32" s="360"/>
      <c r="AT32" s="425"/>
      <c r="AU32" s="395"/>
      <c r="AV32" s="334">
        <v>0</v>
      </c>
      <c r="AW32" s="161">
        <f t="shared" si="19"/>
        <v>0</v>
      </c>
      <c r="AX32" s="1013">
        <f t="shared" si="1"/>
        <v>0</v>
      </c>
      <c r="AY32" s="338"/>
      <c r="AZ32" s="162"/>
      <c r="BA32" s="162"/>
      <c r="BB32" s="1309"/>
      <c r="BC32" s="339"/>
      <c r="BD32" s="324"/>
      <c r="BE32" s="162"/>
      <c r="BF32" s="339"/>
      <c r="BG32" s="540"/>
      <c r="BH32" s="338"/>
      <c r="BI32" s="162"/>
      <c r="BJ32" s="339"/>
      <c r="BK32" s="117"/>
      <c r="BL32" s="117"/>
      <c r="BM32" s="117"/>
      <c r="BN32" s="117"/>
      <c r="BO32" s="117"/>
      <c r="BP32" s="117"/>
      <c r="BQ32" s="117"/>
      <c r="BR32" s="117"/>
      <c r="BS32" s="617"/>
      <c r="BT32" s="621">
        <f>AP32-BS32</f>
        <v>0</v>
      </c>
      <c r="BU32" s="617"/>
      <c r="BV32" s="621"/>
      <c r="BW32" s="117"/>
      <c r="BX32" s="117"/>
      <c r="BY32" s="628">
        <f t="shared" si="20"/>
        <v>0</v>
      </c>
      <c r="BZ32" s="628">
        <f t="shared" si="10"/>
        <v>0</v>
      </c>
      <c r="CA32" s="535">
        <f t="shared" si="16"/>
        <v>0</v>
      </c>
      <c r="CB32" s="533"/>
      <c r="CC32" s="617"/>
      <c r="CD32" s="621">
        <f>AZ32-CC32</f>
        <v>0</v>
      </c>
      <c r="CE32" s="617"/>
      <c r="CF32" s="621"/>
    </row>
    <row r="33" spans="1:84" ht="18.75" x14ac:dyDescent="0.3">
      <c r="A33" s="1447"/>
      <c r="B33" s="1385"/>
      <c r="C33" s="1299">
        <v>360</v>
      </c>
      <c r="D33" s="1275"/>
      <c r="E33" s="59">
        <f>H33+AB33+AV33+AU33</f>
        <v>0</v>
      </c>
      <c r="F33" s="410">
        <f t="shared" si="0"/>
        <v>0</v>
      </c>
      <c r="G33" s="297"/>
      <c r="H33" s="158"/>
      <c r="I33" s="669">
        <f t="shared" si="18"/>
        <v>0</v>
      </c>
      <c r="J33" s="297"/>
      <c r="K33" s="158"/>
      <c r="L33" s="158"/>
      <c r="M33" s="158"/>
      <c r="N33" s="158"/>
      <c r="O33" s="669"/>
      <c r="P33" s="297"/>
      <c r="Q33" s="158"/>
      <c r="R33" s="158"/>
      <c r="S33" s="158"/>
      <c r="T33" s="298"/>
      <c r="U33" s="285"/>
      <c r="V33" s="285"/>
      <c r="W33" s="316"/>
      <c r="X33" s="297"/>
      <c r="Y33" s="285"/>
      <c r="Z33" s="316"/>
      <c r="AA33" s="279"/>
      <c r="AB33" s="310"/>
      <c r="AC33" s="375"/>
      <c r="AD33" s="528"/>
      <c r="AE33" s="310"/>
      <c r="AF33" s="63"/>
      <c r="AG33" s="357"/>
      <c r="AH33" s="382"/>
      <c r="AI33" s="153"/>
      <c r="AJ33" s="357"/>
      <c r="AK33" s="310"/>
      <c r="AL33" s="63"/>
      <c r="AM33" s="360"/>
      <c r="AN33" s="279"/>
      <c r="AO33" s="63"/>
      <c r="AP33" s="360"/>
      <c r="AQ33" s="279"/>
      <c r="AR33" s="63"/>
      <c r="AS33" s="360"/>
      <c r="AT33" s="425"/>
      <c r="AU33" s="395"/>
      <c r="AV33" s="334">
        <v>0</v>
      </c>
      <c r="AW33" s="161">
        <f t="shared" si="19"/>
        <v>0</v>
      </c>
      <c r="AX33" s="1013">
        <f t="shared" si="1"/>
        <v>0</v>
      </c>
      <c r="AY33" s="338"/>
      <c r="AZ33" s="162"/>
      <c r="BA33" s="162"/>
      <c r="BB33" s="1309"/>
      <c r="BC33" s="339"/>
      <c r="BD33" s="324"/>
      <c r="BE33" s="162"/>
      <c r="BF33" s="339"/>
      <c r="BG33" s="540"/>
      <c r="BH33" s="338"/>
      <c r="BI33" s="162"/>
      <c r="BJ33" s="339"/>
      <c r="BK33" s="117"/>
      <c r="BL33" s="117"/>
      <c r="BM33" s="117"/>
      <c r="BN33" s="117"/>
      <c r="BO33" s="117"/>
      <c r="BP33" s="117"/>
      <c r="BQ33" s="117"/>
      <c r="BR33" s="117"/>
      <c r="BS33" s="617"/>
      <c r="BT33" s="621">
        <f>AP33-BS33</f>
        <v>0</v>
      </c>
      <c r="BU33" s="617"/>
      <c r="BV33" s="621"/>
      <c r="BW33" s="117"/>
      <c r="BX33" s="117"/>
      <c r="BY33" s="628">
        <f t="shared" si="20"/>
        <v>0</v>
      </c>
      <c r="BZ33" s="628">
        <f t="shared" si="10"/>
        <v>0</v>
      </c>
      <c r="CA33" s="535">
        <f t="shared" si="16"/>
        <v>0</v>
      </c>
      <c r="CB33" s="533"/>
      <c r="CC33" s="617"/>
      <c r="CD33" s="621">
        <f>AZ33-CC33</f>
        <v>0</v>
      </c>
      <c r="CE33" s="617"/>
      <c r="CF33" s="621"/>
    </row>
    <row r="34" spans="1:84" s="115" customFormat="1" ht="18.75" x14ac:dyDescent="0.3">
      <c r="A34" s="439" t="s">
        <v>167</v>
      </c>
      <c r="B34" s="113"/>
      <c r="C34" s="436">
        <v>800</v>
      </c>
      <c r="D34" s="1274">
        <f>D35+D37</f>
        <v>12505888.920000002</v>
      </c>
      <c r="E34" s="59">
        <f>H34+AB34+AW34+AU34</f>
        <v>11992144.75</v>
      </c>
      <c r="F34" s="410">
        <f t="shared" si="0"/>
        <v>-513744.17000000179</v>
      </c>
      <c r="G34" s="293">
        <v>5201007.6000000006</v>
      </c>
      <c r="H34" s="157">
        <f>H35+H37</f>
        <v>5201007.6000000006</v>
      </c>
      <c r="I34" s="669">
        <f t="shared" si="18"/>
        <v>0</v>
      </c>
      <c r="J34" s="293">
        <f>J35+J37</f>
        <v>0</v>
      </c>
      <c r="K34" s="157"/>
      <c r="L34" s="157"/>
      <c r="M34" s="157"/>
      <c r="N34" s="157"/>
      <c r="O34" s="667"/>
      <c r="P34" s="293">
        <f>P35+P37</f>
        <v>3687692.4899999998</v>
      </c>
      <c r="Q34" s="157">
        <f>Q35+Q37</f>
        <v>4455741.1300000008</v>
      </c>
      <c r="R34" s="157">
        <f>Q34-P34</f>
        <v>768048.64000000106</v>
      </c>
      <c r="S34" s="157">
        <f>S35+S37</f>
        <v>1885577.95</v>
      </c>
      <c r="T34" s="157">
        <f>T35+T37</f>
        <v>2570163.1800000002</v>
      </c>
      <c r="U34" s="283">
        <f>U35+U37</f>
        <v>1513315.11</v>
      </c>
      <c r="V34" s="283">
        <f>V35+V37</f>
        <v>550000</v>
      </c>
      <c r="W34" s="314">
        <f>V34-U34</f>
        <v>-963315.1100000001</v>
      </c>
      <c r="X34" s="293"/>
      <c r="Y34" s="283">
        <f>Y35+Y37</f>
        <v>195266.47</v>
      </c>
      <c r="Z34" s="314"/>
      <c r="AA34" s="276"/>
      <c r="AB34" s="307"/>
      <c r="AC34" s="372"/>
      <c r="AD34" s="525"/>
      <c r="AE34" s="307"/>
      <c r="AF34" s="153"/>
      <c r="AG34" s="357"/>
      <c r="AH34" s="379"/>
      <c r="AI34" s="153"/>
      <c r="AJ34" s="357"/>
      <c r="AK34" s="307"/>
      <c r="AL34" s="153"/>
      <c r="AM34" s="357"/>
      <c r="AN34" s="276"/>
      <c r="AO34" s="153"/>
      <c r="AP34" s="357"/>
      <c r="AQ34" s="276"/>
      <c r="AR34" s="153"/>
      <c r="AS34" s="357"/>
      <c r="AT34" s="422"/>
      <c r="AU34" s="396"/>
      <c r="AV34" s="334">
        <v>7304881.3199999994</v>
      </c>
      <c r="AW34" s="161">
        <f t="shared" si="19"/>
        <v>6791137.1499999994</v>
      </c>
      <c r="AX34" s="1013">
        <f t="shared" si="1"/>
        <v>-513744.16999999993</v>
      </c>
      <c r="AY34" s="334">
        <f>AY35+AY37</f>
        <v>5729310.8399999999</v>
      </c>
      <c r="AZ34" s="161">
        <f>AZ35+AZ37</f>
        <v>5729310.8399999999</v>
      </c>
      <c r="BA34" s="161">
        <f t="shared" ref="BA34:BI34" si="26">BA35+BA37</f>
        <v>0</v>
      </c>
      <c r="BB34" s="161">
        <f t="shared" si="26"/>
        <v>4911731.26</v>
      </c>
      <c r="BC34" s="335">
        <f t="shared" si="26"/>
        <v>817579.57999999984</v>
      </c>
      <c r="BD34" s="323">
        <f t="shared" si="26"/>
        <v>1163616.26</v>
      </c>
      <c r="BE34" s="161">
        <f t="shared" si="26"/>
        <v>649872.09000000008</v>
      </c>
      <c r="BF34" s="335">
        <f>BE34-BD34</f>
        <v>-513744.16999999993</v>
      </c>
      <c r="BG34" s="539">
        <f t="shared" si="26"/>
        <v>0</v>
      </c>
      <c r="BH34" s="334">
        <f t="shared" si="26"/>
        <v>411954.22</v>
      </c>
      <c r="BI34" s="161">
        <f t="shared" si="26"/>
        <v>411954.22</v>
      </c>
      <c r="BJ34" s="335">
        <f>BI34-BH34</f>
        <v>0</v>
      </c>
      <c r="BS34" s="334">
        <f>BS35+BS37</f>
        <v>0</v>
      </c>
      <c r="BT34" s="539">
        <f t="shared" ref="BT34:BV34" si="27">BT35+BT37</f>
        <v>0</v>
      </c>
      <c r="BU34" s="334">
        <f t="shared" si="27"/>
        <v>508251.94</v>
      </c>
      <c r="BV34" s="539">
        <f t="shared" si="27"/>
        <v>-508251.94</v>
      </c>
      <c r="BY34" s="628">
        <f t="shared" si="20"/>
        <v>7304881.3199999994</v>
      </c>
      <c r="BZ34" s="628">
        <f t="shared" si="10"/>
        <v>5603626.8600000003</v>
      </c>
      <c r="CA34" s="535">
        <f t="shared" si="16"/>
        <v>1701254.459999999</v>
      </c>
      <c r="CB34" s="334">
        <f>CB35+CB37</f>
        <v>6011062.4199999999</v>
      </c>
      <c r="CC34" s="334">
        <f>CC35+CC37</f>
        <v>5095374.92</v>
      </c>
      <c r="CD34" s="539">
        <f t="shared" ref="CD34:CF34" si="28">CD35+CD37</f>
        <v>633935.91999999981</v>
      </c>
      <c r="CE34" s="334">
        <f t="shared" si="28"/>
        <v>508251.94</v>
      </c>
      <c r="CF34" s="539">
        <f t="shared" si="28"/>
        <v>655364.32000000007</v>
      </c>
    </row>
    <row r="35" spans="1:84" s="115" customFormat="1" ht="18.75" x14ac:dyDescent="0.3">
      <c r="A35" s="439" t="s">
        <v>168</v>
      </c>
      <c r="B35" s="113"/>
      <c r="C35" s="436">
        <v>830</v>
      </c>
      <c r="D35" s="1274">
        <v>500000</v>
      </c>
      <c r="E35" s="59">
        <f>H35+AB35+AW35+AU35</f>
        <v>500000</v>
      </c>
      <c r="F35" s="410">
        <f t="shared" si="0"/>
        <v>0</v>
      </c>
      <c r="G35" s="293">
        <f>SUM(G36)</f>
        <v>0</v>
      </c>
      <c r="H35" s="157"/>
      <c r="I35" s="669">
        <f t="shared" si="18"/>
        <v>0</v>
      </c>
      <c r="J35" s="293"/>
      <c r="K35" s="157"/>
      <c r="L35" s="157"/>
      <c r="M35" s="157"/>
      <c r="N35" s="157"/>
      <c r="O35" s="667"/>
      <c r="P35" s="293"/>
      <c r="Q35" s="157"/>
      <c r="R35" s="157"/>
      <c r="S35" s="157"/>
      <c r="T35" s="294"/>
      <c r="U35" s="283"/>
      <c r="V35" s="283"/>
      <c r="W35" s="314"/>
      <c r="X35" s="293"/>
      <c r="Y35" s="283"/>
      <c r="Z35" s="314"/>
      <c r="AA35" s="276"/>
      <c r="AB35" s="307"/>
      <c r="AC35" s="372"/>
      <c r="AD35" s="525"/>
      <c r="AE35" s="307"/>
      <c r="AF35" s="153"/>
      <c r="AG35" s="357"/>
      <c r="AH35" s="379"/>
      <c r="AI35" s="153"/>
      <c r="AJ35" s="357"/>
      <c r="AK35" s="307"/>
      <c r="AL35" s="153"/>
      <c r="AM35" s="357"/>
      <c r="AN35" s="276"/>
      <c r="AO35" s="153"/>
      <c r="AP35" s="357"/>
      <c r="AQ35" s="276"/>
      <c r="AR35" s="153"/>
      <c r="AS35" s="357"/>
      <c r="AT35" s="422"/>
      <c r="AU35" s="396"/>
      <c r="AV35" s="334">
        <v>500000</v>
      </c>
      <c r="AW35" s="161">
        <f t="shared" si="19"/>
        <v>500000</v>
      </c>
      <c r="AX35" s="1013">
        <f t="shared" si="1"/>
        <v>0</v>
      </c>
      <c r="AY35" s="334">
        <f>AY36</f>
        <v>500000</v>
      </c>
      <c r="AZ35" s="161">
        <f>AZ36</f>
        <v>500000</v>
      </c>
      <c r="BA35" s="161">
        <f t="shared" ref="BA35:BC35" si="29">BA36</f>
        <v>0</v>
      </c>
      <c r="BB35" s="161">
        <f t="shared" si="29"/>
        <v>387062.51</v>
      </c>
      <c r="BC35" s="335">
        <f t="shared" si="29"/>
        <v>112937.48999999999</v>
      </c>
      <c r="BD35" s="323"/>
      <c r="BE35" s="161"/>
      <c r="BF35" s="335"/>
      <c r="BG35" s="539">
        <f t="shared" ref="BG35" si="30">SUM(BG36)</f>
        <v>0</v>
      </c>
      <c r="BH35" s="334"/>
      <c r="BI35" s="161"/>
      <c r="BJ35" s="335"/>
      <c r="BL35" s="1300" t="s">
        <v>237</v>
      </c>
      <c r="BS35" s="617"/>
      <c r="BT35" s="621">
        <f>BT36</f>
        <v>0</v>
      </c>
      <c r="BU35" s="617"/>
      <c r="BV35" s="621"/>
      <c r="BY35" s="629">
        <f t="shared" si="20"/>
        <v>500000</v>
      </c>
      <c r="BZ35" s="629">
        <f t="shared" si="10"/>
        <v>207144.42</v>
      </c>
      <c r="CA35" s="533">
        <f t="shared" si="16"/>
        <v>292855.57999999996</v>
      </c>
      <c r="CB35" s="533">
        <f>CB36</f>
        <v>207144.42</v>
      </c>
      <c r="CC35" s="617">
        <f>CC36</f>
        <v>207144.42</v>
      </c>
      <c r="CD35" s="621">
        <f>CD36</f>
        <v>292855.57999999996</v>
      </c>
      <c r="CE35" s="617"/>
      <c r="CF35" s="621"/>
    </row>
    <row r="36" spans="1:84" ht="63" x14ac:dyDescent="0.3">
      <c r="A36" s="440" t="s">
        <v>169</v>
      </c>
      <c r="B36" s="1297"/>
      <c r="C36" s="1299">
        <v>831</v>
      </c>
      <c r="D36" s="1275">
        <f>G36+AA36+AV36+AU36</f>
        <v>500000</v>
      </c>
      <c r="E36" s="64">
        <f>H36+AB36+AW36+AU36</f>
        <v>500000</v>
      </c>
      <c r="F36" s="411">
        <f t="shared" si="0"/>
        <v>0</v>
      </c>
      <c r="G36" s="297"/>
      <c r="H36" s="158"/>
      <c r="I36" s="669">
        <f t="shared" si="18"/>
        <v>0</v>
      </c>
      <c r="J36" s="297"/>
      <c r="K36" s="158"/>
      <c r="L36" s="158"/>
      <c r="M36" s="158"/>
      <c r="N36" s="158"/>
      <c r="O36" s="669"/>
      <c r="P36" s="297"/>
      <c r="Q36" s="158"/>
      <c r="R36" s="158"/>
      <c r="S36" s="158"/>
      <c r="T36" s="298"/>
      <c r="U36" s="285"/>
      <c r="V36" s="285"/>
      <c r="W36" s="316"/>
      <c r="X36" s="297"/>
      <c r="Y36" s="285"/>
      <c r="Z36" s="316"/>
      <c r="AA36" s="279"/>
      <c r="AB36" s="310"/>
      <c r="AC36" s="375"/>
      <c r="AD36" s="528"/>
      <c r="AE36" s="310"/>
      <c r="AF36" s="63"/>
      <c r="AG36" s="357"/>
      <c r="AH36" s="382"/>
      <c r="AI36" s="153"/>
      <c r="AJ36" s="357"/>
      <c r="AK36" s="310"/>
      <c r="AL36" s="63"/>
      <c r="AM36" s="360"/>
      <c r="AN36" s="279"/>
      <c r="AO36" s="63"/>
      <c r="AP36" s="360"/>
      <c r="AQ36" s="279"/>
      <c r="AR36" s="63"/>
      <c r="AS36" s="360"/>
      <c r="AT36" s="425"/>
      <c r="AU36" s="395"/>
      <c r="AV36" s="334">
        <v>500000</v>
      </c>
      <c r="AW36" s="161">
        <f t="shared" si="19"/>
        <v>500000</v>
      </c>
      <c r="AX36" s="1013">
        <f t="shared" si="1"/>
        <v>0</v>
      </c>
      <c r="AY36" s="338">
        <v>500000</v>
      </c>
      <c r="AZ36" s="162">
        <f t="shared" ref="AZ36" si="31">AV36-BE36-BI36</f>
        <v>500000</v>
      </c>
      <c r="BA36" s="162"/>
      <c r="BB36" s="1309">
        <v>387062.51</v>
      </c>
      <c r="BC36" s="339">
        <f>AZ36-BB36</f>
        <v>112937.48999999999</v>
      </c>
      <c r="BD36" s="324"/>
      <c r="BE36" s="162"/>
      <c r="BF36" s="339"/>
      <c r="BG36" s="540"/>
      <c r="BH36" s="338"/>
      <c r="BI36" s="162"/>
      <c r="BJ36" s="339"/>
      <c r="BK36" s="117"/>
      <c r="BL36" s="122">
        <v>15000</v>
      </c>
      <c r="BM36" s="1300">
        <v>831</v>
      </c>
      <c r="BN36" s="117"/>
      <c r="BO36" s="117"/>
      <c r="BP36" s="117"/>
      <c r="BQ36" s="117"/>
      <c r="BR36" s="117"/>
      <c r="BS36" s="617"/>
      <c r="BT36" s="621">
        <f>AO36-BS36</f>
        <v>0</v>
      </c>
      <c r="BU36" s="617"/>
      <c r="BV36" s="621"/>
      <c r="BW36" s="117"/>
      <c r="BX36" s="117"/>
      <c r="BY36" s="629">
        <f t="shared" si="20"/>
        <v>500000</v>
      </c>
      <c r="BZ36" s="629">
        <f t="shared" si="10"/>
        <v>207144.42</v>
      </c>
      <c r="CA36" s="533">
        <f t="shared" si="16"/>
        <v>292855.57999999996</v>
      </c>
      <c r="CB36" s="533">
        <f>BZ36</f>
        <v>207144.42</v>
      </c>
      <c r="CC36" s="617">
        <v>207144.42</v>
      </c>
      <c r="CD36" s="621">
        <f>AY36-CC36</f>
        <v>292855.57999999996</v>
      </c>
      <c r="CE36" s="617"/>
      <c r="CF36" s="621"/>
    </row>
    <row r="37" spans="1:84" s="115" customFormat="1" ht="33" customHeight="1" x14ac:dyDescent="0.3">
      <c r="A37" s="441" t="s">
        <v>170</v>
      </c>
      <c r="B37" s="1424">
        <v>230</v>
      </c>
      <c r="C37" s="436">
        <v>850</v>
      </c>
      <c r="D37" s="1274">
        <f>D39+D40+D41</f>
        <v>12005888.920000002</v>
      </c>
      <c r="E37" s="59">
        <f>H37+AB37+AW37+AU37</f>
        <v>11492144.75</v>
      </c>
      <c r="F37" s="410">
        <f t="shared" si="0"/>
        <v>-513744.17000000179</v>
      </c>
      <c r="G37" s="293">
        <v>5201007.6000000006</v>
      </c>
      <c r="H37" s="157">
        <f>SUM(H39:H41)</f>
        <v>5201007.6000000006</v>
      </c>
      <c r="I37" s="669">
        <f t="shared" si="18"/>
        <v>0</v>
      </c>
      <c r="J37" s="293">
        <f>SUM(J39:J41)</f>
        <v>0</v>
      </c>
      <c r="K37" s="157"/>
      <c r="L37" s="157"/>
      <c r="M37" s="157"/>
      <c r="N37" s="157"/>
      <c r="O37" s="667"/>
      <c r="P37" s="293">
        <f>P39+P40+P41</f>
        <v>3687692.4899999998</v>
      </c>
      <c r="Q37" s="157">
        <f>Q39+Q40+Q41</f>
        <v>4455741.1300000008</v>
      </c>
      <c r="R37" s="157">
        <f>Q37-P37</f>
        <v>768048.64000000106</v>
      </c>
      <c r="S37" s="157">
        <f>S39+S40+S41</f>
        <v>1885577.95</v>
      </c>
      <c r="T37" s="157">
        <f>T39+T40+T41</f>
        <v>2570163.1800000002</v>
      </c>
      <c r="U37" s="283">
        <f>SUM(U39:U41)</f>
        <v>1513315.11</v>
      </c>
      <c r="V37" s="283">
        <f>SUM(V39:V41)</f>
        <v>550000</v>
      </c>
      <c r="W37" s="314">
        <f>V37-U37</f>
        <v>-963315.1100000001</v>
      </c>
      <c r="X37" s="293"/>
      <c r="Y37" s="283">
        <f>SUM(Y39:Y41)</f>
        <v>195266.47</v>
      </c>
      <c r="Z37" s="314"/>
      <c r="AA37" s="276"/>
      <c r="AB37" s="307"/>
      <c r="AC37" s="372"/>
      <c r="AD37" s="525"/>
      <c r="AE37" s="307"/>
      <c r="AF37" s="153"/>
      <c r="AG37" s="357"/>
      <c r="AH37" s="379"/>
      <c r="AI37" s="153"/>
      <c r="AJ37" s="357"/>
      <c r="AK37" s="307"/>
      <c r="AL37" s="153"/>
      <c r="AM37" s="357"/>
      <c r="AN37" s="276"/>
      <c r="AO37" s="153"/>
      <c r="AP37" s="357"/>
      <c r="AQ37" s="276"/>
      <c r="AR37" s="153"/>
      <c r="AS37" s="357"/>
      <c r="AT37" s="422"/>
      <c r="AU37" s="396"/>
      <c r="AV37" s="334">
        <v>6804881.3199999994</v>
      </c>
      <c r="AW37" s="161">
        <f t="shared" si="19"/>
        <v>6291137.1499999994</v>
      </c>
      <c r="AX37" s="1013">
        <f t="shared" si="1"/>
        <v>-513744.16999999993</v>
      </c>
      <c r="AY37" s="334">
        <f>AY39+AY40+AY41</f>
        <v>5229310.84</v>
      </c>
      <c r="AZ37" s="161">
        <f>AZ39+AZ40+AZ41</f>
        <v>5229310.84</v>
      </c>
      <c r="BA37" s="161">
        <f t="shared" ref="BA37:BC37" si="32">BA39+BA40+BA41</f>
        <v>0</v>
      </c>
      <c r="BB37" s="161">
        <f t="shared" si="32"/>
        <v>4524668.75</v>
      </c>
      <c r="BC37" s="335">
        <f t="shared" si="32"/>
        <v>704642.08999999985</v>
      </c>
      <c r="BD37" s="323">
        <f>BD39+BD40+BD41</f>
        <v>1163616.26</v>
      </c>
      <c r="BE37" s="161">
        <f>BE39+BE40+BE41</f>
        <v>649872.09000000008</v>
      </c>
      <c r="BF37" s="335">
        <f>BE37-BD37</f>
        <v>-513744.16999999993</v>
      </c>
      <c r="BG37" s="539">
        <f>BG39+BG40+BG41</f>
        <v>0</v>
      </c>
      <c r="BH37" s="334">
        <f>BH39+BH40+BH41</f>
        <v>411954.22</v>
      </c>
      <c r="BI37" s="161">
        <f>BI39+BI40+BI41</f>
        <v>411954.22</v>
      </c>
      <c r="BJ37" s="335">
        <f>BI37-BH37</f>
        <v>0</v>
      </c>
      <c r="BS37" s="334">
        <f>BS39+BS40+BS41</f>
        <v>0</v>
      </c>
      <c r="BT37" s="539">
        <f t="shared" ref="BT37:BV37" si="33">BT39+BT40+BT41</f>
        <v>0</v>
      </c>
      <c r="BU37" s="334">
        <f t="shared" si="33"/>
        <v>508251.94</v>
      </c>
      <c r="BV37" s="539">
        <f t="shared" si="33"/>
        <v>-508251.94</v>
      </c>
      <c r="BY37" s="628">
        <f t="shared" si="20"/>
        <v>6804881.3199999994</v>
      </c>
      <c r="BZ37" s="628">
        <f t="shared" si="10"/>
        <v>5396482.4400000004</v>
      </c>
      <c r="CA37" s="535">
        <f t="shared" si="16"/>
        <v>1408398.879999999</v>
      </c>
      <c r="CB37" s="334">
        <f>CB39+CB40+CB41</f>
        <v>5803918</v>
      </c>
      <c r="CC37" s="334">
        <f>CC39+CC40+CC41</f>
        <v>4888230.5</v>
      </c>
      <c r="CD37" s="539">
        <f t="shared" ref="CD37:CF37" si="34">CD39+CD40+CD41</f>
        <v>341080.33999999985</v>
      </c>
      <c r="CE37" s="334">
        <f t="shared" si="34"/>
        <v>508251.94</v>
      </c>
      <c r="CF37" s="539">
        <f t="shared" si="34"/>
        <v>655364.32000000007</v>
      </c>
    </row>
    <row r="38" spans="1:84" ht="18.75" x14ac:dyDescent="0.3">
      <c r="A38" s="437" t="s">
        <v>92</v>
      </c>
      <c r="B38" s="1422"/>
      <c r="C38" s="438"/>
      <c r="D38" s="1275"/>
      <c r="E38" s="59">
        <f>H38+AB38+AV38+AU38</f>
        <v>0</v>
      </c>
      <c r="F38" s="410">
        <f t="shared" si="0"/>
        <v>0</v>
      </c>
      <c r="G38" s="297"/>
      <c r="H38" s="158"/>
      <c r="I38" s="669">
        <f t="shared" si="18"/>
        <v>0</v>
      </c>
      <c r="J38" s="297"/>
      <c r="K38" s="158"/>
      <c r="L38" s="158"/>
      <c r="M38" s="158"/>
      <c r="N38" s="158"/>
      <c r="O38" s="669"/>
      <c r="P38" s="297"/>
      <c r="Q38" s="158"/>
      <c r="R38" s="158"/>
      <c r="S38" s="158"/>
      <c r="T38" s="298"/>
      <c r="U38" s="285"/>
      <c r="V38" s="285"/>
      <c r="W38" s="316"/>
      <c r="X38" s="297"/>
      <c r="Y38" s="285"/>
      <c r="Z38" s="316"/>
      <c r="AA38" s="279"/>
      <c r="AB38" s="310"/>
      <c r="AC38" s="375"/>
      <c r="AD38" s="528"/>
      <c r="AE38" s="310"/>
      <c r="AF38" s="63"/>
      <c r="AG38" s="357"/>
      <c r="AH38" s="382"/>
      <c r="AI38" s="153"/>
      <c r="AJ38" s="357"/>
      <c r="AK38" s="310"/>
      <c r="AL38" s="63"/>
      <c r="AM38" s="360"/>
      <c r="AN38" s="279"/>
      <c r="AO38" s="63"/>
      <c r="AP38" s="360"/>
      <c r="AQ38" s="279"/>
      <c r="AR38" s="63"/>
      <c r="AS38" s="360"/>
      <c r="AT38" s="425"/>
      <c r="AU38" s="395"/>
      <c r="AV38" s="334">
        <v>0</v>
      </c>
      <c r="AW38" s="161">
        <f t="shared" si="19"/>
        <v>0</v>
      </c>
      <c r="AX38" s="1013">
        <f t="shared" si="1"/>
        <v>0</v>
      </c>
      <c r="AY38" s="338"/>
      <c r="AZ38" s="162"/>
      <c r="BA38" s="162"/>
      <c r="BB38" s="1309"/>
      <c r="BC38" s="339"/>
      <c r="BD38" s="324"/>
      <c r="BE38" s="162"/>
      <c r="BF38" s="339"/>
      <c r="BG38" s="540"/>
      <c r="BH38" s="338"/>
      <c r="BI38" s="162"/>
      <c r="BJ38" s="339"/>
      <c r="BK38" s="117"/>
      <c r="BL38" s="1300" t="s">
        <v>237</v>
      </c>
      <c r="BM38" s="1300" t="s">
        <v>197</v>
      </c>
      <c r="BN38" s="1300" t="s">
        <v>237</v>
      </c>
      <c r="BO38" s="1300"/>
      <c r="BP38" s="1300"/>
      <c r="BQ38" s="1300"/>
      <c r="BR38" s="1300"/>
      <c r="BS38" s="617"/>
      <c r="BT38" s="621">
        <f>AP38-BS38</f>
        <v>0</v>
      </c>
      <c r="BU38" s="617"/>
      <c r="BV38" s="621"/>
      <c r="BW38" s="1300"/>
      <c r="BX38" s="1300"/>
      <c r="BY38" s="628">
        <f t="shared" si="20"/>
        <v>0</v>
      </c>
      <c r="BZ38" s="628">
        <f t="shared" si="10"/>
        <v>0</v>
      </c>
      <c r="CA38" s="535">
        <f t="shared" si="16"/>
        <v>0</v>
      </c>
      <c r="CB38" s="533"/>
      <c r="CC38" s="617"/>
      <c r="CD38" s="621">
        <f>AZ38-CC38</f>
        <v>0</v>
      </c>
      <c r="CE38" s="617"/>
      <c r="CF38" s="621"/>
    </row>
    <row r="39" spans="1:84" ht="31.5" x14ac:dyDescent="0.3">
      <c r="A39" s="437" t="s">
        <v>171</v>
      </c>
      <c r="B39" s="1422"/>
      <c r="C39" s="1299">
        <v>851</v>
      </c>
      <c r="D39" s="1275">
        <f t="shared" ref="D39:D44" si="35">G39+AA39+AV39+AU39</f>
        <v>10452978.890000001</v>
      </c>
      <c r="E39" s="64">
        <f>H39+AB39+AW39+AU39</f>
        <v>10017234.719999999</v>
      </c>
      <c r="F39" s="411">
        <f t="shared" si="0"/>
        <v>-435744.17000000179</v>
      </c>
      <c r="G39" s="297">
        <v>4890097.57</v>
      </c>
      <c r="H39" s="158">
        <f>G39</f>
        <v>4890097.57</v>
      </c>
      <c r="I39" s="669">
        <f t="shared" si="18"/>
        <v>0</v>
      </c>
      <c r="J39" s="297"/>
      <c r="K39" s="158"/>
      <c r="L39" s="158"/>
      <c r="M39" s="158"/>
      <c r="N39" s="158"/>
      <c r="O39" s="669"/>
      <c r="P39" s="297">
        <v>3376782.46</v>
      </c>
      <c r="Q39" s="158">
        <f>H39-V39-Y39</f>
        <v>4144831.1</v>
      </c>
      <c r="R39" s="158">
        <f>Q39-P39</f>
        <v>768048.64000000013</v>
      </c>
      <c r="S39" s="158">
        <v>1832530</v>
      </c>
      <c r="T39" s="298">
        <f>Q39-S39</f>
        <v>2312301.1</v>
      </c>
      <c r="U39" s="285">
        <v>1513315.11</v>
      </c>
      <c r="V39" s="285">
        <v>550000</v>
      </c>
      <c r="W39" s="316">
        <f>V39-U39</f>
        <v>-963315.1100000001</v>
      </c>
      <c r="X39" s="297"/>
      <c r="Y39" s="285">
        <v>195266.47</v>
      </c>
      <c r="Z39" s="316"/>
      <c r="AA39" s="279"/>
      <c r="AB39" s="310"/>
      <c r="AC39" s="375"/>
      <c r="AD39" s="528"/>
      <c r="AE39" s="310"/>
      <c r="AF39" s="63"/>
      <c r="AG39" s="357"/>
      <c r="AH39" s="379"/>
      <c r="AI39" s="153"/>
      <c r="AJ39" s="357"/>
      <c r="AK39" s="310"/>
      <c r="AL39" s="63"/>
      <c r="AM39" s="360"/>
      <c r="AN39" s="279"/>
      <c r="AO39" s="63"/>
      <c r="AP39" s="360"/>
      <c r="AQ39" s="279"/>
      <c r="AR39" s="63"/>
      <c r="AS39" s="360"/>
      <c r="AT39" s="425"/>
      <c r="AU39" s="395"/>
      <c r="AV39" s="334">
        <v>5562881.3199999994</v>
      </c>
      <c r="AW39" s="161">
        <f>AZ39+BE39+BI39</f>
        <v>5127137.1499999994</v>
      </c>
      <c r="AX39" s="1013">
        <f t="shared" si="1"/>
        <v>-435744.16999999993</v>
      </c>
      <c r="AY39" s="338">
        <v>4167310.84</v>
      </c>
      <c r="AZ39" s="1284">
        <f>4167310.84+100000</f>
        <v>4267310.84</v>
      </c>
      <c r="BA39" s="162">
        <f>AZ39-AY39</f>
        <v>100000</v>
      </c>
      <c r="BB39" s="1309">
        <v>4171866</v>
      </c>
      <c r="BC39" s="339">
        <f>AZ39-BB39</f>
        <v>95444.839999999851</v>
      </c>
      <c r="BD39" s="324">
        <v>983616.26</v>
      </c>
      <c r="BE39" s="162">
        <v>447872.09</v>
      </c>
      <c r="BF39" s="339">
        <f>BE39-BD39</f>
        <v>-535744.16999999993</v>
      </c>
      <c r="BG39" s="540"/>
      <c r="BH39" s="338">
        <v>411954.22</v>
      </c>
      <c r="BI39" s="162">
        <v>411954.22</v>
      </c>
      <c r="BJ39" s="339">
        <f>BI39-BH39</f>
        <v>0</v>
      </c>
      <c r="BK39" s="117"/>
      <c r="BL39" s="122">
        <v>2116229.66</v>
      </c>
      <c r="BM39" s="122">
        <v>-2116229.66</v>
      </c>
      <c r="BN39" s="610"/>
      <c r="BO39" s="635"/>
      <c r="BP39" s="635"/>
      <c r="BQ39" s="635"/>
      <c r="BR39" s="635"/>
      <c r="BS39" s="617"/>
      <c r="BT39" s="621">
        <f>AO39-BS39</f>
        <v>0</v>
      </c>
      <c r="BU39" s="617">
        <v>383344</v>
      </c>
      <c r="BV39" s="621">
        <f>AR39-BU39</f>
        <v>-383344</v>
      </c>
      <c r="BW39" s="635"/>
      <c r="BX39" s="635"/>
      <c r="BY39" s="629">
        <f t="shared" si="20"/>
        <v>5562881.3199999994</v>
      </c>
      <c r="BZ39" s="629">
        <f t="shared" si="10"/>
        <v>4561918</v>
      </c>
      <c r="CA39" s="533">
        <f t="shared" si="16"/>
        <v>1000963.3199999994</v>
      </c>
      <c r="CB39" s="533">
        <f>BZ39</f>
        <v>4561918</v>
      </c>
      <c r="CC39" s="617">
        <v>4178574</v>
      </c>
      <c r="CD39" s="621">
        <f>AY39-CC39</f>
        <v>-11263.160000000149</v>
      </c>
      <c r="CE39" s="617">
        <v>383344</v>
      </c>
      <c r="CF39" s="621">
        <f>BD39-CE39</f>
        <v>600272.26</v>
      </c>
    </row>
    <row r="40" spans="1:84" ht="18.75" x14ac:dyDescent="0.3">
      <c r="A40" s="437" t="s">
        <v>172</v>
      </c>
      <c r="B40" s="1422"/>
      <c r="C40" s="1299">
        <v>852</v>
      </c>
      <c r="D40" s="1275">
        <f t="shared" si="35"/>
        <v>844267.46</v>
      </c>
      <c r="E40" s="64">
        <f>H40+AB40+AW40+AU40</f>
        <v>821267.46</v>
      </c>
      <c r="F40" s="410">
        <f t="shared" si="0"/>
        <v>-23000</v>
      </c>
      <c r="G40" s="297">
        <v>209267.46</v>
      </c>
      <c r="H40" s="158">
        <f>G40</f>
        <v>209267.46</v>
      </c>
      <c r="I40" s="669">
        <f t="shared" si="18"/>
        <v>0</v>
      </c>
      <c r="J40" s="297"/>
      <c r="K40" s="158"/>
      <c r="L40" s="158"/>
      <c r="M40" s="158"/>
      <c r="N40" s="158"/>
      <c r="O40" s="669"/>
      <c r="P40" s="297">
        <v>209267.46</v>
      </c>
      <c r="Q40" s="158">
        <f>H40-V40-Y40</f>
        <v>209267.46</v>
      </c>
      <c r="R40" s="158">
        <f>Q40-P40</f>
        <v>0</v>
      </c>
      <c r="S40" s="158">
        <v>31349.8</v>
      </c>
      <c r="T40" s="298">
        <f t="shared" ref="T40:T41" si="36">Q40-S40</f>
        <v>177917.66</v>
      </c>
      <c r="U40" s="285"/>
      <c r="V40" s="285"/>
      <c r="W40" s="316"/>
      <c r="X40" s="297"/>
      <c r="Y40" s="285"/>
      <c r="Z40" s="316"/>
      <c r="AA40" s="279"/>
      <c r="AB40" s="310"/>
      <c r="AC40" s="375"/>
      <c r="AD40" s="528"/>
      <c r="AE40" s="310"/>
      <c r="AF40" s="63"/>
      <c r="AG40" s="357"/>
      <c r="AH40" s="382"/>
      <c r="AI40" s="153"/>
      <c r="AJ40" s="357"/>
      <c r="AK40" s="310"/>
      <c r="AL40" s="63"/>
      <c r="AM40" s="360"/>
      <c r="AN40" s="279"/>
      <c r="AO40" s="63"/>
      <c r="AP40" s="360"/>
      <c r="AQ40" s="279"/>
      <c r="AR40" s="63"/>
      <c r="AS40" s="360"/>
      <c r="AT40" s="425"/>
      <c r="AU40" s="395"/>
      <c r="AV40" s="334">
        <v>635000</v>
      </c>
      <c r="AW40" s="161">
        <f>AZ40+BE40</f>
        <v>612000</v>
      </c>
      <c r="AX40" s="1013">
        <f t="shared" si="1"/>
        <v>-23000</v>
      </c>
      <c r="AY40" s="338">
        <v>485000</v>
      </c>
      <c r="AZ40" s="162">
        <v>485000</v>
      </c>
      <c r="BA40" s="162">
        <f>AZ40-AY40</f>
        <v>0</v>
      </c>
      <c r="BB40" s="1309">
        <v>308771.20000000001</v>
      </c>
      <c r="BC40" s="339">
        <f t="shared" ref="BC40:BC41" si="37">AZ40-BB40</f>
        <v>176228.8</v>
      </c>
      <c r="BD40" s="324">
        <v>150000</v>
      </c>
      <c r="BE40" s="162">
        <v>127000</v>
      </c>
      <c r="BF40" s="339">
        <f>BE40-BD40</f>
        <v>-23000</v>
      </c>
      <c r="BG40" s="540"/>
      <c r="BH40" s="338"/>
      <c r="BI40" s="162"/>
      <c r="BJ40" s="339">
        <f>BI40-BH40</f>
        <v>0</v>
      </c>
      <c r="BK40" s="117"/>
      <c r="BL40" s="122">
        <v>-75470.62</v>
      </c>
      <c r="BM40" s="122"/>
      <c r="BN40" s="610">
        <v>-49993.01</v>
      </c>
      <c r="BO40" s="635"/>
      <c r="BP40" s="635"/>
      <c r="BQ40" s="635"/>
      <c r="BR40" s="635"/>
      <c r="BS40" s="617"/>
      <c r="BT40" s="621">
        <f t="shared" ref="BT40:BT41" si="38">AO40-BS40</f>
        <v>0</v>
      </c>
      <c r="BU40" s="617">
        <v>27119</v>
      </c>
      <c r="BV40" s="621">
        <f t="shared" ref="BV40:BV41" si="39">AR40-BU40</f>
        <v>-27119</v>
      </c>
      <c r="BW40" s="635"/>
      <c r="BX40" s="635"/>
      <c r="BY40" s="629">
        <f t="shared" si="20"/>
        <v>635000</v>
      </c>
      <c r="BZ40" s="629">
        <f t="shared" si="10"/>
        <v>234308.25</v>
      </c>
      <c r="CA40" s="533">
        <f t="shared" si="16"/>
        <v>400691.75</v>
      </c>
      <c r="CB40" s="533">
        <f>BY40</f>
        <v>635000</v>
      </c>
      <c r="CC40" s="617">
        <f>272189.25-65000</f>
        <v>207189.25</v>
      </c>
      <c r="CD40" s="621">
        <f t="shared" ref="CD40:CD41" si="40">AY40-CC40</f>
        <v>277810.75</v>
      </c>
      <c r="CE40" s="617">
        <v>27119</v>
      </c>
      <c r="CF40" s="621">
        <f t="shared" ref="CF40:CF41" si="41">BD40-CE40</f>
        <v>122881</v>
      </c>
    </row>
    <row r="41" spans="1:84" ht="18.75" customHeight="1" x14ac:dyDescent="0.3">
      <c r="A41" s="437" t="s">
        <v>173</v>
      </c>
      <c r="B41" s="1423"/>
      <c r="C41" s="1299">
        <v>853</v>
      </c>
      <c r="D41" s="1275">
        <f t="shared" si="35"/>
        <v>708642.57000000007</v>
      </c>
      <c r="E41" s="64">
        <f>H41+AB41+AW41+AU41</f>
        <v>653642.57000000007</v>
      </c>
      <c r="F41" s="410">
        <f t="shared" si="0"/>
        <v>-55000</v>
      </c>
      <c r="G41" s="297">
        <v>101642.57</v>
      </c>
      <c r="H41" s="158">
        <f>G41</f>
        <v>101642.57</v>
      </c>
      <c r="I41" s="669">
        <f t="shared" si="18"/>
        <v>0</v>
      </c>
      <c r="J41" s="297"/>
      <c r="K41" s="158"/>
      <c r="L41" s="158"/>
      <c r="M41" s="158"/>
      <c r="N41" s="158"/>
      <c r="O41" s="669"/>
      <c r="P41" s="297">
        <v>101642.57</v>
      </c>
      <c r="Q41" s="158">
        <f>H41-V41-Y41</f>
        <v>101642.57</v>
      </c>
      <c r="R41" s="158">
        <f>Q41-P41</f>
        <v>0</v>
      </c>
      <c r="S41" s="158">
        <v>21698.15</v>
      </c>
      <c r="T41" s="298">
        <f t="shared" si="36"/>
        <v>79944.420000000013</v>
      </c>
      <c r="U41" s="285"/>
      <c r="V41" s="285"/>
      <c r="W41" s="316"/>
      <c r="X41" s="297"/>
      <c r="Y41" s="285"/>
      <c r="Z41" s="316"/>
      <c r="AA41" s="279"/>
      <c r="AB41" s="310"/>
      <c r="AC41" s="375"/>
      <c r="AD41" s="528"/>
      <c r="AE41" s="310"/>
      <c r="AF41" s="63"/>
      <c r="AG41" s="357"/>
      <c r="AH41" s="382"/>
      <c r="AI41" s="153"/>
      <c r="AJ41" s="357"/>
      <c r="AK41" s="310"/>
      <c r="AL41" s="63"/>
      <c r="AM41" s="360"/>
      <c r="AN41" s="279"/>
      <c r="AO41" s="63"/>
      <c r="AP41" s="360"/>
      <c r="AQ41" s="279"/>
      <c r="AR41" s="63"/>
      <c r="AS41" s="360"/>
      <c r="AT41" s="425"/>
      <c r="AU41" s="395"/>
      <c r="AV41" s="334">
        <v>607000</v>
      </c>
      <c r="AW41" s="161">
        <f>AZ41+BE41</f>
        <v>552000</v>
      </c>
      <c r="AX41" s="1013">
        <f t="shared" si="1"/>
        <v>-55000</v>
      </c>
      <c r="AY41" s="338">
        <v>577000</v>
      </c>
      <c r="AZ41" s="162">
        <f>577000-100000</f>
        <v>477000</v>
      </c>
      <c r="BA41" s="162">
        <f>AZ41-AY41</f>
        <v>-100000</v>
      </c>
      <c r="BB41" s="1309">
        <v>44031.55</v>
      </c>
      <c r="BC41" s="339">
        <f t="shared" si="37"/>
        <v>432968.45</v>
      </c>
      <c r="BD41" s="324">
        <v>30000</v>
      </c>
      <c r="BE41" s="162">
        <v>75000</v>
      </c>
      <c r="BF41" s="339">
        <f>BE41-BD41</f>
        <v>45000</v>
      </c>
      <c r="BG41" s="540"/>
      <c r="BH41" s="338"/>
      <c r="BI41" s="162"/>
      <c r="BJ41" s="339">
        <f>BI41-BH41</f>
        <v>0</v>
      </c>
      <c r="BK41" s="117"/>
      <c r="BL41" s="122">
        <v>75470.62</v>
      </c>
      <c r="BM41" s="122"/>
      <c r="BN41" s="610">
        <v>49993.01</v>
      </c>
      <c r="BO41" s="635"/>
      <c r="BP41" s="635"/>
      <c r="BQ41" s="635"/>
      <c r="BR41" s="635"/>
      <c r="BS41" s="617"/>
      <c r="BT41" s="621">
        <f t="shared" si="38"/>
        <v>0</v>
      </c>
      <c r="BU41" s="617">
        <v>97788.94</v>
      </c>
      <c r="BV41" s="621">
        <f t="shared" si="39"/>
        <v>-97788.94</v>
      </c>
      <c r="BW41" s="635"/>
      <c r="BX41" s="635"/>
      <c r="BY41" s="629">
        <f t="shared" si="20"/>
        <v>607000</v>
      </c>
      <c r="BZ41" s="629">
        <f t="shared" si="10"/>
        <v>600256.18999999994</v>
      </c>
      <c r="CA41" s="533">
        <f t="shared" si="16"/>
        <v>6743.8100000000559</v>
      </c>
      <c r="CB41" s="533">
        <f>BY41</f>
        <v>607000</v>
      </c>
      <c r="CC41" s="617">
        <f>502467.25</f>
        <v>502467.25</v>
      </c>
      <c r="CD41" s="621">
        <f t="shared" si="40"/>
        <v>74532.75</v>
      </c>
      <c r="CE41" s="617">
        <v>97788.94</v>
      </c>
      <c r="CF41" s="621">
        <f t="shared" si="41"/>
        <v>-67788.94</v>
      </c>
    </row>
    <row r="42" spans="1:84" ht="18.75" x14ac:dyDescent="0.3">
      <c r="A42" s="437" t="s">
        <v>174</v>
      </c>
      <c r="B42" s="1295">
        <v>240</v>
      </c>
      <c r="C42" s="1299">
        <v>853</v>
      </c>
      <c r="D42" s="1275">
        <f t="shared" si="35"/>
        <v>0</v>
      </c>
      <c r="E42" s="59">
        <f>H42+AB42+AV42+AU42</f>
        <v>0</v>
      </c>
      <c r="F42" s="410">
        <f t="shared" si="0"/>
        <v>0</v>
      </c>
      <c r="G42" s="297"/>
      <c r="H42" s="158"/>
      <c r="I42" s="669">
        <f t="shared" si="18"/>
        <v>0</v>
      </c>
      <c r="J42" s="297"/>
      <c r="K42" s="158"/>
      <c r="L42" s="158"/>
      <c r="M42" s="158"/>
      <c r="N42" s="158"/>
      <c r="O42" s="669"/>
      <c r="P42" s="297"/>
      <c r="Q42" s="158"/>
      <c r="R42" s="158"/>
      <c r="S42" s="158"/>
      <c r="T42" s="298"/>
      <c r="U42" s="285"/>
      <c r="V42" s="285"/>
      <c r="W42" s="316"/>
      <c r="X42" s="297"/>
      <c r="Y42" s="285"/>
      <c r="Z42" s="316"/>
      <c r="AA42" s="279"/>
      <c r="AB42" s="310"/>
      <c r="AC42" s="375"/>
      <c r="AD42" s="528"/>
      <c r="AE42" s="310"/>
      <c r="AF42" s="63"/>
      <c r="AG42" s="357"/>
      <c r="AH42" s="382"/>
      <c r="AI42" s="153"/>
      <c r="AJ42" s="357"/>
      <c r="AK42" s="310"/>
      <c r="AL42" s="63"/>
      <c r="AM42" s="360"/>
      <c r="AN42" s="279"/>
      <c r="AO42" s="63"/>
      <c r="AP42" s="360"/>
      <c r="AQ42" s="279"/>
      <c r="AR42" s="63"/>
      <c r="AS42" s="360"/>
      <c r="AT42" s="425"/>
      <c r="AU42" s="395"/>
      <c r="AV42" s="334">
        <v>0</v>
      </c>
      <c r="AW42" s="161">
        <f t="shared" si="19"/>
        <v>0</v>
      </c>
      <c r="AX42" s="1013">
        <f t="shared" si="1"/>
        <v>0</v>
      </c>
      <c r="AY42" s="338"/>
      <c r="AZ42" s="162"/>
      <c r="BA42" s="162"/>
      <c r="BB42" s="1309"/>
      <c r="BC42" s="339"/>
      <c r="BD42" s="324"/>
      <c r="BE42" s="162"/>
      <c r="BF42" s="339"/>
      <c r="BG42" s="540"/>
      <c r="BH42" s="338"/>
      <c r="BI42" s="162"/>
      <c r="BJ42" s="339"/>
      <c r="BK42" s="117"/>
      <c r="BL42" s="117"/>
      <c r="BM42" s="117"/>
      <c r="BN42" s="117"/>
      <c r="BO42" s="117"/>
      <c r="BP42" s="117"/>
      <c r="BQ42" s="117"/>
      <c r="BR42" s="117"/>
      <c r="BS42" s="617"/>
      <c r="BT42" s="621">
        <f>AP42-BS42</f>
        <v>0</v>
      </c>
      <c r="BU42" s="617"/>
      <c r="BV42" s="621"/>
      <c r="BW42" s="117"/>
      <c r="BX42" s="117"/>
      <c r="BY42" s="628">
        <f t="shared" si="20"/>
        <v>0</v>
      </c>
      <c r="BZ42" s="628">
        <f t="shared" si="10"/>
        <v>0</v>
      </c>
      <c r="CA42" s="535">
        <f t="shared" si="16"/>
        <v>0</v>
      </c>
      <c r="CB42" s="533"/>
      <c r="CC42" s="617"/>
      <c r="CD42" s="621">
        <f>AZ42-CC42</f>
        <v>0</v>
      </c>
      <c r="CE42" s="617"/>
      <c r="CF42" s="621"/>
    </row>
    <row r="43" spans="1:84" s="115" customFormat="1" ht="31.5" x14ac:dyDescent="0.3">
      <c r="A43" s="435" t="s">
        <v>175</v>
      </c>
      <c r="B43" s="1387">
        <v>250</v>
      </c>
      <c r="C43" s="442"/>
      <c r="D43" s="1275">
        <f t="shared" si="35"/>
        <v>0</v>
      </c>
      <c r="E43" s="59">
        <f>H43+AB43+AV43+AU43</f>
        <v>0</v>
      </c>
      <c r="F43" s="410">
        <f t="shared" si="0"/>
        <v>0</v>
      </c>
      <c r="G43" s="293"/>
      <c r="H43" s="157"/>
      <c r="I43" s="669">
        <f t="shared" si="18"/>
        <v>0</v>
      </c>
      <c r="J43" s="293"/>
      <c r="K43" s="157"/>
      <c r="L43" s="157"/>
      <c r="M43" s="157"/>
      <c r="N43" s="157"/>
      <c r="O43" s="667"/>
      <c r="P43" s="293"/>
      <c r="Q43" s="157"/>
      <c r="R43" s="157"/>
      <c r="S43" s="157"/>
      <c r="T43" s="294"/>
      <c r="U43" s="283"/>
      <c r="V43" s="283"/>
      <c r="W43" s="314"/>
      <c r="X43" s="293"/>
      <c r="Y43" s="283"/>
      <c r="Z43" s="314"/>
      <c r="AA43" s="276"/>
      <c r="AB43" s="307"/>
      <c r="AC43" s="372"/>
      <c r="AD43" s="525"/>
      <c r="AE43" s="307"/>
      <c r="AF43" s="153"/>
      <c r="AG43" s="357"/>
      <c r="AH43" s="379"/>
      <c r="AI43" s="153"/>
      <c r="AJ43" s="357"/>
      <c r="AK43" s="307"/>
      <c r="AL43" s="153"/>
      <c r="AM43" s="357"/>
      <c r="AN43" s="276"/>
      <c r="AO43" s="153"/>
      <c r="AP43" s="357"/>
      <c r="AQ43" s="276"/>
      <c r="AR43" s="153"/>
      <c r="AS43" s="357"/>
      <c r="AT43" s="422"/>
      <c r="AU43" s="396"/>
      <c r="AV43" s="334">
        <v>0</v>
      </c>
      <c r="AW43" s="161">
        <f t="shared" si="19"/>
        <v>0</v>
      </c>
      <c r="AX43" s="1013">
        <f t="shared" si="1"/>
        <v>0</v>
      </c>
      <c r="AY43" s="334"/>
      <c r="AZ43" s="161"/>
      <c r="BA43" s="161"/>
      <c r="BB43" s="1013"/>
      <c r="BC43" s="335"/>
      <c r="BD43" s="323"/>
      <c r="BE43" s="161"/>
      <c r="BF43" s="335"/>
      <c r="BG43" s="539">
        <f>BG45</f>
        <v>0</v>
      </c>
      <c r="BH43" s="334"/>
      <c r="BI43" s="161"/>
      <c r="BJ43" s="335"/>
      <c r="BS43" s="617"/>
      <c r="BT43" s="621">
        <f>AP43-BS43</f>
        <v>0</v>
      </c>
      <c r="BU43" s="617"/>
      <c r="BV43" s="621"/>
      <c r="BY43" s="628">
        <f t="shared" si="20"/>
        <v>0</v>
      </c>
      <c r="BZ43" s="628">
        <f t="shared" si="10"/>
        <v>0</v>
      </c>
      <c r="CA43" s="535">
        <f t="shared" si="16"/>
        <v>0</v>
      </c>
      <c r="CB43" s="533"/>
      <c r="CC43" s="617"/>
      <c r="CD43" s="621">
        <f>AZ43-CC43</f>
        <v>0</v>
      </c>
      <c r="CE43" s="617"/>
      <c r="CF43" s="621"/>
    </row>
    <row r="44" spans="1:84" s="115" customFormat="1" ht="18.75" x14ac:dyDescent="0.3">
      <c r="A44" s="435" t="s">
        <v>92</v>
      </c>
      <c r="B44" s="1387"/>
      <c r="C44" s="442"/>
      <c r="D44" s="1275">
        <f t="shared" si="35"/>
        <v>0</v>
      </c>
      <c r="E44" s="59">
        <f>H44+AB44+AV44+AU44</f>
        <v>0</v>
      </c>
      <c r="F44" s="410">
        <f t="shared" si="0"/>
        <v>0</v>
      </c>
      <c r="G44" s="293"/>
      <c r="H44" s="157"/>
      <c r="I44" s="669">
        <f t="shared" si="18"/>
        <v>0</v>
      </c>
      <c r="J44" s="293"/>
      <c r="K44" s="157"/>
      <c r="L44" s="157"/>
      <c r="M44" s="157"/>
      <c r="N44" s="157"/>
      <c r="O44" s="667"/>
      <c r="P44" s="293"/>
      <c r="Q44" s="157"/>
      <c r="R44" s="157"/>
      <c r="S44" s="157"/>
      <c r="T44" s="294"/>
      <c r="U44" s="283"/>
      <c r="V44" s="283"/>
      <c r="W44" s="314"/>
      <c r="X44" s="293"/>
      <c r="Y44" s="283"/>
      <c r="Z44" s="314"/>
      <c r="AA44" s="276"/>
      <c r="AB44" s="307"/>
      <c r="AC44" s="372"/>
      <c r="AD44" s="525"/>
      <c r="AE44" s="307"/>
      <c r="AF44" s="153"/>
      <c r="AG44" s="357"/>
      <c r="AH44" s="379"/>
      <c r="AI44" s="153"/>
      <c r="AJ44" s="357"/>
      <c r="AK44" s="307"/>
      <c r="AL44" s="153"/>
      <c r="AM44" s="357"/>
      <c r="AN44" s="276"/>
      <c r="AO44" s="153"/>
      <c r="AP44" s="357"/>
      <c r="AQ44" s="276"/>
      <c r="AR44" s="153"/>
      <c r="AS44" s="357"/>
      <c r="AT44" s="422"/>
      <c r="AU44" s="396"/>
      <c r="AV44" s="334">
        <v>0</v>
      </c>
      <c r="AW44" s="161">
        <f t="shared" si="19"/>
        <v>0</v>
      </c>
      <c r="AX44" s="1013">
        <f t="shared" si="1"/>
        <v>0</v>
      </c>
      <c r="AY44" s="334"/>
      <c r="AZ44" s="161"/>
      <c r="BA44" s="161"/>
      <c r="BB44" s="1013"/>
      <c r="BC44" s="335"/>
      <c r="BD44" s="323"/>
      <c r="BE44" s="161"/>
      <c r="BF44" s="335"/>
      <c r="BG44" s="539"/>
      <c r="BH44" s="334"/>
      <c r="BI44" s="161"/>
      <c r="BJ44" s="335"/>
      <c r="BS44" s="617"/>
      <c r="BT44" s="621">
        <f>AP44-BS44</f>
        <v>0</v>
      </c>
      <c r="BU44" s="617"/>
      <c r="BV44" s="621"/>
      <c r="BY44" s="628">
        <f t="shared" si="20"/>
        <v>0</v>
      </c>
      <c r="BZ44" s="628">
        <f t="shared" si="10"/>
        <v>0</v>
      </c>
      <c r="CA44" s="535">
        <f t="shared" si="16"/>
        <v>0</v>
      </c>
      <c r="CB44" s="533"/>
      <c r="CC44" s="617"/>
      <c r="CD44" s="621">
        <f>AZ44-CC44</f>
        <v>0</v>
      </c>
      <c r="CE44" s="617"/>
      <c r="CF44" s="621"/>
    </row>
    <row r="45" spans="1:84" s="115" customFormat="1" ht="18.75" x14ac:dyDescent="0.3">
      <c r="A45" s="443"/>
      <c r="B45" s="1387"/>
      <c r="C45" s="442"/>
      <c r="D45" s="1274"/>
      <c r="E45" s="59">
        <f>H45+AB45+AV45+AU45</f>
        <v>0</v>
      </c>
      <c r="F45" s="410">
        <f t="shared" si="0"/>
        <v>0</v>
      </c>
      <c r="G45" s="293"/>
      <c r="H45" s="157"/>
      <c r="I45" s="669">
        <f t="shared" si="18"/>
        <v>0</v>
      </c>
      <c r="J45" s="293"/>
      <c r="K45" s="157"/>
      <c r="L45" s="157"/>
      <c r="M45" s="157"/>
      <c r="N45" s="157"/>
      <c r="O45" s="667"/>
      <c r="P45" s="293"/>
      <c r="Q45" s="157"/>
      <c r="R45" s="157"/>
      <c r="S45" s="157"/>
      <c r="T45" s="294"/>
      <c r="U45" s="283"/>
      <c r="V45" s="283"/>
      <c r="W45" s="314"/>
      <c r="X45" s="293"/>
      <c r="Y45" s="283"/>
      <c r="Z45" s="314"/>
      <c r="AA45" s="276"/>
      <c r="AB45" s="307"/>
      <c r="AC45" s="372"/>
      <c r="AD45" s="525"/>
      <c r="AE45" s="307"/>
      <c r="AF45" s="153"/>
      <c r="AG45" s="357"/>
      <c r="AH45" s="379"/>
      <c r="AI45" s="153"/>
      <c r="AJ45" s="357"/>
      <c r="AK45" s="307"/>
      <c r="AL45" s="153"/>
      <c r="AM45" s="357"/>
      <c r="AN45" s="276"/>
      <c r="AO45" s="153"/>
      <c r="AP45" s="357"/>
      <c r="AQ45" s="276"/>
      <c r="AR45" s="153"/>
      <c r="AS45" s="357"/>
      <c r="AT45" s="422"/>
      <c r="AU45" s="396"/>
      <c r="AV45" s="334">
        <v>0</v>
      </c>
      <c r="AW45" s="161">
        <f t="shared" si="19"/>
        <v>0</v>
      </c>
      <c r="AX45" s="1013">
        <f t="shared" si="1"/>
        <v>0</v>
      </c>
      <c r="AY45" s="334"/>
      <c r="AZ45" s="161"/>
      <c r="BA45" s="161"/>
      <c r="BB45" s="1013"/>
      <c r="BC45" s="335"/>
      <c r="BD45" s="323"/>
      <c r="BE45" s="161"/>
      <c r="BF45" s="335"/>
      <c r="BG45" s="539"/>
      <c r="BH45" s="334"/>
      <c r="BI45" s="161"/>
      <c r="BJ45" s="335"/>
      <c r="BS45" s="617"/>
      <c r="BT45" s="621">
        <f>AP45-BS45</f>
        <v>0</v>
      </c>
      <c r="BU45" s="617"/>
      <c r="BV45" s="621"/>
      <c r="BY45" s="628">
        <f t="shared" si="20"/>
        <v>0</v>
      </c>
      <c r="BZ45" s="628">
        <f t="shared" si="10"/>
        <v>0</v>
      </c>
      <c r="CA45" s="535">
        <f t="shared" si="16"/>
        <v>0</v>
      </c>
      <c r="CB45" s="533"/>
      <c r="CC45" s="617"/>
      <c r="CD45" s="621">
        <f>AZ45-CC45</f>
        <v>0</v>
      </c>
      <c r="CE45" s="617"/>
      <c r="CF45" s="621"/>
    </row>
    <row r="46" spans="1:84" s="115" customFormat="1" ht="31.5" x14ac:dyDescent="0.3">
      <c r="A46" s="435" t="s">
        <v>176</v>
      </c>
      <c r="B46" s="1388">
        <v>260</v>
      </c>
      <c r="C46" s="436">
        <v>240</v>
      </c>
      <c r="D46" s="1276">
        <f>D48+D49+D50+D51+D52+D56+D60+D62+D64+D67+D53+D57+D61+D63+D65+D66</f>
        <v>229525275.27500004</v>
      </c>
      <c r="E46" s="59">
        <f>H46+AB46+AW46+AU46</f>
        <v>252411368.60944033</v>
      </c>
      <c r="F46" s="410">
        <f t="shared" si="0"/>
        <v>22886093.334440291</v>
      </c>
      <c r="G46" s="293">
        <v>46655720.769999996</v>
      </c>
      <c r="H46" s="157">
        <f>H48+H49+H50+H51+H52+H56+H60+H62+H64+H67+H53+H57+H61+H63+H65+H66</f>
        <v>63068157.81944035</v>
      </c>
      <c r="I46" s="669">
        <f t="shared" si="18"/>
        <v>16412437.049440354</v>
      </c>
      <c r="J46" s="293">
        <f>J48+J49+J50+J51+J52+J56+J60+J62</f>
        <v>0</v>
      </c>
      <c r="K46" s="157"/>
      <c r="L46" s="157"/>
      <c r="M46" s="157"/>
      <c r="N46" s="157"/>
      <c r="O46" s="667"/>
      <c r="P46" s="293">
        <f>P48+P49+P50+P51+P52+P56+P60+P62+P64+P67+P53+P57+P61+P63+P65+P66</f>
        <v>29172987.350000001</v>
      </c>
      <c r="Q46" s="157">
        <f>Q48+Q49+Q50+Q51+Q52+Q56+Q60+Q62+Q64+Q67+Q53+Q57+Q61+Q63+Q65+Q66</f>
        <v>46675572.082627587</v>
      </c>
      <c r="R46" s="157">
        <f>Q46-P46</f>
        <v>17502584.732627586</v>
      </c>
      <c r="S46" s="157">
        <f>S48+S49+S50+S51+S52+S56+S60+S62+S64+S67+S53+S57+S61+S63+S65+S66</f>
        <v>28782874.75</v>
      </c>
      <c r="T46" s="157">
        <f>T48+T49+T50+T51+T52+T56+T60+T62+T64+T67+T53+T57+T61+T63+T65+T66</f>
        <v>17892697.332627587</v>
      </c>
      <c r="U46" s="283">
        <f>U48+U49+U50+U51+U52+U56+U60+U62+U64+U67+U53+U57+U61+U63+U65+U66</f>
        <v>17482733.41</v>
      </c>
      <c r="V46" s="157">
        <f>V48+V49+V50+V51+V52+V56+V60+V62+V64+V67+V53+V57+V61+V63+V65+V66</f>
        <v>16381417.597189084</v>
      </c>
      <c r="W46" s="314">
        <f>V46-U46</f>
        <v>-1101315.8128109165</v>
      </c>
      <c r="X46" s="293"/>
      <c r="Y46" s="157">
        <f>Y48+Y49+Y50+Y51+Y52+Y56+Y60+Y62+Y64+Y67+Y53+Y57+Y61+Y63+Y65+Y66</f>
        <v>2255837.9761981787</v>
      </c>
      <c r="Z46" s="314"/>
      <c r="AA46" s="276"/>
      <c r="AB46" s="307"/>
      <c r="AC46" s="372"/>
      <c r="AD46" s="525"/>
      <c r="AE46" s="307"/>
      <c r="AF46" s="153"/>
      <c r="AG46" s="357"/>
      <c r="AH46" s="379"/>
      <c r="AI46" s="153"/>
      <c r="AJ46" s="357"/>
      <c r="AK46" s="307"/>
      <c r="AL46" s="153"/>
      <c r="AM46" s="357"/>
      <c r="AN46" s="276"/>
      <c r="AO46" s="153"/>
      <c r="AP46" s="357"/>
      <c r="AQ46" s="153"/>
      <c r="AR46" s="153"/>
      <c r="AS46" s="357"/>
      <c r="AT46" s="422"/>
      <c r="AU46" s="396"/>
      <c r="AV46" s="334">
        <v>182869554.505</v>
      </c>
      <c r="AW46" s="161">
        <f t="shared" si="19"/>
        <v>189343210.78999999</v>
      </c>
      <c r="AX46" s="1013">
        <f t="shared" si="1"/>
        <v>6473656.2849999964</v>
      </c>
      <c r="AY46" s="334">
        <f>AY48+AY49+AY50+AY51+AY52+AY56+AY60+AY62+AY64+AY67+AY53+AY57+AY61+AY63+AY65+AY66</f>
        <v>155373348.78</v>
      </c>
      <c r="AZ46" s="161">
        <f>AZ48+AZ49+AZ50+AZ51+AZ52+AZ56+AZ60+AZ62+AZ64+AZ67+AZ53+AZ57+AZ61+AZ63+AZ65+AZ66</f>
        <v>155373348.78</v>
      </c>
      <c r="BA46" s="161">
        <f t="shared" ref="BA46:BC46" si="42">BA48+BA49+BA50+BA51+BA52+BA56+BA60+BA62+BA64+BA67+BA53+BA57+BA61+BA63+BA65+BA66</f>
        <v>0</v>
      </c>
      <c r="BB46" s="161">
        <f t="shared" si="42"/>
        <v>91700531.760000005</v>
      </c>
      <c r="BC46" s="335">
        <f t="shared" si="42"/>
        <v>63672817.020000003</v>
      </c>
      <c r="BD46" s="323">
        <f>BD48+BD49+BD50+BD51+BD52+BD56+BD60+BD62+BD64+BD67+BD53+BD57+BD61+BD63+BD65+BD66</f>
        <v>22737058.73</v>
      </c>
      <c r="BE46" s="161">
        <f>BE48+BE49+BE50+BE51+BE52+BE56+BE60+BE62+BE64+BE67+BE53+BE57+BE61+BE63+BE65+BE66</f>
        <v>29210715.010000002</v>
      </c>
      <c r="BF46" s="335">
        <f>BE46-BD46</f>
        <v>6473656.2800000012</v>
      </c>
      <c r="BG46" s="539">
        <f>BG48+BG49+BG50+BG51+BG52+BG53+BG57+BG62</f>
        <v>0</v>
      </c>
      <c r="BH46" s="334">
        <f>BH48+BH49+BH50+BH51+BH52+BH56+BH60+BH62+BH64+BH67+BH53+BH57+BH61+BH63+BH65+BH66</f>
        <v>4759147</v>
      </c>
      <c r="BI46" s="161">
        <f>BI48+BI49+BI50+BI51+BI52+BI56+BI60+BI62+BI64+BI67+BI53+BI57+BI61+BI63+BI65+BI66</f>
        <v>4759147.0000000037</v>
      </c>
      <c r="BJ46" s="335">
        <f>BI46-BH46</f>
        <v>0</v>
      </c>
      <c r="BS46" s="334">
        <f>BS48+BS49+BS50+BS51+BS52+BS56+BS60+BS62+BS64+BS67+BS53+BS57+BS61+BS63+BS65+BS66</f>
        <v>0</v>
      </c>
      <c r="BT46" s="539">
        <f t="shared" ref="BT46:BV46" si="43">BT48+BT49+BT50+BT51+BT52+BT56+BT60+BT62+BT64+BT67+BT53+BT57+BT61+BT63+BT65+BT66</f>
        <v>0</v>
      </c>
      <c r="BU46" s="334">
        <f t="shared" si="43"/>
        <v>25649553.189999998</v>
      </c>
      <c r="BV46" s="539">
        <f t="shared" si="43"/>
        <v>-25649553.189999998</v>
      </c>
      <c r="BY46" s="628">
        <f t="shared" si="20"/>
        <v>182869554.505</v>
      </c>
      <c r="BZ46" s="628">
        <f t="shared" si="10"/>
        <v>127263947.69999999</v>
      </c>
      <c r="CA46" s="535">
        <f t="shared" si="16"/>
        <v>55605606.805000007</v>
      </c>
      <c r="CB46" s="334">
        <f>SUM(CB49:CB67)</f>
        <v>126295893.63499999</v>
      </c>
      <c r="CC46" s="334">
        <f>CC48+CC49+CC50+CC51+CC52+CC56+CC60+CC62+CC64+CC67+CC53+CC57+CC61+CC63+CC65+CC66</f>
        <v>101614394.50999999</v>
      </c>
      <c r="CD46" s="539">
        <f t="shared" ref="CD46:CF46" si="44">CD48+CD49+CD50+CD51+CD52+CD56+CD60+CD62+CD64+CD67+CD53+CD57+CD61+CD63+CD65+CD66</f>
        <v>53758954.270000003</v>
      </c>
      <c r="CE46" s="334">
        <f t="shared" si="44"/>
        <v>25649553.189999998</v>
      </c>
      <c r="CF46" s="539">
        <f t="shared" si="44"/>
        <v>-2912494.4599999995</v>
      </c>
    </row>
    <row r="47" spans="1:84" ht="18.75" x14ac:dyDescent="0.3">
      <c r="A47" s="437" t="s">
        <v>92</v>
      </c>
      <c r="B47" s="1392"/>
      <c r="C47" s="438"/>
      <c r="D47" s="1275"/>
      <c r="E47" s="59">
        <f>H47+AB47+AV47+AU47</f>
        <v>0</v>
      </c>
      <c r="F47" s="410">
        <f t="shared" si="0"/>
        <v>0</v>
      </c>
      <c r="G47" s="297"/>
      <c r="H47" s="158"/>
      <c r="I47" s="669">
        <f t="shared" si="18"/>
        <v>0</v>
      </c>
      <c r="J47" s="297"/>
      <c r="K47" s="158"/>
      <c r="L47" s="158"/>
      <c r="M47" s="158"/>
      <c r="N47" s="158"/>
      <c r="O47" s="669"/>
      <c r="P47" s="297"/>
      <c r="Q47" s="158"/>
      <c r="R47" s="158"/>
      <c r="S47" s="158"/>
      <c r="T47" s="298"/>
      <c r="U47" s="285"/>
      <c r="V47" s="285"/>
      <c r="W47" s="316"/>
      <c r="X47" s="297"/>
      <c r="Y47" s="285"/>
      <c r="Z47" s="316"/>
      <c r="AA47" s="279"/>
      <c r="AB47" s="310"/>
      <c r="AC47" s="375"/>
      <c r="AD47" s="528"/>
      <c r="AE47" s="310"/>
      <c r="AF47" s="63"/>
      <c r="AG47" s="357"/>
      <c r="AH47" s="382"/>
      <c r="AI47" s="153"/>
      <c r="AJ47" s="357"/>
      <c r="AK47" s="310"/>
      <c r="AL47" s="63"/>
      <c r="AM47" s="360"/>
      <c r="AN47" s="279"/>
      <c r="AO47" s="63"/>
      <c r="AP47" s="360"/>
      <c r="AQ47" s="279"/>
      <c r="AR47" s="63"/>
      <c r="AS47" s="360"/>
      <c r="AT47" s="425"/>
      <c r="AU47" s="395"/>
      <c r="AV47" s="334">
        <v>0</v>
      </c>
      <c r="AW47" s="161">
        <f t="shared" si="19"/>
        <v>0</v>
      </c>
      <c r="AX47" s="1013">
        <f t="shared" si="1"/>
        <v>0</v>
      </c>
      <c r="AY47" s="338"/>
      <c r="AZ47" s="162"/>
      <c r="BA47" s="162"/>
      <c r="BB47" s="1309"/>
      <c r="BC47" s="339"/>
      <c r="BD47" s="324"/>
      <c r="BE47" s="162"/>
      <c r="BF47" s="339"/>
      <c r="BG47" s="540"/>
      <c r="BH47" s="338"/>
      <c r="BI47" s="162"/>
      <c r="BJ47" s="339"/>
      <c r="BK47" s="117"/>
      <c r="BL47" s="1300" t="s">
        <v>237</v>
      </c>
      <c r="BM47" s="1300" t="s">
        <v>197</v>
      </c>
      <c r="BN47" s="117"/>
      <c r="BO47" s="117"/>
      <c r="BP47" s="117"/>
      <c r="BQ47" s="117"/>
      <c r="BR47" s="117"/>
      <c r="BS47" s="617"/>
      <c r="BT47" s="621">
        <f>AP47-BS47</f>
        <v>0</v>
      </c>
      <c r="BU47" s="617"/>
      <c r="BV47" s="621"/>
      <c r="BW47" s="117"/>
      <c r="BX47" s="117"/>
      <c r="BY47" s="628">
        <f t="shared" si="20"/>
        <v>0</v>
      </c>
      <c r="BZ47" s="628">
        <f t="shared" si="10"/>
        <v>0</v>
      </c>
      <c r="CA47" s="535">
        <f t="shared" si="16"/>
        <v>0</v>
      </c>
      <c r="CB47" s="533"/>
      <c r="CC47" s="617"/>
      <c r="CD47" s="621">
        <f>AZ47-CC47</f>
        <v>0</v>
      </c>
      <c r="CE47" s="617"/>
      <c r="CF47" s="621"/>
    </row>
    <row r="48" spans="1:84" ht="31.5" x14ac:dyDescent="0.3">
      <c r="A48" s="437" t="s">
        <v>177</v>
      </c>
      <c r="B48" s="140"/>
      <c r="C48" s="1299">
        <v>241</v>
      </c>
      <c r="D48" s="1275"/>
      <c r="E48" s="59">
        <f>H48+AB48+AV48+AU48</f>
        <v>0</v>
      </c>
      <c r="F48" s="410">
        <f t="shared" si="0"/>
        <v>0</v>
      </c>
      <c r="G48" s="297"/>
      <c r="H48" s="158"/>
      <c r="I48" s="669">
        <f t="shared" si="18"/>
        <v>0</v>
      </c>
      <c r="J48" s="297"/>
      <c r="K48" s="158"/>
      <c r="L48" s="158"/>
      <c r="M48" s="158"/>
      <c r="N48" s="158"/>
      <c r="O48" s="669"/>
      <c r="P48" s="297"/>
      <c r="Q48" s="158"/>
      <c r="R48" s="158"/>
      <c r="S48" s="158"/>
      <c r="T48" s="298"/>
      <c r="U48" s="285"/>
      <c r="V48" s="285"/>
      <c r="W48" s="316"/>
      <c r="X48" s="297"/>
      <c r="Y48" s="285"/>
      <c r="Z48" s="316"/>
      <c r="AA48" s="279"/>
      <c r="AB48" s="310"/>
      <c r="AC48" s="375"/>
      <c r="AD48" s="528"/>
      <c r="AE48" s="310"/>
      <c r="AF48" s="63"/>
      <c r="AG48" s="357"/>
      <c r="AH48" s="382"/>
      <c r="AI48" s="153"/>
      <c r="AJ48" s="360"/>
      <c r="AK48" s="310"/>
      <c r="AL48" s="63"/>
      <c r="AM48" s="360"/>
      <c r="AN48" s="279"/>
      <c r="AO48" s="63"/>
      <c r="AP48" s="360"/>
      <c r="AQ48" s="279"/>
      <c r="AR48" s="63"/>
      <c r="AS48" s="360"/>
      <c r="AT48" s="425"/>
      <c r="AU48" s="395"/>
      <c r="AV48" s="334">
        <v>0</v>
      </c>
      <c r="AW48" s="161">
        <f t="shared" si="19"/>
        <v>0</v>
      </c>
      <c r="AX48" s="1013">
        <f t="shared" si="1"/>
        <v>0</v>
      </c>
      <c r="AY48" s="338"/>
      <c r="AZ48" s="162"/>
      <c r="BA48" s="162"/>
      <c r="BB48" s="1309"/>
      <c r="BC48" s="339"/>
      <c r="BD48" s="324"/>
      <c r="BE48" s="162"/>
      <c r="BF48" s="339"/>
      <c r="BG48" s="540"/>
      <c r="BH48" s="338"/>
      <c r="BI48" s="162"/>
      <c r="BJ48" s="339"/>
      <c r="BK48" s="117"/>
      <c r="BL48" s="141"/>
      <c r="BM48" s="122">
        <v>25000</v>
      </c>
      <c r="BN48" s="117" t="s">
        <v>234</v>
      </c>
      <c r="BO48" s="117"/>
      <c r="BP48" s="117"/>
      <c r="BQ48" s="117"/>
      <c r="BR48" s="117"/>
      <c r="BS48" s="617"/>
      <c r="BT48" s="621">
        <f>AP48-BS48</f>
        <v>0</v>
      </c>
      <c r="BU48" s="617"/>
      <c r="BV48" s="621"/>
      <c r="BW48" s="117"/>
      <c r="BX48" s="117"/>
      <c r="BY48" s="628">
        <f t="shared" si="20"/>
        <v>0</v>
      </c>
      <c r="BZ48" s="628">
        <f t="shared" si="10"/>
        <v>0</v>
      </c>
      <c r="CA48" s="535">
        <f t="shared" si="16"/>
        <v>0</v>
      </c>
      <c r="CB48" s="533"/>
      <c r="CC48" s="617"/>
      <c r="CD48" s="621">
        <f>AZ48-CC48</f>
        <v>0</v>
      </c>
      <c r="CE48" s="617"/>
      <c r="CF48" s="621"/>
    </row>
    <row r="49" spans="1:86" ht="15.75" customHeight="1" x14ac:dyDescent="0.3">
      <c r="A49" s="437" t="s">
        <v>178</v>
      </c>
      <c r="B49" s="140"/>
      <c r="C49" s="1299">
        <v>244</v>
      </c>
      <c r="D49" s="1275">
        <f t="shared" ref="D49:D68" si="45">G49+AA49+AV49+AU49</f>
        <v>2150386.19</v>
      </c>
      <c r="E49" s="64">
        <f>H49+AB49+AW49+AU49</f>
        <v>2441102.14</v>
      </c>
      <c r="F49" s="410">
        <f t="shared" si="0"/>
        <v>290715.95000000019</v>
      </c>
      <c r="G49" s="297">
        <v>935479.38</v>
      </c>
      <c r="H49" s="158">
        <f>G49+226318.96</f>
        <v>1161798.3400000001</v>
      </c>
      <c r="I49" s="669">
        <f t="shared" si="18"/>
        <v>226318.96000000008</v>
      </c>
      <c r="J49" s="297"/>
      <c r="K49" s="158"/>
      <c r="L49" s="158"/>
      <c r="M49" s="158"/>
      <c r="N49" s="158"/>
      <c r="O49" s="669"/>
      <c r="P49" s="297">
        <v>717269.39</v>
      </c>
      <c r="Q49" s="158">
        <f>H49-V49-Y49</f>
        <v>1033642.2100000001</v>
      </c>
      <c r="R49" s="158">
        <f>Q49-P49</f>
        <v>316372.82000000007</v>
      </c>
      <c r="S49" s="158">
        <v>294122.48</v>
      </c>
      <c r="T49" s="298">
        <f>Q49-S49</f>
        <v>739519.7300000001</v>
      </c>
      <c r="U49" s="285">
        <v>218209.99</v>
      </c>
      <c r="V49" s="285">
        <v>100000</v>
      </c>
      <c r="W49" s="316">
        <f>V49-U49</f>
        <v>-118209.98999999999</v>
      </c>
      <c r="X49" s="297"/>
      <c r="Y49" s="285">
        <v>28156.13</v>
      </c>
      <c r="Z49" s="316"/>
      <c r="AA49" s="279"/>
      <c r="AB49" s="310"/>
      <c r="AC49" s="375"/>
      <c r="AD49" s="528"/>
      <c r="AE49" s="310"/>
      <c r="AF49" s="63"/>
      <c r="AG49" s="357"/>
      <c r="AH49" s="382"/>
      <c r="AI49" s="63"/>
      <c r="AJ49" s="360"/>
      <c r="AK49" s="310"/>
      <c r="AL49" s="63"/>
      <c r="AM49" s="360"/>
      <c r="AN49" s="279"/>
      <c r="AO49" s="63"/>
      <c r="AP49" s="360"/>
      <c r="AQ49" s="279"/>
      <c r="AR49" s="63"/>
      <c r="AS49" s="360"/>
      <c r="AT49" s="425"/>
      <c r="AU49" s="395"/>
      <c r="AV49" s="334">
        <v>1214906.81</v>
      </c>
      <c r="AW49" s="161">
        <f t="shared" si="19"/>
        <v>1279303.8</v>
      </c>
      <c r="AX49" s="1013">
        <f t="shared" si="1"/>
        <v>64396.989999999991</v>
      </c>
      <c r="AY49" s="338">
        <v>889902.56</v>
      </c>
      <c r="AZ49" s="162">
        <v>889902.56</v>
      </c>
      <c r="BA49" s="162">
        <f>AZ49-AY49</f>
        <v>0</v>
      </c>
      <c r="BB49" s="1309">
        <v>673375.32</v>
      </c>
      <c r="BC49" s="339">
        <f>AZ49-BB49</f>
        <v>216527.24000000011</v>
      </c>
      <c r="BD49" s="324">
        <v>265603.01</v>
      </c>
      <c r="BE49" s="162">
        <v>330000</v>
      </c>
      <c r="BF49" s="339">
        <f>BE49-BD49</f>
        <v>64396.989999999991</v>
      </c>
      <c r="BG49" s="540"/>
      <c r="BH49" s="338">
        <v>59401.24</v>
      </c>
      <c r="BI49" s="162">
        <v>59401.24</v>
      </c>
      <c r="BJ49" s="339">
        <f>BI49-BH49</f>
        <v>0</v>
      </c>
      <c r="BK49" s="117"/>
      <c r="BL49" s="122">
        <v>269900</v>
      </c>
      <c r="BM49" s="122">
        <f>-269900</f>
        <v>-269900</v>
      </c>
      <c r="BN49" s="117" t="s">
        <v>179</v>
      </c>
      <c r="BO49" s="117"/>
      <c r="BP49" s="117"/>
      <c r="BQ49" s="117"/>
      <c r="BR49" s="117"/>
      <c r="BS49" s="617"/>
      <c r="BT49" s="621">
        <f>AO49-BS49</f>
        <v>0</v>
      </c>
      <c r="BU49" s="617">
        <v>212701.86</v>
      </c>
      <c r="BV49" s="621">
        <f>AR49-BU49</f>
        <v>-212701.86</v>
      </c>
      <c r="BW49" s="117"/>
      <c r="BX49" s="117"/>
      <c r="BY49" s="629">
        <f t="shared" si="20"/>
        <v>1214906.81</v>
      </c>
      <c r="BZ49" s="629">
        <f t="shared" si="10"/>
        <v>963193.04999999993</v>
      </c>
      <c r="CA49" s="533">
        <f t="shared" si="16"/>
        <v>251713.76000000013</v>
      </c>
      <c r="CB49" s="533">
        <f>BY49</f>
        <v>1214906.81</v>
      </c>
      <c r="CC49" s="617">
        <v>750491.19</v>
      </c>
      <c r="CD49" s="621">
        <f>AY49-CC49</f>
        <v>139411.37000000011</v>
      </c>
      <c r="CE49" s="617">
        <v>212701.86</v>
      </c>
      <c r="CF49" s="621">
        <f>BD49-CE49</f>
        <v>52901.150000000023</v>
      </c>
      <c r="CG49" s="117"/>
      <c r="CH49" s="117"/>
    </row>
    <row r="50" spans="1:86" ht="19.5" customHeight="1" x14ac:dyDescent="0.3">
      <c r="A50" s="437" t="s">
        <v>179</v>
      </c>
      <c r="B50" s="140"/>
      <c r="C50" s="1299">
        <v>244</v>
      </c>
      <c r="D50" s="1275">
        <f t="shared" si="45"/>
        <v>161040</v>
      </c>
      <c r="E50" s="64">
        <f>H50+AB50+AW50+AU50</f>
        <v>136040</v>
      </c>
      <c r="F50" s="411">
        <f t="shared" si="0"/>
        <v>-25000</v>
      </c>
      <c r="G50" s="297"/>
      <c r="H50" s="158">
        <f>K50+Q50+V50+Y50</f>
        <v>0</v>
      </c>
      <c r="I50" s="669">
        <f t="shared" si="18"/>
        <v>0</v>
      </c>
      <c r="J50" s="297"/>
      <c r="K50" s="158"/>
      <c r="L50" s="158"/>
      <c r="M50" s="158"/>
      <c r="N50" s="158"/>
      <c r="O50" s="669"/>
      <c r="P50" s="297"/>
      <c r="Q50" s="158">
        <f>G50-V50-Y50</f>
        <v>0</v>
      </c>
      <c r="R50" s="158"/>
      <c r="S50" s="158"/>
      <c r="T50" s="298">
        <f t="shared" ref="T50:T67" si="46">Q50-S50</f>
        <v>0</v>
      </c>
      <c r="U50" s="285"/>
      <c r="V50" s="285"/>
      <c r="W50" s="316"/>
      <c r="X50" s="297"/>
      <c r="Y50" s="285"/>
      <c r="Z50" s="316"/>
      <c r="AA50" s="279"/>
      <c r="AB50" s="310"/>
      <c r="AC50" s="375"/>
      <c r="AD50" s="528"/>
      <c r="AE50" s="310"/>
      <c r="AF50" s="63"/>
      <c r="AG50" s="357"/>
      <c r="AH50" s="382"/>
      <c r="AI50" s="63"/>
      <c r="AJ50" s="360"/>
      <c r="AK50" s="310"/>
      <c r="AL50" s="63"/>
      <c r="AM50" s="360"/>
      <c r="AN50" s="279"/>
      <c r="AO50" s="63"/>
      <c r="AP50" s="360"/>
      <c r="AQ50" s="279"/>
      <c r="AR50" s="63"/>
      <c r="AS50" s="360"/>
      <c r="AT50" s="425"/>
      <c r="AU50" s="395"/>
      <c r="AV50" s="334">
        <v>161040</v>
      </c>
      <c r="AW50" s="161">
        <f>AZ50+BE50</f>
        <v>136040</v>
      </c>
      <c r="AX50" s="1013">
        <f t="shared" si="1"/>
        <v>-25000</v>
      </c>
      <c r="AY50" s="338">
        <v>111040</v>
      </c>
      <c r="AZ50" s="162">
        <v>111040</v>
      </c>
      <c r="BA50" s="162">
        <f t="shared" ref="BA50:BA68" si="47">AZ50-AY50</f>
        <v>0</v>
      </c>
      <c r="BB50" s="1309">
        <v>6471</v>
      </c>
      <c r="BC50" s="339">
        <f t="shared" ref="BC50:BC67" si="48">AZ50-BB50</f>
        <v>104569</v>
      </c>
      <c r="BD50" s="324">
        <v>50000</v>
      </c>
      <c r="BE50" s="162">
        <v>25000</v>
      </c>
      <c r="BF50" s="339">
        <f>BE50-BD50</f>
        <v>-25000</v>
      </c>
      <c r="BG50" s="540"/>
      <c r="BH50" s="338"/>
      <c r="BI50" s="162"/>
      <c r="BJ50" s="339">
        <f>BI50-BH50</f>
        <v>0</v>
      </c>
      <c r="BK50" s="117"/>
      <c r="BL50" s="111">
        <v>50000</v>
      </c>
      <c r="BM50" s="111">
        <v>845833.33</v>
      </c>
      <c r="BN50" s="117" t="s">
        <v>242</v>
      </c>
      <c r="BO50" s="117"/>
      <c r="BP50" s="117"/>
      <c r="BQ50" s="117"/>
      <c r="BR50" s="117"/>
      <c r="BS50" s="617"/>
      <c r="BT50" s="621">
        <f t="shared" ref="BT50:BT51" si="49">AO50-BS50</f>
        <v>0</v>
      </c>
      <c r="BU50" s="617">
        <v>30772.66</v>
      </c>
      <c r="BV50" s="621">
        <f t="shared" ref="BV50:BV62" si="50">AR50-BU50</f>
        <v>-30772.66</v>
      </c>
      <c r="BW50" s="117"/>
      <c r="BX50" s="117"/>
      <c r="BY50" s="629">
        <f t="shared" si="20"/>
        <v>161040</v>
      </c>
      <c r="BZ50" s="629">
        <f t="shared" si="10"/>
        <v>39127.660000000003</v>
      </c>
      <c r="CA50" s="533">
        <f t="shared" si="16"/>
        <v>121912.34</v>
      </c>
      <c r="CB50" s="533">
        <f>BZ50</f>
        <v>39127.660000000003</v>
      </c>
      <c r="CC50" s="617">
        <v>8355</v>
      </c>
      <c r="CD50" s="621">
        <f t="shared" ref="CD50:CD51" si="51">AY50-CC50</f>
        <v>102685</v>
      </c>
      <c r="CE50" s="617">
        <v>30772.66</v>
      </c>
      <c r="CF50" s="621">
        <f t="shared" ref="CF50:CF76" si="52">BD50-CE50</f>
        <v>19227.34</v>
      </c>
      <c r="CG50" s="117"/>
      <c r="CH50" s="117"/>
    </row>
    <row r="51" spans="1:86" ht="16.5" customHeight="1" x14ac:dyDescent="0.3">
      <c r="A51" s="437" t="s">
        <v>180</v>
      </c>
      <c r="B51" s="140"/>
      <c r="C51" s="1299">
        <v>244</v>
      </c>
      <c r="D51" s="1275">
        <f t="shared" si="45"/>
        <v>33549466.220000003</v>
      </c>
      <c r="E51" s="64">
        <f>H51+AB51+AW51+AU51</f>
        <v>40037549.540000007</v>
      </c>
      <c r="F51" s="411">
        <f t="shared" si="0"/>
        <v>6488083.320000004</v>
      </c>
      <c r="G51" s="297">
        <v>11180271.91</v>
      </c>
      <c r="H51" s="158">
        <f>G51+4269013.32</f>
        <v>15449285.23</v>
      </c>
      <c r="I51" s="669">
        <f t="shared" si="18"/>
        <v>4269013.32</v>
      </c>
      <c r="J51" s="297"/>
      <c r="K51" s="158"/>
      <c r="L51" s="158"/>
      <c r="M51" s="158"/>
      <c r="N51" s="158"/>
      <c r="O51" s="669"/>
      <c r="P51" s="297">
        <v>7064216.5199999996</v>
      </c>
      <c r="Q51" s="158">
        <f>H51-V51-Y51</f>
        <v>12318181.310000001</v>
      </c>
      <c r="R51" s="158">
        <f>Q51-P51</f>
        <v>5253964.790000001</v>
      </c>
      <c r="S51" s="158">
        <v>5840468.1799999997</v>
      </c>
      <c r="T51" s="298">
        <f t="shared" si="46"/>
        <v>6477713.1300000008</v>
      </c>
      <c r="U51" s="285">
        <v>4116055.39</v>
      </c>
      <c r="V51" s="285">
        <v>2600000</v>
      </c>
      <c r="W51" s="316">
        <f>V51-U51</f>
        <v>-1516055.3900000001</v>
      </c>
      <c r="X51" s="297"/>
      <c r="Y51" s="285">
        <v>531103.92000000004</v>
      </c>
      <c r="Z51" s="316"/>
      <c r="AA51" s="279"/>
      <c r="AB51" s="310"/>
      <c r="AC51" s="375"/>
      <c r="AD51" s="528"/>
      <c r="AE51" s="310"/>
      <c r="AF51" s="63"/>
      <c r="AG51" s="357"/>
      <c r="AH51" s="382"/>
      <c r="AI51" s="63"/>
      <c r="AJ51" s="360"/>
      <c r="AK51" s="310"/>
      <c r="AL51" s="63"/>
      <c r="AM51" s="360"/>
      <c r="AN51" s="279"/>
      <c r="AO51" s="63"/>
      <c r="AP51" s="360"/>
      <c r="AQ51" s="63"/>
      <c r="AR51" s="63"/>
      <c r="AS51" s="360"/>
      <c r="AT51" s="425"/>
      <c r="AU51" s="395"/>
      <c r="AV51" s="334">
        <v>22369194.310000002</v>
      </c>
      <c r="AW51" s="161">
        <f t="shared" si="19"/>
        <v>24588264.310000002</v>
      </c>
      <c r="AX51" s="1013">
        <f t="shared" si="1"/>
        <v>2219070</v>
      </c>
      <c r="AY51" s="338">
        <v>19267792.300000001</v>
      </c>
      <c r="AZ51" s="162">
        <v>19267792.300000001</v>
      </c>
      <c r="BA51" s="162">
        <f t="shared" si="47"/>
        <v>0</v>
      </c>
      <c r="BB51" s="1309">
        <v>12866753.949999999</v>
      </c>
      <c r="BC51" s="339">
        <f t="shared" si="48"/>
        <v>6401038.3500000015</v>
      </c>
      <c r="BD51" s="324">
        <v>1980930</v>
      </c>
      <c r="BE51" s="162">
        <v>4200000</v>
      </c>
      <c r="BF51" s="339">
        <f>BE51-BD51</f>
        <v>2219070</v>
      </c>
      <c r="BG51" s="540"/>
      <c r="BH51" s="338">
        <v>1120472.01</v>
      </c>
      <c r="BI51" s="162">
        <v>1120472.01</v>
      </c>
      <c r="BJ51" s="339">
        <f>BI51-BH51</f>
        <v>0</v>
      </c>
      <c r="BK51" s="117"/>
      <c r="BL51" s="122">
        <f>-(BL39+BL49+BL36)</f>
        <v>-2401129.66</v>
      </c>
      <c r="BM51" s="117"/>
      <c r="BN51" s="117" t="s">
        <v>180</v>
      </c>
      <c r="BO51" s="117"/>
      <c r="BP51" s="117"/>
      <c r="BQ51" s="117"/>
      <c r="BR51" s="117"/>
      <c r="BS51" s="617"/>
      <c r="BT51" s="621">
        <f t="shared" si="49"/>
        <v>0</v>
      </c>
      <c r="BU51" s="617">
        <v>879775.94</v>
      </c>
      <c r="BV51" s="621">
        <f t="shared" si="50"/>
        <v>-879775.94</v>
      </c>
      <c r="BW51" s="117"/>
      <c r="BX51" s="117"/>
      <c r="BY51" s="629">
        <f t="shared" si="20"/>
        <v>22369194.310000002</v>
      </c>
      <c r="BZ51" s="629">
        <f t="shared" si="10"/>
        <v>16781898.300000001</v>
      </c>
      <c r="CA51" s="533">
        <f t="shared" si="16"/>
        <v>5587296.0100000016</v>
      </c>
      <c r="CB51" s="533">
        <f>BZ51</f>
        <v>16781898.300000001</v>
      </c>
      <c r="CC51" s="617">
        <f>15377975.9+224146.46+300000</f>
        <v>15902122.360000001</v>
      </c>
      <c r="CD51" s="621">
        <f t="shared" si="51"/>
        <v>3365669.9399999995</v>
      </c>
      <c r="CE51" s="617">
        <v>879775.94</v>
      </c>
      <c r="CF51" s="621">
        <f t="shared" si="52"/>
        <v>1101154.06</v>
      </c>
      <c r="CG51" s="117"/>
      <c r="CH51" s="117"/>
    </row>
    <row r="52" spans="1:86" ht="18.75" x14ac:dyDescent="0.3">
      <c r="A52" s="437" t="s">
        <v>181</v>
      </c>
      <c r="B52" s="140"/>
      <c r="C52" s="1299">
        <v>244</v>
      </c>
      <c r="D52" s="1275">
        <f t="shared" si="45"/>
        <v>0</v>
      </c>
      <c r="E52" s="64">
        <f>H52+AB52+AV52+AU52</f>
        <v>0</v>
      </c>
      <c r="F52" s="410">
        <f t="shared" si="0"/>
        <v>0</v>
      </c>
      <c r="G52" s="297"/>
      <c r="H52" s="158">
        <f>K52+Q52+V52+Y52</f>
        <v>0</v>
      </c>
      <c r="I52" s="669">
        <f t="shared" si="18"/>
        <v>0</v>
      </c>
      <c r="J52" s="297"/>
      <c r="K52" s="158"/>
      <c r="L52" s="158"/>
      <c r="M52" s="158"/>
      <c r="N52" s="158"/>
      <c r="O52" s="669"/>
      <c r="P52" s="297"/>
      <c r="Q52" s="158">
        <f>G52-V52-Y52</f>
        <v>0</v>
      </c>
      <c r="R52" s="158"/>
      <c r="S52" s="158"/>
      <c r="T52" s="298">
        <f t="shared" si="46"/>
        <v>0</v>
      </c>
      <c r="U52" s="285"/>
      <c r="V52" s="285"/>
      <c r="W52" s="316"/>
      <c r="X52" s="297"/>
      <c r="Y52" s="285"/>
      <c r="Z52" s="316"/>
      <c r="AA52" s="279"/>
      <c r="AB52" s="310"/>
      <c r="AC52" s="375"/>
      <c r="AD52" s="528"/>
      <c r="AE52" s="310"/>
      <c r="AF52" s="63"/>
      <c r="AG52" s="357"/>
      <c r="AH52" s="382"/>
      <c r="AI52" s="63"/>
      <c r="AJ52" s="360"/>
      <c r="AK52" s="310"/>
      <c r="AL52" s="63"/>
      <c r="AM52" s="360"/>
      <c r="AN52" s="279"/>
      <c r="AO52" s="63"/>
      <c r="AP52" s="360"/>
      <c r="AQ52" s="279"/>
      <c r="AR52" s="63"/>
      <c r="AS52" s="360"/>
      <c r="AT52" s="425"/>
      <c r="AU52" s="395"/>
      <c r="AV52" s="334">
        <v>0</v>
      </c>
      <c r="AW52" s="161">
        <f t="shared" si="19"/>
        <v>0</v>
      </c>
      <c r="AX52" s="1013">
        <f t="shared" si="1"/>
        <v>0</v>
      </c>
      <c r="AY52" s="338">
        <v>0</v>
      </c>
      <c r="AZ52" s="162">
        <f t="shared" ref="AZ52:AZ66" si="53">AV52-BE52-BI52</f>
        <v>0</v>
      </c>
      <c r="BA52" s="162">
        <f t="shared" si="47"/>
        <v>0</v>
      </c>
      <c r="BB52" s="1309"/>
      <c r="BC52" s="339">
        <f t="shared" si="48"/>
        <v>0</v>
      </c>
      <c r="BD52" s="324"/>
      <c r="BE52" s="162"/>
      <c r="BF52" s="339"/>
      <c r="BG52" s="540"/>
      <c r="BH52" s="338"/>
      <c r="BI52" s="162"/>
      <c r="BJ52" s="339"/>
      <c r="BK52" s="117"/>
      <c r="BL52" s="111">
        <v>23168167.190000001</v>
      </c>
      <c r="BM52" s="111">
        <v>2186471.81</v>
      </c>
      <c r="BN52" s="117" t="s">
        <v>243</v>
      </c>
      <c r="BO52" s="117"/>
      <c r="BP52" s="117"/>
      <c r="BQ52" s="117"/>
      <c r="BR52" s="117"/>
      <c r="BS52" s="617"/>
      <c r="BT52" s="621">
        <f>AP52-BS52</f>
        <v>0</v>
      </c>
      <c r="BU52" s="617"/>
      <c r="BV52" s="621">
        <f t="shared" si="50"/>
        <v>0</v>
      </c>
      <c r="BW52" s="117"/>
      <c r="BX52" s="117"/>
      <c r="BY52" s="629">
        <f t="shared" si="20"/>
        <v>0</v>
      </c>
      <c r="BZ52" s="629">
        <f t="shared" si="10"/>
        <v>0</v>
      </c>
      <c r="CA52" s="533">
        <f t="shared" si="16"/>
        <v>0</v>
      </c>
      <c r="CB52" s="533"/>
      <c r="CC52" s="617"/>
      <c r="CD52" s="621">
        <f>AZ52-CC52</f>
        <v>0</v>
      </c>
      <c r="CE52" s="617"/>
      <c r="CF52" s="621">
        <f t="shared" si="52"/>
        <v>0</v>
      </c>
      <c r="CG52" s="117"/>
      <c r="CH52" s="117"/>
    </row>
    <row r="53" spans="1:86" ht="18.75" x14ac:dyDescent="0.3">
      <c r="A53" s="1417" t="s">
        <v>182</v>
      </c>
      <c r="B53" s="142"/>
      <c r="C53" s="1414">
        <v>243</v>
      </c>
      <c r="D53" s="1275">
        <f t="shared" si="45"/>
        <v>0</v>
      </c>
      <c r="E53" s="64">
        <f t="shared" ref="E53:E60" si="54">H53+AB53+AW53+AU53</f>
        <v>0</v>
      </c>
      <c r="F53" s="411">
        <f t="shared" si="0"/>
        <v>0</v>
      </c>
      <c r="G53" s="297"/>
      <c r="H53" s="158">
        <f>K53+Q53+V53+Y53</f>
        <v>0</v>
      </c>
      <c r="I53" s="669">
        <f t="shared" si="18"/>
        <v>0</v>
      </c>
      <c r="J53" s="299"/>
      <c r="K53" s="158"/>
      <c r="L53" s="1310"/>
      <c r="M53" s="1310"/>
      <c r="N53" s="1310"/>
      <c r="O53" s="1311"/>
      <c r="P53" s="299"/>
      <c r="Q53" s="158">
        <f>G53-V53-Y53</f>
        <v>0</v>
      </c>
      <c r="R53" s="1310"/>
      <c r="S53" s="1310"/>
      <c r="T53" s="298">
        <f t="shared" si="46"/>
        <v>0</v>
      </c>
      <c r="U53" s="286"/>
      <c r="V53" s="286"/>
      <c r="W53" s="317"/>
      <c r="X53" s="299"/>
      <c r="Y53" s="286"/>
      <c r="Z53" s="317"/>
      <c r="AA53" s="279"/>
      <c r="AB53" s="310"/>
      <c r="AC53" s="375"/>
      <c r="AD53" s="528"/>
      <c r="AE53" s="310"/>
      <c r="AF53" s="1068"/>
      <c r="AG53" s="360"/>
      <c r="AH53" s="382"/>
      <c r="AI53" s="63"/>
      <c r="AJ53" s="360"/>
      <c r="AK53" s="310"/>
      <c r="AL53" s="63"/>
      <c r="AM53" s="360"/>
      <c r="AN53" s="279"/>
      <c r="AO53" s="63"/>
      <c r="AP53" s="360"/>
      <c r="AQ53" s="279"/>
      <c r="AR53" s="63"/>
      <c r="AS53" s="360"/>
      <c r="AT53" s="425"/>
      <c r="AU53" s="397"/>
      <c r="AV53" s="334">
        <v>0</v>
      </c>
      <c r="AW53" s="161">
        <f t="shared" si="19"/>
        <v>0</v>
      </c>
      <c r="AX53" s="1013">
        <f t="shared" si="1"/>
        <v>0</v>
      </c>
      <c r="AY53" s="340">
        <v>0</v>
      </c>
      <c r="AZ53" s="162">
        <f t="shared" si="53"/>
        <v>0</v>
      </c>
      <c r="BA53" s="162">
        <f t="shared" si="47"/>
        <v>0</v>
      </c>
      <c r="BB53" s="1309"/>
      <c r="BC53" s="339">
        <f t="shared" si="48"/>
        <v>0</v>
      </c>
      <c r="BD53" s="401"/>
      <c r="BE53" s="259"/>
      <c r="BF53" s="341"/>
      <c r="BG53" s="540"/>
      <c r="BH53" s="340"/>
      <c r="BI53" s="259"/>
      <c r="BJ53" s="341"/>
      <c r="BK53" s="117"/>
      <c r="BL53" s="111">
        <f>AV51-BL52</f>
        <v>-798972.87999999896</v>
      </c>
      <c r="BM53" s="117"/>
      <c r="BN53" s="117"/>
      <c r="BO53" s="117"/>
      <c r="BP53" s="117"/>
      <c r="BQ53" s="117"/>
      <c r="BR53" s="117"/>
      <c r="BS53" s="617"/>
      <c r="BT53" s="621">
        <f>AP53-BS53</f>
        <v>0</v>
      </c>
      <c r="BU53" s="617"/>
      <c r="BV53" s="621">
        <f t="shared" si="50"/>
        <v>0</v>
      </c>
      <c r="BW53" s="117"/>
      <c r="BX53" s="117"/>
      <c r="BY53" s="629">
        <f t="shared" si="20"/>
        <v>0</v>
      </c>
      <c r="BZ53" s="629">
        <f t="shared" si="10"/>
        <v>0</v>
      </c>
      <c r="CA53" s="533">
        <f t="shared" si="16"/>
        <v>0</v>
      </c>
      <c r="CB53" s="533"/>
      <c r="CC53" s="617"/>
      <c r="CD53" s="621">
        <f>AZ53-CC53</f>
        <v>0</v>
      </c>
      <c r="CE53" s="617"/>
      <c r="CF53" s="621">
        <f t="shared" si="52"/>
        <v>0</v>
      </c>
      <c r="CG53" s="117"/>
      <c r="CH53" s="117"/>
    </row>
    <row r="54" spans="1:86" s="145" customFormat="1" ht="19.5" hidden="1" customHeight="1" x14ac:dyDescent="0.3">
      <c r="A54" s="1418"/>
      <c r="B54" s="143"/>
      <c r="C54" s="1415"/>
      <c r="D54" s="1275">
        <f t="shared" si="45"/>
        <v>0</v>
      </c>
      <c r="E54" s="64">
        <f t="shared" si="54"/>
        <v>0</v>
      </c>
      <c r="F54" s="411">
        <f t="shared" si="0"/>
        <v>0</v>
      </c>
      <c r="G54" s="297"/>
      <c r="H54" s="158">
        <f>K54+Q54+V54+Y54</f>
        <v>0</v>
      </c>
      <c r="I54" s="669">
        <f t="shared" si="18"/>
        <v>0</v>
      </c>
      <c r="J54" s="301"/>
      <c r="K54" s="158"/>
      <c r="L54" s="1312"/>
      <c r="M54" s="1312"/>
      <c r="N54" s="1312"/>
      <c r="O54" s="1313"/>
      <c r="P54" s="301"/>
      <c r="Q54" s="158">
        <f>G54-V54-Y54</f>
        <v>0</v>
      </c>
      <c r="R54" s="1312"/>
      <c r="S54" s="1312"/>
      <c r="T54" s="298">
        <f t="shared" si="46"/>
        <v>0</v>
      </c>
      <c r="U54" s="287"/>
      <c r="V54" s="287"/>
      <c r="W54" s="318"/>
      <c r="X54" s="301"/>
      <c r="Y54" s="287"/>
      <c r="Z54" s="318"/>
      <c r="AA54" s="279"/>
      <c r="AB54" s="310"/>
      <c r="AC54" s="375"/>
      <c r="AD54" s="529"/>
      <c r="AE54" s="523"/>
      <c r="AF54" s="163"/>
      <c r="AG54" s="360"/>
      <c r="AH54" s="384"/>
      <c r="AI54" s="63"/>
      <c r="AJ54" s="360"/>
      <c r="AK54" s="523"/>
      <c r="AL54" s="163"/>
      <c r="AM54" s="361"/>
      <c r="AN54" s="280"/>
      <c r="AO54" s="163"/>
      <c r="AP54" s="361"/>
      <c r="AQ54" s="280"/>
      <c r="AR54" s="163"/>
      <c r="AS54" s="360"/>
      <c r="AT54" s="427"/>
      <c r="AU54" s="398"/>
      <c r="AV54" s="334">
        <v>0</v>
      </c>
      <c r="AW54" s="161">
        <f t="shared" si="19"/>
        <v>0</v>
      </c>
      <c r="AX54" s="1013">
        <f t="shared" si="1"/>
        <v>0</v>
      </c>
      <c r="AY54" s="342">
        <v>0</v>
      </c>
      <c r="AZ54" s="162">
        <f t="shared" si="53"/>
        <v>0</v>
      </c>
      <c r="BA54" s="162">
        <f t="shared" si="47"/>
        <v>0</v>
      </c>
      <c r="BB54" s="1309"/>
      <c r="BC54" s="339">
        <f t="shared" si="48"/>
        <v>0</v>
      </c>
      <c r="BD54" s="402"/>
      <c r="BE54" s="262"/>
      <c r="BF54" s="343"/>
      <c r="BG54" s="544"/>
      <c r="BH54" s="342"/>
      <c r="BI54" s="262"/>
      <c r="BJ54" s="343"/>
      <c r="BS54" s="617"/>
      <c r="BT54" s="621">
        <f>AP54-BS54</f>
        <v>0</v>
      </c>
      <c r="BU54" s="617"/>
      <c r="BV54" s="621">
        <f t="shared" si="50"/>
        <v>0</v>
      </c>
      <c r="BY54" s="629">
        <f t="shared" si="20"/>
        <v>0</v>
      </c>
      <c r="BZ54" s="629">
        <f t="shared" si="10"/>
        <v>0</v>
      </c>
      <c r="CA54" s="533">
        <f t="shared" si="16"/>
        <v>0</v>
      </c>
      <c r="CB54" s="533"/>
      <c r="CC54" s="617"/>
      <c r="CD54" s="621">
        <f>AZ54-CC54</f>
        <v>0</v>
      </c>
      <c r="CE54" s="617"/>
      <c r="CF54" s="621">
        <f t="shared" si="52"/>
        <v>0</v>
      </c>
    </row>
    <row r="55" spans="1:86" s="145" customFormat="1" ht="19.5" hidden="1" customHeight="1" x14ac:dyDescent="0.3">
      <c r="A55" s="1418"/>
      <c r="B55" s="143"/>
      <c r="C55" s="1416"/>
      <c r="D55" s="1275">
        <f t="shared" si="45"/>
        <v>0</v>
      </c>
      <c r="E55" s="64">
        <f t="shared" si="54"/>
        <v>0</v>
      </c>
      <c r="F55" s="411">
        <f t="shared" si="0"/>
        <v>0</v>
      </c>
      <c r="G55" s="297"/>
      <c r="H55" s="158">
        <f>K55+Q55+V55+Y55</f>
        <v>0</v>
      </c>
      <c r="I55" s="669">
        <f t="shared" si="18"/>
        <v>0</v>
      </c>
      <c r="J55" s="301"/>
      <c r="K55" s="158"/>
      <c r="L55" s="1312"/>
      <c r="M55" s="1312"/>
      <c r="N55" s="1312"/>
      <c r="O55" s="1313"/>
      <c r="P55" s="301"/>
      <c r="Q55" s="158">
        <f>G55-V55-Y55</f>
        <v>0</v>
      </c>
      <c r="R55" s="1312"/>
      <c r="S55" s="1312"/>
      <c r="T55" s="298">
        <f t="shared" si="46"/>
        <v>0</v>
      </c>
      <c r="U55" s="287"/>
      <c r="V55" s="287"/>
      <c r="W55" s="318"/>
      <c r="X55" s="301"/>
      <c r="Y55" s="287"/>
      <c r="Z55" s="318"/>
      <c r="AA55" s="279"/>
      <c r="AB55" s="310"/>
      <c r="AC55" s="375"/>
      <c r="AD55" s="529"/>
      <c r="AE55" s="523"/>
      <c r="AF55" s="163"/>
      <c r="AG55" s="360"/>
      <c r="AH55" s="384"/>
      <c r="AI55" s="63"/>
      <c r="AJ55" s="360"/>
      <c r="AK55" s="523"/>
      <c r="AL55" s="163"/>
      <c r="AM55" s="361"/>
      <c r="AN55" s="280"/>
      <c r="AO55" s="163"/>
      <c r="AP55" s="361"/>
      <c r="AQ55" s="280"/>
      <c r="AR55" s="163"/>
      <c r="AS55" s="360"/>
      <c r="AT55" s="427"/>
      <c r="AU55" s="398"/>
      <c r="AV55" s="334">
        <v>0</v>
      </c>
      <c r="AW55" s="161">
        <f t="shared" si="19"/>
        <v>0</v>
      </c>
      <c r="AX55" s="1013">
        <f t="shared" si="1"/>
        <v>0</v>
      </c>
      <c r="AY55" s="342">
        <v>0</v>
      </c>
      <c r="AZ55" s="162">
        <f t="shared" si="53"/>
        <v>0</v>
      </c>
      <c r="BA55" s="162">
        <f t="shared" si="47"/>
        <v>0</v>
      </c>
      <c r="BB55" s="1309"/>
      <c r="BC55" s="339">
        <f t="shared" si="48"/>
        <v>0</v>
      </c>
      <c r="BD55" s="402"/>
      <c r="BE55" s="262"/>
      <c r="BF55" s="343"/>
      <c r="BG55" s="544"/>
      <c r="BH55" s="342"/>
      <c r="BI55" s="262"/>
      <c r="BJ55" s="343"/>
      <c r="BL55" s="111"/>
      <c r="BM55" s="146"/>
      <c r="BN55" s="117" t="s">
        <v>239</v>
      </c>
      <c r="BO55" s="117"/>
      <c r="BP55" s="117"/>
      <c r="BQ55" s="117"/>
      <c r="BR55" s="117"/>
      <c r="BS55" s="617"/>
      <c r="BT55" s="621">
        <f>AP55-BS55</f>
        <v>0</v>
      </c>
      <c r="BU55" s="617"/>
      <c r="BV55" s="621">
        <f t="shared" si="50"/>
        <v>0</v>
      </c>
      <c r="BW55" s="117"/>
      <c r="BX55" s="117"/>
      <c r="BY55" s="629">
        <f t="shared" si="20"/>
        <v>0</v>
      </c>
      <c r="BZ55" s="629">
        <f t="shared" si="10"/>
        <v>0</v>
      </c>
      <c r="CA55" s="533">
        <f t="shared" si="16"/>
        <v>0</v>
      </c>
      <c r="CB55" s="533"/>
      <c r="CC55" s="617"/>
      <c r="CD55" s="621">
        <f>AZ55-CC55</f>
        <v>0</v>
      </c>
      <c r="CE55" s="617"/>
      <c r="CF55" s="621">
        <f t="shared" si="52"/>
        <v>0</v>
      </c>
    </row>
    <row r="56" spans="1:86" ht="19.5" customHeight="1" x14ac:dyDescent="0.3">
      <c r="A56" s="1419"/>
      <c r="B56" s="147"/>
      <c r="C56" s="444">
        <v>244</v>
      </c>
      <c r="D56" s="1275">
        <f t="shared" si="45"/>
        <v>49663432.989999995</v>
      </c>
      <c r="E56" s="64">
        <f t="shared" si="54"/>
        <v>50551266.030000001</v>
      </c>
      <c r="F56" s="411">
        <f t="shared" si="0"/>
        <v>887833.04000000656</v>
      </c>
      <c r="G56" s="297">
        <v>6515818.2999999998</v>
      </c>
      <c r="H56" s="158">
        <f>G56+2676971.12</f>
        <v>9192789.4199999999</v>
      </c>
      <c r="I56" s="669">
        <f t="shared" si="18"/>
        <v>2676971.12</v>
      </c>
      <c r="J56" s="297"/>
      <c r="K56" s="158"/>
      <c r="L56" s="158"/>
      <c r="M56" s="158"/>
      <c r="N56" s="158"/>
      <c r="O56" s="669"/>
      <c r="P56" s="297">
        <v>3934762.54</v>
      </c>
      <c r="Q56" s="158">
        <v>7883920.9199999999</v>
      </c>
      <c r="R56" s="158">
        <f>Q56-P56</f>
        <v>3949158.38</v>
      </c>
      <c r="S56" s="158">
        <v>4179262.98</v>
      </c>
      <c r="T56" s="298">
        <f t="shared" si="46"/>
        <v>3704657.94</v>
      </c>
      <c r="U56" s="285">
        <v>2581055.7599999998</v>
      </c>
      <c r="V56" s="285">
        <v>4000000</v>
      </c>
      <c r="W56" s="316">
        <f>V56-U56</f>
        <v>1418944.2400000002</v>
      </c>
      <c r="X56" s="297"/>
      <c r="Y56" s="285">
        <v>333039.45</v>
      </c>
      <c r="Z56" s="316"/>
      <c r="AA56" s="279"/>
      <c r="AB56" s="310"/>
      <c r="AC56" s="375"/>
      <c r="AD56" s="528"/>
      <c r="AE56" s="310"/>
      <c r="AF56" s="63"/>
      <c r="AG56" s="360"/>
      <c r="AH56" s="382"/>
      <c r="AI56" s="63"/>
      <c r="AJ56" s="360"/>
      <c r="AK56" s="310"/>
      <c r="AL56" s="63"/>
      <c r="AM56" s="360"/>
      <c r="AN56" s="279"/>
      <c r="AO56" s="63"/>
      <c r="AP56" s="360"/>
      <c r="AQ56" s="279"/>
      <c r="AR56" s="63"/>
      <c r="AS56" s="360"/>
      <c r="AT56" s="425"/>
      <c r="AU56" s="395"/>
      <c r="AV56" s="334">
        <v>43147614.689999998</v>
      </c>
      <c r="AW56" s="161">
        <f>AZ56+BE56+BI56</f>
        <v>41358476.609999999</v>
      </c>
      <c r="AX56" s="1013">
        <f t="shared" si="1"/>
        <v>-1789138.0799999982</v>
      </c>
      <c r="AY56" s="338">
        <v>38155862.189999998</v>
      </c>
      <c r="AZ56" s="162">
        <v>38155862.189999998</v>
      </c>
      <c r="BA56" s="162">
        <f t="shared" si="47"/>
        <v>0</v>
      </c>
      <c r="BB56" s="1309">
        <v>22632849.289999999</v>
      </c>
      <c r="BC56" s="339">
        <f t="shared" si="48"/>
        <v>15523012.899999999</v>
      </c>
      <c r="BD56" s="324">
        <v>4289138.08</v>
      </c>
      <c r="BE56" s="162">
        <v>2500000</v>
      </c>
      <c r="BF56" s="339">
        <f>BE56-BD56</f>
        <v>-1789138.08</v>
      </c>
      <c r="BG56" s="540"/>
      <c r="BH56" s="338">
        <v>702614.42</v>
      </c>
      <c r="BI56" s="162">
        <v>702614.42</v>
      </c>
      <c r="BJ56" s="339">
        <f>BI56-BH56</f>
        <v>0</v>
      </c>
      <c r="BK56" s="117"/>
      <c r="BL56" s="111">
        <v>11260837.890000001</v>
      </c>
      <c r="BM56" s="111">
        <v>2931349.03</v>
      </c>
      <c r="BN56" s="117" t="s">
        <v>238</v>
      </c>
      <c r="BO56" s="117"/>
      <c r="BP56" s="117"/>
      <c r="BQ56" s="117"/>
      <c r="BR56" s="117"/>
      <c r="BS56" s="617"/>
      <c r="BT56" s="621">
        <f>AO56-BS56</f>
        <v>0</v>
      </c>
      <c r="BU56" s="617">
        <v>1302967.3999999999</v>
      </c>
      <c r="BV56" s="621">
        <f t="shared" si="50"/>
        <v>-1302967.3999999999</v>
      </c>
      <c r="BW56" s="117"/>
      <c r="BX56" s="117"/>
      <c r="BY56" s="629">
        <f t="shared" si="20"/>
        <v>43147614.689999998</v>
      </c>
      <c r="BZ56" s="629">
        <f t="shared" si="10"/>
        <v>8810001.3200000003</v>
      </c>
      <c r="CA56" s="533">
        <f t="shared" si="16"/>
        <v>34337613.369999997</v>
      </c>
      <c r="CB56" s="533">
        <f>BZ56</f>
        <v>8810001.3200000003</v>
      </c>
      <c r="CC56" s="617">
        <f>7007033.92+500000</f>
        <v>7507033.9199999999</v>
      </c>
      <c r="CD56" s="621">
        <f>AY56-CC56</f>
        <v>30648828.269999996</v>
      </c>
      <c r="CE56" s="617">
        <v>1302967.3999999999</v>
      </c>
      <c r="CF56" s="621">
        <f t="shared" si="52"/>
        <v>2986170.68</v>
      </c>
      <c r="CG56" s="117"/>
      <c r="CH56" s="117"/>
    </row>
    <row r="57" spans="1:86" ht="19.5" customHeight="1" x14ac:dyDescent="0.3">
      <c r="A57" s="1417" t="s">
        <v>183</v>
      </c>
      <c r="B57" s="148"/>
      <c r="C57" s="1414">
        <v>243</v>
      </c>
      <c r="D57" s="1275">
        <f t="shared" si="45"/>
        <v>0</v>
      </c>
      <c r="E57" s="64">
        <f t="shared" si="54"/>
        <v>0</v>
      </c>
      <c r="F57" s="411">
        <f t="shared" si="0"/>
        <v>0</v>
      </c>
      <c r="G57" s="297"/>
      <c r="H57" s="158">
        <f>K57+Q57+V57+Y57</f>
        <v>0</v>
      </c>
      <c r="I57" s="669">
        <f t="shared" si="18"/>
        <v>0</v>
      </c>
      <c r="J57" s="299"/>
      <c r="K57" s="158"/>
      <c r="L57" s="1310"/>
      <c r="M57" s="1310"/>
      <c r="N57" s="1310"/>
      <c r="O57" s="1311"/>
      <c r="P57" s="299"/>
      <c r="Q57" s="158">
        <f>G57-V57-Y57</f>
        <v>0</v>
      </c>
      <c r="R57" s="1310"/>
      <c r="S57" s="1310"/>
      <c r="T57" s="298">
        <f t="shared" si="46"/>
        <v>0</v>
      </c>
      <c r="U57" s="286"/>
      <c r="V57" s="286"/>
      <c r="W57" s="317"/>
      <c r="X57" s="299"/>
      <c r="Y57" s="286"/>
      <c r="Z57" s="317"/>
      <c r="AA57" s="279"/>
      <c r="AB57" s="310"/>
      <c r="AC57" s="375"/>
      <c r="AD57" s="528"/>
      <c r="AE57" s="310"/>
      <c r="AF57" s="63"/>
      <c r="AG57" s="360"/>
      <c r="AH57" s="382"/>
      <c r="AI57" s="63"/>
      <c r="AJ57" s="360"/>
      <c r="AK57" s="310"/>
      <c r="AL57" s="63"/>
      <c r="AM57" s="360"/>
      <c r="AN57" s="279"/>
      <c r="AO57" s="63"/>
      <c r="AP57" s="360"/>
      <c r="AQ57" s="279"/>
      <c r="AR57" s="63"/>
      <c r="AS57" s="360"/>
      <c r="AT57" s="425"/>
      <c r="AU57" s="397"/>
      <c r="AV57" s="334">
        <v>0</v>
      </c>
      <c r="AW57" s="161">
        <f t="shared" si="19"/>
        <v>0</v>
      </c>
      <c r="AX57" s="1013">
        <f t="shared" si="1"/>
        <v>0</v>
      </c>
      <c r="AY57" s="340">
        <v>0</v>
      </c>
      <c r="AZ57" s="162">
        <f t="shared" si="53"/>
        <v>0</v>
      </c>
      <c r="BA57" s="162">
        <f t="shared" si="47"/>
        <v>0</v>
      </c>
      <c r="BB57" s="1309"/>
      <c r="BC57" s="339">
        <f t="shared" si="48"/>
        <v>0</v>
      </c>
      <c r="BD57" s="401"/>
      <c r="BE57" s="259"/>
      <c r="BF57" s="341"/>
      <c r="BG57" s="540"/>
      <c r="BH57" s="340"/>
      <c r="BI57" s="259"/>
      <c r="BJ57" s="341"/>
      <c r="BK57" s="117"/>
      <c r="BL57" s="117"/>
      <c r="BM57" s="117"/>
      <c r="BN57" s="117"/>
      <c r="BO57" s="117"/>
      <c r="BP57" s="117"/>
      <c r="BQ57" s="117"/>
      <c r="BR57" s="117"/>
      <c r="BS57" s="617"/>
      <c r="BT57" s="621">
        <f>AP57-BS57</f>
        <v>0</v>
      </c>
      <c r="BU57" s="617"/>
      <c r="BV57" s="621">
        <f t="shared" si="50"/>
        <v>0</v>
      </c>
      <c r="BW57" s="117"/>
      <c r="BX57" s="117"/>
      <c r="BY57" s="629">
        <f t="shared" si="20"/>
        <v>0</v>
      </c>
      <c r="BZ57" s="629">
        <f t="shared" si="10"/>
        <v>0</v>
      </c>
      <c r="CA57" s="533">
        <f t="shared" si="16"/>
        <v>0</v>
      </c>
      <c r="CB57" s="533"/>
      <c r="CC57" s="617"/>
      <c r="CD57" s="621">
        <f>AZ57-CC57</f>
        <v>0</v>
      </c>
      <c r="CE57" s="617"/>
      <c r="CF57" s="621">
        <f t="shared" si="52"/>
        <v>0</v>
      </c>
      <c r="CG57" s="117"/>
      <c r="CH57" s="117"/>
    </row>
    <row r="58" spans="1:86" s="145" customFormat="1" ht="18.75" hidden="1" customHeight="1" x14ac:dyDescent="0.3">
      <c r="A58" s="1418"/>
      <c r="B58" s="149"/>
      <c r="C58" s="1415"/>
      <c r="D58" s="1275">
        <f t="shared" si="45"/>
        <v>0</v>
      </c>
      <c r="E58" s="64">
        <f t="shared" si="54"/>
        <v>0</v>
      </c>
      <c r="F58" s="411">
        <f t="shared" si="0"/>
        <v>0</v>
      </c>
      <c r="G58" s="297"/>
      <c r="H58" s="158">
        <f>K58+Q58+V58+Y58</f>
        <v>0</v>
      </c>
      <c r="I58" s="669">
        <f t="shared" si="18"/>
        <v>0</v>
      </c>
      <c r="J58" s="301"/>
      <c r="K58" s="158"/>
      <c r="L58" s="1312"/>
      <c r="M58" s="1312"/>
      <c r="N58" s="1312"/>
      <c r="O58" s="1313"/>
      <c r="P58" s="301"/>
      <c r="Q58" s="158">
        <f>G58-V58-Y58</f>
        <v>0</v>
      </c>
      <c r="R58" s="1312"/>
      <c r="S58" s="1312"/>
      <c r="T58" s="298">
        <f t="shared" si="46"/>
        <v>0</v>
      </c>
      <c r="U58" s="287"/>
      <c r="V58" s="287"/>
      <c r="W58" s="318"/>
      <c r="X58" s="301"/>
      <c r="Y58" s="287"/>
      <c r="Z58" s="318"/>
      <c r="AA58" s="279"/>
      <c r="AB58" s="310"/>
      <c r="AC58" s="375"/>
      <c r="AD58" s="529"/>
      <c r="AE58" s="523"/>
      <c r="AF58" s="163"/>
      <c r="AG58" s="360"/>
      <c r="AH58" s="384"/>
      <c r="AI58" s="63"/>
      <c r="AJ58" s="360"/>
      <c r="AK58" s="523"/>
      <c r="AL58" s="163"/>
      <c r="AM58" s="361"/>
      <c r="AN58" s="280"/>
      <c r="AO58" s="163"/>
      <c r="AP58" s="361"/>
      <c r="AQ58" s="280"/>
      <c r="AR58" s="163"/>
      <c r="AS58" s="361"/>
      <c r="AT58" s="427"/>
      <c r="AU58" s="398"/>
      <c r="AV58" s="334">
        <v>0</v>
      </c>
      <c r="AW58" s="161">
        <f t="shared" si="19"/>
        <v>0</v>
      </c>
      <c r="AX58" s="1013">
        <f t="shared" si="1"/>
        <v>0</v>
      </c>
      <c r="AY58" s="342">
        <v>0</v>
      </c>
      <c r="AZ58" s="162">
        <f t="shared" si="53"/>
        <v>0</v>
      </c>
      <c r="BA58" s="162">
        <f t="shared" si="47"/>
        <v>0</v>
      </c>
      <c r="BB58" s="1309"/>
      <c r="BC58" s="339">
        <f t="shared" si="48"/>
        <v>0</v>
      </c>
      <c r="BD58" s="402"/>
      <c r="BE58" s="262"/>
      <c r="BF58" s="343"/>
      <c r="BG58" s="544"/>
      <c r="BH58" s="342"/>
      <c r="BI58" s="262"/>
      <c r="BJ58" s="343"/>
      <c r="BS58" s="617"/>
      <c r="BT58" s="621">
        <f>AP58-BS58</f>
        <v>0</v>
      </c>
      <c r="BU58" s="617"/>
      <c r="BV58" s="621">
        <f t="shared" si="50"/>
        <v>0</v>
      </c>
      <c r="BY58" s="629">
        <f t="shared" si="20"/>
        <v>0</v>
      </c>
      <c r="BZ58" s="629">
        <f t="shared" si="10"/>
        <v>0</v>
      </c>
      <c r="CA58" s="533">
        <f t="shared" si="16"/>
        <v>0</v>
      </c>
      <c r="CB58" s="533"/>
      <c r="CC58" s="617"/>
      <c r="CD58" s="621">
        <f>AZ58-CC58</f>
        <v>0</v>
      </c>
      <c r="CE58" s="617"/>
      <c r="CF58" s="621">
        <f t="shared" si="52"/>
        <v>0</v>
      </c>
    </row>
    <row r="59" spans="1:86" s="145" customFormat="1" ht="33.75" hidden="1" customHeight="1" x14ac:dyDescent="0.3">
      <c r="A59" s="1418"/>
      <c r="B59" s="149"/>
      <c r="C59" s="1416"/>
      <c r="D59" s="1275">
        <f t="shared" si="45"/>
        <v>0</v>
      </c>
      <c r="E59" s="64">
        <f t="shared" si="54"/>
        <v>0</v>
      </c>
      <c r="F59" s="411">
        <f t="shared" si="0"/>
        <v>0</v>
      </c>
      <c r="G59" s="297"/>
      <c r="H59" s="158">
        <f>K59+Q59+V59+Y59</f>
        <v>0</v>
      </c>
      <c r="I59" s="669">
        <f t="shared" si="18"/>
        <v>0</v>
      </c>
      <c r="J59" s="301"/>
      <c r="K59" s="158"/>
      <c r="L59" s="1312"/>
      <c r="M59" s="1312"/>
      <c r="N59" s="1312"/>
      <c r="O59" s="1313"/>
      <c r="P59" s="301"/>
      <c r="Q59" s="158">
        <f>G59-V59-Y59</f>
        <v>0</v>
      </c>
      <c r="R59" s="1312"/>
      <c r="S59" s="1312"/>
      <c r="T59" s="298">
        <f t="shared" si="46"/>
        <v>0</v>
      </c>
      <c r="U59" s="287"/>
      <c r="V59" s="287"/>
      <c r="W59" s="318"/>
      <c r="X59" s="301"/>
      <c r="Y59" s="287"/>
      <c r="Z59" s="318"/>
      <c r="AA59" s="279"/>
      <c r="AB59" s="310"/>
      <c r="AC59" s="375"/>
      <c r="AD59" s="529"/>
      <c r="AE59" s="523"/>
      <c r="AF59" s="163"/>
      <c r="AG59" s="360"/>
      <c r="AH59" s="384"/>
      <c r="AI59" s="63"/>
      <c r="AJ59" s="360"/>
      <c r="AK59" s="523"/>
      <c r="AL59" s="163"/>
      <c r="AM59" s="361"/>
      <c r="AN59" s="280"/>
      <c r="AO59" s="163"/>
      <c r="AP59" s="361"/>
      <c r="AQ59" s="280"/>
      <c r="AR59" s="163"/>
      <c r="AS59" s="361"/>
      <c r="AT59" s="427"/>
      <c r="AU59" s="398"/>
      <c r="AV59" s="334">
        <v>0</v>
      </c>
      <c r="AW59" s="161">
        <f t="shared" si="19"/>
        <v>0</v>
      </c>
      <c r="AX59" s="1013">
        <f t="shared" si="1"/>
        <v>0</v>
      </c>
      <c r="AY59" s="342">
        <v>0</v>
      </c>
      <c r="AZ59" s="162">
        <f t="shared" si="53"/>
        <v>0</v>
      </c>
      <c r="BA59" s="162">
        <f t="shared" si="47"/>
        <v>0</v>
      </c>
      <c r="BB59" s="1309"/>
      <c r="BC59" s="339">
        <f t="shared" si="48"/>
        <v>0</v>
      </c>
      <c r="BD59" s="402"/>
      <c r="BE59" s="262"/>
      <c r="BF59" s="343"/>
      <c r="BG59" s="544"/>
      <c r="BH59" s="342"/>
      <c r="BI59" s="262"/>
      <c r="BJ59" s="343"/>
      <c r="BS59" s="617"/>
      <c r="BT59" s="621">
        <f>AP59-BS59</f>
        <v>0</v>
      </c>
      <c r="BU59" s="617"/>
      <c r="BV59" s="621">
        <f t="shared" si="50"/>
        <v>0</v>
      </c>
      <c r="BY59" s="629">
        <f t="shared" si="20"/>
        <v>0</v>
      </c>
      <c r="BZ59" s="629">
        <f t="shared" si="10"/>
        <v>0</v>
      </c>
      <c r="CA59" s="533">
        <f t="shared" si="16"/>
        <v>0</v>
      </c>
      <c r="CB59" s="533"/>
      <c r="CC59" s="617"/>
      <c r="CD59" s="621">
        <f>AZ59-CC59</f>
        <v>0</v>
      </c>
      <c r="CE59" s="617"/>
      <c r="CF59" s="621">
        <f t="shared" si="52"/>
        <v>0</v>
      </c>
    </row>
    <row r="60" spans="1:86" ht="19.5" customHeight="1" x14ac:dyDescent="0.3">
      <c r="A60" s="1419"/>
      <c r="B60" s="140"/>
      <c r="C60" s="444">
        <v>244</v>
      </c>
      <c r="D60" s="1275">
        <f t="shared" si="45"/>
        <v>23598301.169999998</v>
      </c>
      <c r="E60" s="64">
        <f t="shared" si="54"/>
        <v>25202801.419440348</v>
      </c>
      <c r="F60" s="411">
        <f t="shared" si="0"/>
        <v>1604500.2494403496</v>
      </c>
      <c r="G60" s="297">
        <v>3819615.4699999997</v>
      </c>
      <c r="H60" s="158">
        <f>G60+1482457.24-718954.62-0.0006+0.00004035</f>
        <v>4583118.0894403495</v>
      </c>
      <c r="I60" s="669">
        <f t="shared" si="18"/>
        <v>763502.61944034975</v>
      </c>
      <c r="J60" s="297"/>
      <c r="K60" s="158"/>
      <c r="L60" s="158"/>
      <c r="M60" s="158"/>
      <c r="N60" s="158"/>
      <c r="O60" s="669"/>
      <c r="P60" s="297">
        <v>2389277.44</v>
      </c>
      <c r="Q60" s="158">
        <f>H60-V60-Y60</f>
        <v>3898558.3394403495</v>
      </c>
      <c r="R60" s="158">
        <f>Q60-P60</f>
        <v>1509280.8994403495</v>
      </c>
      <c r="S60" s="158">
        <v>1822152.05</v>
      </c>
      <c r="T60" s="298">
        <f t="shared" si="46"/>
        <v>2076406.2894403494</v>
      </c>
      <c r="U60" s="285">
        <v>1430338.03</v>
      </c>
      <c r="V60" s="285">
        <v>500000</v>
      </c>
      <c r="W60" s="316">
        <f>V60-U60</f>
        <v>-930338.03</v>
      </c>
      <c r="X60" s="297"/>
      <c r="Y60" s="285">
        <v>184559.75</v>
      </c>
      <c r="Z60" s="316"/>
      <c r="AA60" s="279"/>
      <c r="AB60" s="310"/>
      <c r="AC60" s="375"/>
      <c r="AD60" s="528"/>
      <c r="AE60" s="310"/>
      <c r="AF60" s="63"/>
      <c r="AG60" s="360"/>
      <c r="AH60" s="382"/>
      <c r="AI60" s="63"/>
      <c r="AJ60" s="360"/>
      <c r="AK60" s="310"/>
      <c r="AL60" s="63"/>
      <c r="AM60" s="360"/>
      <c r="AN60" s="279"/>
      <c r="AO60" s="63"/>
      <c r="AP60" s="360"/>
      <c r="AQ60" s="279"/>
      <c r="AR60" s="63"/>
      <c r="AS60" s="360"/>
      <c r="AT60" s="425"/>
      <c r="AU60" s="395"/>
      <c r="AV60" s="334">
        <v>19778685.699999999</v>
      </c>
      <c r="AW60" s="161">
        <f t="shared" si="19"/>
        <v>20619683.329999998</v>
      </c>
      <c r="AX60" s="1013">
        <f t="shared" si="1"/>
        <v>840997.62999999896</v>
      </c>
      <c r="AY60" s="338">
        <v>18130316.859999999</v>
      </c>
      <c r="AZ60" s="162">
        <v>18130316.859999999</v>
      </c>
      <c r="BA60" s="162">
        <f t="shared" si="47"/>
        <v>0</v>
      </c>
      <c r="BB60" s="1309">
        <v>7795071.0999999996</v>
      </c>
      <c r="BC60" s="339">
        <f t="shared" si="48"/>
        <v>10335245.76</v>
      </c>
      <c r="BD60" s="324">
        <v>1259002.3700000001</v>
      </c>
      <c r="BE60" s="162">
        <v>2100000</v>
      </c>
      <c r="BF60" s="339">
        <f>BE60-BD60</f>
        <v>840997.62999999989</v>
      </c>
      <c r="BG60" s="540"/>
      <c r="BH60" s="338">
        <v>389366.47</v>
      </c>
      <c r="BI60" s="162">
        <v>389366.47</v>
      </c>
      <c r="BJ60" s="339">
        <f>BI60-BH60</f>
        <v>0</v>
      </c>
      <c r="BK60" s="117"/>
      <c r="BL60" s="117"/>
      <c r="BM60" s="117"/>
      <c r="BN60" s="117"/>
      <c r="BO60" s="117"/>
      <c r="BP60" s="117"/>
      <c r="BQ60" s="117"/>
      <c r="BR60" s="117"/>
      <c r="BS60" s="617"/>
      <c r="BT60" s="621">
        <f>AO60-BS60</f>
        <v>0</v>
      </c>
      <c r="BU60" s="617">
        <v>6240714.6699999999</v>
      </c>
      <c r="BV60" s="621">
        <f t="shared" si="50"/>
        <v>-6240714.6699999999</v>
      </c>
      <c r="BW60" s="117"/>
      <c r="BX60" s="117"/>
      <c r="BY60" s="629">
        <f t="shared" si="20"/>
        <v>19778685.699999999</v>
      </c>
      <c r="BZ60" s="629">
        <f t="shared" si="10"/>
        <v>15301417.92</v>
      </c>
      <c r="CA60" s="533">
        <f t="shared" si="16"/>
        <v>4477267.7799999993</v>
      </c>
      <c r="CB60" s="533">
        <f>BZ60</f>
        <v>15301417.92</v>
      </c>
      <c r="CC60" s="617">
        <f>10892760.59-2332057.34+500000</f>
        <v>9060703.25</v>
      </c>
      <c r="CD60" s="621">
        <f>AY60-CC60</f>
        <v>9069613.6099999994</v>
      </c>
      <c r="CE60" s="617">
        <v>6240714.6699999999</v>
      </c>
      <c r="CF60" s="621">
        <f t="shared" si="52"/>
        <v>-4981712.3</v>
      </c>
      <c r="CG60" s="117"/>
      <c r="CH60" s="117">
        <f>2595807.22+2416357.34</f>
        <v>5012164.5600000005</v>
      </c>
    </row>
    <row r="61" spans="1:86" ht="19.5" customHeight="1" x14ac:dyDescent="0.3">
      <c r="A61" s="1417" t="s">
        <v>184</v>
      </c>
      <c r="B61" s="547"/>
      <c r="C61" s="444">
        <v>243</v>
      </c>
      <c r="D61" s="1275">
        <f t="shared" si="45"/>
        <v>0</v>
      </c>
      <c r="E61" s="64">
        <f>H61+AB61+AV61+AU61</f>
        <v>0</v>
      </c>
      <c r="F61" s="411">
        <f t="shared" si="0"/>
        <v>0</v>
      </c>
      <c r="G61" s="297"/>
      <c r="H61" s="158">
        <f>K61+Q61+V61+Y61</f>
        <v>0</v>
      </c>
      <c r="I61" s="669">
        <f t="shared" si="18"/>
        <v>0</v>
      </c>
      <c r="J61" s="297"/>
      <c r="K61" s="158"/>
      <c r="L61" s="158"/>
      <c r="M61" s="158"/>
      <c r="N61" s="158"/>
      <c r="O61" s="669"/>
      <c r="P61" s="297"/>
      <c r="Q61" s="158">
        <f>G61-V61-Y61</f>
        <v>0</v>
      </c>
      <c r="R61" s="158"/>
      <c r="S61" s="158"/>
      <c r="T61" s="298">
        <f t="shared" si="46"/>
        <v>0</v>
      </c>
      <c r="U61" s="285"/>
      <c r="V61" s="285"/>
      <c r="W61" s="316"/>
      <c r="X61" s="297"/>
      <c r="Y61" s="285"/>
      <c r="Z61" s="316"/>
      <c r="AA61" s="279"/>
      <c r="AB61" s="310"/>
      <c r="AC61" s="375"/>
      <c r="AD61" s="528"/>
      <c r="AE61" s="310"/>
      <c r="AF61" s="63"/>
      <c r="AG61" s="360"/>
      <c r="AH61" s="382"/>
      <c r="AI61" s="63"/>
      <c r="AJ61" s="360"/>
      <c r="AK61" s="310"/>
      <c r="AL61" s="63"/>
      <c r="AM61" s="360"/>
      <c r="AN61" s="279"/>
      <c r="AO61" s="63"/>
      <c r="AP61" s="360"/>
      <c r="AQ61" s="279"/>
      <c r="AR61" s="63"/>
      <c r="AS61" s="360"/>
      <c r="AT61" s="425"/>
      <c r="AU61" s="395"/>
      <c r="AV61" s="338">
        <v>0</v>
      </c>
      <c r="AW61" s="161">
        <f t="shared" si="19"/>
        <v>0</v>
      </c>
      <c r="AX61" s="1013">
        <f t="shared" si="1"/>
        <v>0</v>
      </c>
      <c r="AY61" s="338"/>
      <c r="AZ61" s="162">
        <f t="shared" si="53"/>
        <v>0</v>
      </c>
      <c r="BA61" s="162">
        <f t="shared" si="47"/>
        <v>0</v>
      </c>
      <c r="BB61" s="1309"/>
      <c r="BC61" s="339">
        <f t="shared" si="48"/>
        <v>0</v>
      </c>
      <c r="BD61" s="324"/>
      <c r="BE61" s="162"/>
      <c r="BF61" s="339"/>
      <c r="BG61" s="540">
        <v>0</v>
      </c>
      <c r="BH61" s="338"/>
      <c r="BI61" s="162"/>
      <c r="BJ61" s="339"/>
      <c r="BK61" s="117"/>
      <c r="BL61" s="117"/>
      <c r="BM61" s="117"/>
      <c r="BN61" s="117"/>
      <c r="BO61" s="117"/>
      <c r="BP61" s="117"/>
      <c r="BQ61" s="117"/>
      <c r="BR61" s="117"/>
      <c r="BS61" s="617"/>
      <c r="BT61" s="621">
        <f>AP61-BS61</f>
        <v>0</v>
      </c>
      <c r="BU61" s="617"/>
      <c r="BV61" s="621">
        <f t="shared" si="50"/>
        <v>0</v>
      </c>
      <c r="BW61" s="117"/>
      <c r="BX61" s="117"/>
      <c r="BY61" s="629">
        <f t="shared" si="20"/>
        <v>0</v>
      </c>
      <c r="BZ61" s="629">
        <f t="shared" si="10"/>
        <v>0</v>
      </c>
      <c r="CA61" s="533">
        <f t="shared" si="16"/>
        <v>0</v>
      </c>
      <c r="CB61" s="533"/>
      <c r="CC61" s="617"/>
      <c r="CD61" s="621">
        <f>AZ61-CC61</f>
        <v>0</v>
      </c>
      <c r="CE61" s="617"/>
      <c r="CF61" s="621">
        <f t="shared" si="52"/>
        <v>0</v>
      </c>
      <c r="CG61" s="117"/>
      <c r="CH61" s="117"/>
    </row>
    <row r="62" spans="1:86" ht="16.5" customHeight="1" x14ac:dyDescent="0.3">
      <c r="A62" s="1419"/>
      <c r="B62" s="548"/>
      <c r="C62" s="444">
        <v>244</v>
      </c>
      <c r="D62" s="1275">
        <f t="shared" si="45"/>
        <v>1034</v>
      </c>
      <c r="E62" s="64">
        <f>H62+AB62+AW62+AU62</f>
        <v>1034</v>
      </c>
      <c r="F62" s="411">
        <f t="shared" si="0"/>
        <v>0</v>
      </c>
      <c r="G62" s="297">
        <v>1034</v>
      </c>
      <c r="H62" s="158">
        <f>K62+Q62+V62+Y62</f>
        <v>1034</v>
      </c>
      <c r="I62" s="669">
        <f t="shared" si="18"/>
        <v>0</v>
      </c>
      <c r="J62" s="297">
        <f>SUM(J63:J67)</f>
        <v>0</v>
      </c>
      <c r="K62" s="158"/>
      <c r="L62" s="158"/>
      <c r="M62" s="158"/>
      <c r="N62" s="158"/>
      <c r="O62" s="669"/>
      <c r="P62" s="297">
        <v>1034</v>
      </c>
      <c r="Q62" s="158">
        <f>G62-V62-Y62</f>
        <v>1034</v>
      </c>
      <c r="R62" s="158">
        <f>Q62-P62</f>
        <v>0</v>
      </c>
      <c r="S62" s="158"/>
      <c r="T62" s="298">
        <f t="shared" si="46"/>
        <v>1034</v>
      </c>
      <c r="U62" s="285"/>
      <c r="V62" s="285"/>
      <c r="W62" s="316">
        <f>V62-U62</f>
        <v>0</v>
      </c>
      <c r="X62" s="297"/>
      <c r="Y62" s="285"/>
      <c r="Z62" s="316"/>
      <c r="AA62" s="279"/>
      <c r="AB62" s="310"/>
      <c r="AC62" s="375"/>
      <c r="AD62" s="528"/>
      <c r="AE62" s="310"/>
      <c r="AF62" s="63"/>
      <c r="AG62" s="360"/>
      <c r="AH62" s="382"/>
      <c r="AI62" s="63"/>
      <c r="AJ62" s="360"/>
      <c r="AK62" s="310"/>
      <c r="AL62" s="63"/>
      <c r="AM62" s="360"/>
      <c r="AN62" s="279"/>
      <c r="AO62" s="63"/>
      <c r="AP62" s="360"/>
      <c r="AQ62" s="279"/>
      <c r="AR62" s="63"/>
      <c r="AS62" s="360"/>
      <c r="AT62" s="425"/>
      <c r="AU62" s="395"/>
      <c r="AV62" s="338">
        <v>0</v>
      </c>
      <c r="AW62" s="161">
        <f t="shared" si="19"/>
        <v>0</v>
      </c>
      <c r="AX62" s="1013">
        <f t="shared" si="1"/>
        <v>0</v>
      </c>
      <c r="AY62" s="338"/>
      <c r="AZ62" s="162">
        <f t="shared" si="53"/>
        <v>0</v>
      </c>
      <c r="BA62" s="162"/>
      <c r="BB62" s="1309"/>
      <c r="BC62" s="339">
        <f t="shared" si="48"/>
        <v>0</v>
      </c>
      <c r="BD62" s="324"/>
      <c r="BE62" s="162"/>
      <c r="BF62" s="339">
        <f>BE62-BD62</f>
        <v>0</v>
      </c>
      <c r="BG62" s="540">
        <f t="shared" ref="BG62" si="55">SUM(BG63:BG67)</f>
        <v>0</v>
      </c>
      <c r="BH62" s="338"/>
      <c r="BI62" s="162"/>
      <c r="BJ62" s="339">
        <f>BI62-BH62</f>
        <v>0</v>
      </c>
      <c r="BK62" s="117"/>
      <c r="BL62" s="1300" t="s">
        <v>237</v>
      </c>
      <c r="BM62" s="1300" t="s">
        <v>197</v>
      </c>
      <c r="BN62" s="1300" t="s">
        <v>197</v>
      </c>
      <c r="BO62" s="1300"/>
      <c r="BP62" s="1300"/>
      <c r="BQ62" s="1300"/>
      <c r="BR62" s="1300"/>
      <c r="BS62" s="617"/>
      <c r="BT62" s="621">
        <f>AP62-BS62</f>
        <v>0</v>
      </c>
      <c r="BU62" s="617">
        <v>25587.66</v>
      </c>
      <c r="BV62" s="621">
        <f t="shared" si="50"/>
        <v>-25587.66</v>
      </c>
      <c r="BW62" s="1300"/>
      <c r="BX62" s="1300"/>
      <c r="BY62" s="629">
        <f t="shared" si="20"/>
        <v>0</v>
      </c>
      <c r="BZ62" s="629">
        <f t="shared" si="10"/>
        <v>25587.66</v>
      </c>
      <c r="CA62" s="533">
        <f t="shared" si="16"/>
        <v>-25587.66</v>
      </c>
      <c r="CB62" s="533">
        <f>BZ62</f>
        <v>25587.66</v>
      </c>
      <c r="CC62" s="617"/>
      <c r="CD62" s="621">
        <f>AZ62-CC62</f>
        <v>0</v>
      </c>
      <c r="CE62" s="617">
        <v>25587.66</v>
      </c>
      <c r="CF62" s="621">
        <f t="shared" si="52"/>
        <v>-25587.66</v>
      </c>
      <c r="CG62" s="117"/>
      <c r="CH62" s="117"/>
    </row>
    <row r="63" spans="1:86" ht="18.75" x14ac:dyDescent="0.3">
      <c r="A63" s="1420" t="s">
        <v>185</v>
      </c>
      <c r="B63" s="1422"/>
      <c r="C63" s="1299">
        <v>243</v>
      </c>
      <c r="D63" s="1275">
        <f t="shared" si="45"/>
        <v>0</v>
      </c>
      <c r="E63" s="64">
        <f>H63+AB63+AV63+AU63</f>
        <v>0</v>
      </c>
      <c r="F63" s="411">
        <f t="shared" si="0"/>
        <v>0</v>
      </c>
      <c r="G63" s="297"/>
      <c r="H63" s="158">
        <f>K63+Q63+V63+Y63</f>
        <v>0</v>
      </c>
      <c r="I63" s="669">
        <f t="shared" si="18"/>
        <v>0</v>
      </c>
      <c r="J63" s="297"/>
      <c r="K63" s="158"/>
      <c r="L63" s="158"/>
      <c r="M63" s="158"/>
      <c r="N63" s="158"/>
      <c r="O63" s="669"/>
      <c r="P63" s="297"/>
      <c r="Q63" s="158">
        <f>G63-V63-Y63</f>
        <v>0</v>
      </c>
      <c r="R63" s="158"/>
      <c r="S63" s="158"/>
      <c r="T63" s="298">
        <f t="shared" si="46"/>
        <v>0</v>
      </c>
      <c r="U63" s="285"/>
      <c r="V63" s="285"/>
      <c r="W63" s="316"/>
      <c r="X63" s="297"/>
      <c r="Y63" s="285"/>
      <c r="Z63" s="316"/>
      <c r="AA63" s="279"/>
      <c r="AB63" s="310"/>
      <c r="AC63" s="375"/>
      <c r="AD63" s="528"/>
      <c r="AE63" s="310"/>
      <c r="AF63" s="63"/>
      <c r="AG63" s="360"/>
      <c r="AH63" s="382"/>
      <c r="AI63" s="63"/>
      <c r="AJ63" s="360"/>
      <c r="AK63" s="310"/>
      <c r="AL63" s="63"/>
      <c r="AM63" s="360"/>
      <c r="AN63" s="279"/>
      <c r="AO63" s="63"/>
      <c r="AP63" s="360"/>
      <c r="AQ63" s="279"/>
      <c r="AR63" s="63"/>
      <c r="AS63" s="360"/>
      <c r="AT63" s="425"/>
      <c r="AU63" s="395"/>
      <c r="AV63" s="334">
        <v>0</v>
      </c>
      <c r="AW63" s="161">
        <f t="shared" si="19"/>
        <v>0</v>
      </c>
      <c r="AX63" s="1013">
        <f t="shared" si="1"/>
        <v>0</v>
      </c>
      <c r="AY63" s="338"/>
      <c r="AZ63" s="162">
        <f t="shared" si="53"/>
        <v>0</v>
      </c>
      <c r="BA63" s="162">
        <f t="shared" si="47"/>
        <v>0</v>
      </c>
      <c r="BB63" s="1309"/>
      <c r="BC63" s="339">
        <f t="shared" si="48"/>
        <v>0</v>
      </c>
      <c r="BD63" s="324"/>
      <c r="BE63" s="162"/>
      <c r="BF63" s="339"/>
      <c r="BG63" s="540"/>
      <c r="BH63" s="338"/>
      <c r="BI63" s="162"/>
      <c r="BJ63" s="339"/>
      <c r="BK63" s="117"/>
      <c r="BL63" s="118"/>
      <c r="BM63" s="146">
        <v>2621361</v>
      </c>
      <c r="BN63" s="611"/>
      <c r="BO63" s="636"/>
      <c r="BP63" s="636"/>
      <c r="BQ63" s="636"/>
      <c r="BR63" s="636"/>
      <c r="BS63" s="617"/>
      <c r="BT63" s="621">
        <f>AP63-BS63</f>
        <v>0</v>
      </c>
      <c r="BU63" s="617"/>
      <c r="BV63" s="621">
        <f>AR63-BU63</f>
        <v>0</v>
      </c>
      <c r="BW63" s="636"/>
      <c r="BX63" s="636"/>
      <c r="BY63" s="629">
        <f t="shared" si="20"/>
        <v>0</v>
      </c>
      <c r="BZ63" s="629">
        <f t="shared" si="10"/>
        <v>0</v>
      </c>
      <c r="CA63" s="533">
        <f t="shared" si="16"/>
        <v>0</v>
      </c>
      <c r="CB63" s="533"/>
      <c r="CC63" s="617"/>
      <c r="CD63" s="621">
        <f>AZ63-CC63</f>
        <v>0</v>
      </c>
      <c r="CE63" s="617"/>
      <c r="CF63" s="621">
        <f>BD63-CE63</f>
        <v>0</v>
      </c>
      <c r="CG63" s="117"/>
      <c r="CH63" s="117"/>
    </row>
    <row r="64" spans="1:86" ht="18.75" x14ac:dyDescent="0.3">
      <c r="A64" s="1421"/>
      <c r="B64" s="1423"/>
      <c r="C64" s="1299">
        <v>244</v>
      </c>
      <c r="D64" s="1275">
        <f t="shared" si="45"/>
        <v>4771877.3450000007</v>
      </c>
      <c r="E64" s="64">
        <f>H64+AB64+AW64+AU64</f>
        <v>6442881.1800000006</v>
      </c>
      <c r="F64" s="411">
        <f t="shared" si="0"/>
        <v>1671003.835</v>
      </c>
      <c r="G64" s="297">
        <v>2019992.7000000002</v>
      </c>
      <c r="H64" s="158">
        <f>G64+2412669.18-1000000</f>
        <v>3432661.8800000008</v>
      </c>
      <c r="I64" s="669">
        <f t="shared" si="18"/>
        <v>1412669.1800000006</v>
      </c>
      <c r="J64" s="297"/>
      <c r="K64" s="158"/>
      <c r="L64" s="158"/>
      <c r="M64" s="158"/>
      <c r="N64" s="158"/>
      <c r="O64" s="669"/>
      <c r="P64" s="297">
        <v>1247751.54</v>
      </c>
      <c r="Q64" s="158">
        <v>2067252.88</v>
      </c>
      <c r="R64" s="158">
        <f>Q64-P64</f>
        <v>819501.33999999985</v>
      </c>
      <c r="S64" s="158">
        <v>1273945.06</v>
      </c>
      <c r="T64" s="298">
        <f t="shared" si="46"/>
        <v>793307.81999999983</v>
      </c>
      <c r="U64" s="367">
        <v>772241.16</v>
      </c>
      <c r="V64" s="158">
        <v>255750</v>
      </c>
      <c r="W64" s="316">
        <f>V64-U64</f>
        <v>-516491.16000000003</v>
      </c>
      <c r="X64" s="1243"/>
      <c r="Y64" s="158">
        <v>330157.90000000002</v>
      </c>
      <c r="Z64" s="316"/>
      <c r="AA64" s="279"/>
      <c r="AB64" s="310"/>
      <c r="AC64" s="375"/>
      <c r="AD64" s="528"/>
      <c r="AE64" s="310"/>
      <c r="AF64" s="63"/>
      <c r="AG64" s="360"/>
      <c r="AH64" s="382"/>
      <c r="AI64" s="63"/>
      <c r="AJ64" s="360"/>
      <c r="AK64" s="310"/>
      <c r="AL64" s="63"/>
      <c r="AM64" s="360"/>
      <c r="AN64" s="279"/>
      <c r="AO64" s="63"/>
      <c r="AP64" s="360"/>
      <c r="AQ64" s="279"/>
      <c r="AR64" s="63"/>
      <c r="AS64" s="360"/>
      <c r="AT64" s="425"/>
      <c r="AU64" s="395"/>
      <c r="AV64" s="334">
        <v>2751884.645</v>
      </c>
      <c r="AW64" s="161">
        <f t="shared" si="19"/>
        <v>3010219.3</v>
      </c>
      <c r="AX64" s="1013">
        <f t="shared" si="1"/>
        <v>258334.6549999998</v>
      </c>
      <c r="AY64" s="338">
        <v>2000000</v>
      </c>
      <c r="AZ64" s="162">
        <v>2000000</v>
      </c>
      <c r="BA64" s="162">
        <f t="shared" si="47"/>
        <v>0</v>
      </c>
      <c r="BB64" s="1309">
        <v>1212092.1000000001</v>
      </c>
      <c r="BC64" s="339">
        <f t="shared" si="48"/>
        <v>787907.89999999991</v>
      </c>
      <c r="BD64" s="324">
        <v>541665.35</v>
      </c>
      <c r="BE64" s="162">
        <v>800000</v>
      </c>
      <c r="BF64" s="339">
        <f>BE64-BD64</f>
        <v>258334.65000000002</v>
      </c>
      <c r="BG64" s="540"/>
      <c r="BH64" s="338">
        <v>210219.3</v>
      </c>
      <c r="BI64" s="162">
        <v>210219.3</v>
      </c>
      <c r="BJ64" s="339">
        <f>BI64-BH64</f>
        <v>0</v>
      </c>
      <c r="BK64" s="117"/>
      <c r="BL64" s="111"/>
      <c r="BM64" s="111">
        <v>487564.3</v>
      </c>
      <c r="BN64" s="117"/>
      <c r="BO64" s="117"/>
      <c r="BP64" s="117"/>
      <c r="BQ64" s="117"/>
      <c r="BR64" s="117"/>
      <c r="BS64" s="617"/>
      <c r="BT64" s="621">
        <f>AO64-BS64</f>
        <v>0</v>
      </c>
      <c r="BU64" s="617">
        <v>2174384</v>
      </c>
      <c r="BV64" s="621">
        <f t="shared" ref="BV64:BV67" si="56">AR64-BU64</f>
        <v>-2174384</v>
      </c>
      <c r="BW64" s="117"/>
      <c r="BX64" s="117"/>
      <c r="BY64" s="629">
        <f t="shared" si="20"/>
        <v>2751884.645</v>
      </c>
      <c r="BZ64" s="629">
        <f t="shared" si="10"/>
        <v>3971652.4699999997</v>
      </c>
      <c r="CA64" s="533">
        <f t="shared" si="16"/>
        <v>-1219767.8249999997</v>
      </c>
      <c r="CB64" s="533">
        <f>BY64</f>
        <v>2751884.645</v>
      </c>
      <c r="CC64" s="617">
        <f>1878568.47-81300</f>
        <v>1797268.47</v>
      </c>
      <c r="CD64" s="621">
        <f>AY64-CC64</f>
        <v>202731.53000000003</v>
      </c>
      <c r="CE64" s="617">
        <v>2174384</v>
      </c>
      <c r="CF64" s="621">
        <f t="shared" si="52"/>
        <v>-1632718.65</v>
      </c>
      <c r="CG64" s="117"/>
      <c r="CH64" s="117"/>
    </row>
    <row r="65" spans="1:84" ht="31.5" x14ac:dyDescent="0.3">
      <c r="A65" s="437" t="s">
        <v>186</v>
      </c>
      <c r="B65" s="1295"/>
      <c r="C65" s="1299">
        <v>244</v>
      </c>
      <c r="D65" s="1275">
        <f t="shared" si="45"/>
        <v>0</v>
      </c>
      <c r="E65" s="59">
        <f>H65+AB65+AV65+AU65</f>
        <v>0</v>
      </c>
      <c r="F65" s="411">
        <f t="shared" si="0"/>
        <v>0</v>
      </c>
      <c r="G65" s="297"/>
      <c r="H65" s="158">
        <f>K65+Q65+V65+Y65</f>
        <v>0</v>
      </c>
      <c r="I65" s="669">
        <f t="shared" si="18"/>
        <v>0</v>
      </c>
      <c r="J65" s="297"/>
      <c r="K65" s="158"/>
      <c r="L65" s="158"/>
      <c r="M65" s="158"/>
      <c r="N65" s="158"/>
      <c r="O65" s="669"/>
      <c r="P65" s="297"/>
      <c r="Q65" s="158">
        <f>G65-V65-Y65</f>
        <v>0</v>
      </c>
      <c r="R65" s="158"/>
      <c r="S65" s="158"/>
      <c r="T65" s="298">
        <f t="shared" si="46"/>
        <v>0</v>
      </c>
      <c r="U65" s="367"/>
      <c r="V65" s="158"/>
      <c r="W65" s="316"/>
      <c r="X65" s="1243"/>
      <c r="Y65" s="158"/>
      <c r="Z65" s="316"/>
      <c r="AA65" s="279"/>
      <c r="AB65" s="310"/>
      <c r="AC65" s="375"/>
      <c r="AD65" s="528"/>
      <c r="AE65" s="310"/>
      <c r="AF65" s="63"/>
      <c r="AG65" s="360"/>
      <c r="AH65" s="382"/>
      <c r="AI65" s="63"/>
      <c r="AJ65" s="360"/>
      <c r="AK65" s="310"/>
      <c r="AL65" s="63"/>
      <c r="AM65" s="360"/>
      <c r="AN65" s="279"/>
      <c r="AO65" s="63"/>
      <c r="AP65" s="360"/>
      <c r="AQ65" s="279"/>
      <c r="AR65" s="63"/>
      <c r="AS65" s="360"/>
      <c r="AT65" s="425"/>
      <c r="AU65" s="395"/>
      <c r="AV65" s="334">
        <v>0</v>
      </c>
      <c r="AW65" s="161">
        <f t="shared" si="19"/>
        <v>0</v>
      </c>
      <c r="AX65" s="1013">
        <f t="shared" si="1"/>
        <v>0</v>
      </c>
      <c r="AY65" s="338"/>
      <c r="AZ65" s="162">
        <f t="shared" si="53"/>
        <v>0</v>
      </c>
      <c r="BA65" s="162">
        <f t="shared" si="47"/>
        <v>0</v>
      </c>
      <c r="BB65" s="1309"/>
      <c r="BC65" s="339">
        <f t="shared" si="48"/>
        <v>0</v>
      </c>
      <c r="BD65" s="324"/>
      <c r="BE65" s="162"/>
      <c r="BF65" s="339"/>
      <c r="BG65" s="540"/>
      <c r="BH65" s="338"/>
      <c r="BI65" s="162"/>
      <c r="BJ65" s="339"/>
      <c r="BK65" s="117"/>
      <c r="BL65" s="1300" t="s">
        <v>237</v>
      </c>
      <c r="BM65" s="1300" t="s">
        <v>197</v>
      </c>
      <c r="BN65" s="117"/>
      <c r="BO65" s="117"/>
      <c r="BP65" s="117"/>
      <c r="BQ65" s="117"/>
      <c r="BR65" s="117"/>
      <c r="BS65" s="617"/>
      <c r="BT65" s="621">
        <f>AP65-BS65</f>
        <v>0</v>
      </c>
      <c r="BU65" s="617"/>
      <c r="BV65" s="621">
        <f t="shared" si="56"/>
        <v>0</v>
      </c>
      <c r="BW65" s="117"/>
      <c r="BX65" s="117"/>
      <c r="BY65" s="629">
        <f t="shared" si="20"/>
        <v>0</v>
      </c>
      <c r="BZ65" s="629">
        <f t="shared" si="10"/>
        <v>0</v>
      </c>
      <c r="CA65" s="533">
        <f t="shared" si="16"/>
        <v>0</v>
      </c>
      <c r="CB65" s="533"/>
      <c r="CC65" s="617"/>
      <c r="CD65" s="621">
        <f>AZ65-CC65</f>
        <v>0</v>
      </c>
      <c r="CE65" s="617"/>
      <c r="CF65" s="621">
        <f t="shared" si="52"/>
        <v>0</v>
      </c>
    </row>
    <row r="66" spans="1:84" ht="18.75" x14ac:dyDescent="0.3">
      <c r="A66" s="1420" t="s">
        <v>187</v>
      </c>
      <c r="B66" s="1424"/>
      <c r="C66" s="1299">
        <v>243</v>
      </c>
      <c r="D66" s="1275">
        <f t="shared" si="45"/>
        <v>0</v>
      </c>
      <c r="E66" s="59">
        <f>H66+AB66+AV66+AU66</f>
        <v>0</v>
      </c>
      <c r="F66" s="411">
        <f t="shared" si="0"/>
        <v>0</v>
      </c>
      <c r="G66" s="297"/>
      <c r="H66" s="158">
        <f>K66+Q66+V66+Y66</f>
        <v>0</v>
      </c>
      <c r="I66" s="669">
        <f t="shared" si="18"/>
        <v>0</v>
      </c>
      <c r="J66" s="297"/>
      <c r="K66" s="158"/>
      <c r="L66" s="158"/>
      <c r="M66" s="158"/>
      <c r="N66" s="158"/>
      <c r="O66" s="669"/>
      <c r="P66" s="297"/>
      <c r="Q66" s="158">
        <f>G66-V66-Y66</f>
        <v>0</v>
      </c>
      <c r="R66" s="158"/>
      <c r="S66" s="158"/>
      <c r="T66" s="298">
        <f t="shared" si="46"/>
        <v>0</v>
      </c>
      <c r="U66" s="367"/>
      <c r="V66" s="158"/>
      <c r="W66" s="316"/>
      <c r="X66" s="1243"/>
      <c r="Y66" s="158"/>
      <c r="Z66" s="316"/>
      <c r="AA66" s="279"/>
      <c r="AB66" s="310"/>
      <c r="AC66" s="375"/>
      <c r="AD66" s="528"/>
      <c r="AE66" s="310"/>
      <c r="AF66" s="63"/>
      <c r="AG66" s="360"/>
      <c r="AH66" s="382"/>
      <c r="AI66" s="63"/>
      <c r="AJ66" s="360"/>
      <c r="AK66" s="310"/>
      <c r="AL66" s="63"/>
      <c r="AM66" s="360"/>
      <c r="AN66" s="279"/>
      <c r="AO66" s="63"/>
      <c r="AP66" s="360"/>
      <c r="AQ66" s="279"/>
      <c r="AR66" s="63"/>
      <c r="AS66" s="360"/>
      <c r="AT66" s="425"/>
      <c r="AU66" s="395"/>
      <c r="AV66" s="334">
        <v>0</v>
      </c>
      <c r="AW66" s="161">
        <f t="shared" si="19"/>
        <v>0</v>
      </c>
      <c r="AX66" s="1013">
        <f t="shared" si="1"/>
        <v>0</v>
      </c>
      <c r="AY66" s="338"/>
      <c r="AZ66" s="162">
        <f t="shared" si="53"/>
        <v>0</v>
      </c>
      <c r="BA66" s="162">
        <f t="shared" si="47"/>
        <v>0</v>
      </c>
      <c r="BB66" s="1309"/>
      <c r="BC66" s="339">
        <f t="shared" si="48"/>
        <v>0</v>
      </c>
      <c r="BD66" s="324"/>
      <c r="BE66" s="162"/>
      <c r="BF66" s="339"/>
      <c r="BG66" s="540"/>
      <c r="BH66" s="338"/>
      <c r="BI66" s="162"/>
      <c r="BJ66" s="339"/>
      <c r="BK66" s="117"/>
      <c r="BL66" s="118"/>
      <c r="BM66" s="146">
        <v>-260231.34</v>
      </c>
      <c r="BN66" s="117"/>
      <c r="BO66" s="117"/>
      <c r="BP66" s="117"/>
      <c r="BQ66" s="117"/>
      <c r="BR66" s="117"/>
      <c r="BS66" s="617"/>
      <c r="BT66" s="621">
        <f>AP66-BS66</f>
        <v>0</v>
      </c>
      <c r="BU66" s="617"/>
      <c r="BV66" s="621">
        <f t="shared" si="56"/>
        <v>0</v>
      </c>
      <c r="BW66" s="117"/>
      <c r="BX66" s="117"/>
      <c r="BY66" s="629">
        <f t="shared" si="20"/>
        <v>0</v>
      </c>
      <c r="BZ66" s="629">
        <f t="shared" si="10"/>
        <v>0</v>
      </c>
      <c r="CA66" s="533">
        <f t="shared" si="16"/>
        <v>0</v>
      </c>
      <c r="CB66" s="533"/>
      <c r="CC66" s="617"/>
      <c r="CD66" s="621">
        <f>AZ66-CC66</f>
        <v>0</v>
      </c>
      <c r="CE66" s="617"/>
      <c r="CF66" s="621">
        <f t="shared" si="52"/>
        <v>0</v>
      </c>
    </row>
    <row r="67" spans="1:84" ht="18.75" x14ac:dyDescent="0.3">
      <c r="A67" s="1421"/>
      <c r="B67" s="1423"/>
      <c r="C67" s="1299">
        <v>244</v>
      </c>
      <c r="D67" s="1275">
        <f t="shared" si="45"/>
        <v>115629737.36000001</v>
      </c>
      <c r="E67" s="64">
        <f>H67+AB67+AW67+AU67</f>
        <v>127598694.30000001</v>
      </c>
      <c r="F67" s="411">
        <f t="shared" si="0"/>
        <v>11968956.939999998</v>
      </c>
      <c r="G67" s="297">
        <v>22183509.009999998</v>
      </c>
      <c r="H67" s="158">
        <f>G67+7063961.85</f>
        <v>29247470.859999999</v>
      </c>
      <c r="I67" s="669">
        <f t="shared" si="18"/>
        <v>7063961.8500000015</v>
      </c>
      <c r="J67" s="297"/>
      <c r="K67" s="158"/>
      <c r="L67" s="158"/>
      <c r="M67" s="158"/>
      <c r="N67" s="158"/>
      <c r="O67" s="669"/>
      <c r="P67" s="297">
        <v>13818675.92</v>
      </c>
      <c r="Q67" s="158">
        <f>H67-V67-Y67-0.01343+0.000004515-0.000000015</f>
        <v>19472982.423187237</v>
      </c>
      <c r="R67" s="158">
        <f>Q67-P67</f>
        <v>5654306.5031872373</v>
      </c>
      <c r="S67" s="158">
        <v>15372924</v>
      </c>
      <c r="T67" s="298">
        <f t="shared" si="46"/>
        <v>4100058.4231872372</v>
      </c>
      <c r="U67" s="367">
        <f>8364833.09-0.01</f>
        <v>8364833.0800000001</v>
      </c>
      <c r="V67" s="158">
        <f>8925658.79+8.82-0.013+0.0001891-0.0000000149</f>
        <v>8925667.5971890837</v>
      </c>
      <c r="W67" s="316">
        <f>V67-U67</f>
        <v>560834.51718908362</v>
      </c>
      <c r="X67" s="1243"/>
      <c r="Y67" s="158">
        <f>878820.83-30001.47-0.002+1.4682-0.000001821</f>
        <v>848820.82619817904</v>
      </c>
      <c r="Z67" s="316"/>
      <c r="AA67" s="279"/>
      <c r="AB67" s="310"/>
      <c r="AC67" s="375"/>
      <c r="AD67" s="528"/>
      <c r="AE67" s="310"/>
      <c r="AF67" s="63"/>
      <c r="AG67" s="360"/>
      <c r="AH67" s="382"/>
      <c r="AI67" s="63"/>
      <c r="AJ67" s="360"/>
      <c r="AK67" s="310"/>
      <c r="AL67" s="63"/>
      <c r="AM67" s="360"/>
      <c r="AN67" s="279"/>
      <c r="AO67" s="63"/>
      <c r="AP67" s="360"/>
      <c r="AQ67" s="279"/>
      <c r="AR67" s="63"/>
      <c r="AS67" s="360"/>
      <c r="AT67" s="425"/>
      <c r="AU67" s="395"/>
      <c r="AV67" s="334">
        <v>93446228.350000009</v>
      </c>
      <c r="AW67" s="161">
        <f t="shared" si="19"/>
        <v>98351223.440000013</v>
      </c>
      <c r="AX67" s="1013">
        <f t="shared" si="1"/>
        <v>4904995.0900000036</v>
      </c>
      <c r="AY67" s="338">
        <v>76818434.870000005</v>
      </c>
      <c r="AZ67" s="162">
        <v>76818434.870000005</v>
      </c>
      <c r="BA67" s="162">
        <f t="shared" si="47"/>
        <v>0</v>
      </c>
      <c r="BB67" s="1309">
        <v>46513919</v>
      </c>
      <c r="BC67" s="339">
        <f t="shared" si="48"/>
        <v>30304515.870000005</v>
      </c>
      <c r="BD67" s="324">
        <v>14350719.92</v>
      </c>
      <c r="BE67" s="162">
        <f>19368000-112284.99</f>
        <v>19255715.010000002</v>
      </c>
      <c r="BF67" s="339">
        <f>BE67-BD67</f>
        <v>4904995.0900000017</v>
      </c>
      <c r="BG67" s="540"/>
      <c r="BH67" s="338">
        <v>2277073.56</v>
      </c>
      <c r="BI67" s="162">
        <f>2277073.56+0.0000000037</f>
        <v>2277073.5600000038</v>
      </c>
      <c r="BJ67" s="339">
        <f>BI67-BH67</f>
        <v>3.7252902984619141E-9</v>
      </c>
      <c r="BK67" s="117"/>
      <c r="BL67" s="111">
        <v>74638998.689999998</v>
      </c>
      <c r="BM67" s="111">
        <v>25190635.949999999</v>
      </c>
      <c r="BN67" s="117"/>
      <c r="BO67" s="117"/>
      <c r="BP67" s="117"/>
      <c r="BQ67" s="117"/>
      <c r="BR67" s="117"/>
      <c r="BS67" s="617"/>
      <c r="BT67" s="621">
        <f>AO67-BS67</f>
        <v>0</v>
      </c>
      <c r="BU67" s="617">
        <v>14782649</v>
      </c>
      <c r="BV67" s="621">
        <f t="shared" si="56"/>
        <v>-14782649</v>
      </c>
      <c r="BW67" s="117"/>
      <c r="BX67" s="117"/>
      <c r="BY67" s="629">
        <f t="shared" si="20"/>
        <v>93446228.350000009</v>
      </c>
      <c r="BZ67" s="629">
        <f t="shared" si="10"/>
        <v>81371069.319999993</v>
      </c>
      <c r="CA67" s="533">
        <f t="shared" si="16"/>
        <v>12075159.030000016</v>
      </c>
      <c r="CB67" s="533">
        <f>BZ67</f>
        <v>81371069.319999993</v>
      </c>
      <c r="CC67" s="617">
        <f>64959183.81-3000+1195603.28+500000-63366.77</f>
        <v>66588420.32</v>
      </c>
      <c r="CD67" s="621">
        <f>AY67-CC67</f>
        <v>10230014.550000004</v>
      </c>
      <c r="CE67" s="617">
        <v>14782649</v>
      </c>
      <c r="CF67" s="621">
        <f t="shared" si="52"/>
        <v>-431929.08000000007</v>
      </c>
    </row>
    <row r="68" spans="1:84" s="115" customFormat="1" ht="21.75" customHeight="1" x14ac:dyDescent="0.3">
      <c r="A68" s="435" t="s">
        <v>188</v>
      </c>
      <c r="B68" s="1296">
        <v>300</v>
      </c>
      <c r="C68" s="436" t="s">
        <v>149</v>
      </c>
      <c r="D68" s="1275">
        <f t="shared" si="45"/>
        <v>0</v>
      </c>
      <c r="E68" s="59">
        <f t="shared" ref="E68:E73" si="57">H68+AB68+AV68+AU68</f>
        <v>0</v>
      </c>
      <c r="F68" s="411">
        <f t="shared" si="0"/>
        <v>0</v>
      </c>
      <c r="G68" s="293"/>
      <c r="H68" s="157"/>
      <c r="I68" s="669">
        <f t="shared" si="18"/>
        <v>0</v>
      </c>
      <c r="J68" s="293"/>
      <c r="K68" s="157"/>
      <c r="L68" s="157"/>
      <c r="M68" s="157"/>
      <c r="N68" s="157"/>
      <c r="O68" s="667"/>
      <c r="P68" s="293"/>
      <c r="Q68" s="157"/>
      <c r="R68" s="157"/>
      <c r="S68" s="157"/>
      <c r="T68" s="294"/>
      <c r="U68" s="365"/>
      <c r="V68" s="157"/>
      <c r="W68" s="314"/>
      <c r="X68" s="521"/>
      <c r="Y68" s="157"/>
      <c r="Z68" s="314"/>
      <c r="AA68" s="276"/>
      <c r="AB68" s="307"/>
      <c r="AC68" s="372"/>
      <c r="AD68" s="525"/>
      <c r="AE68" s="307"/>
      <c r="AF68" s="153"/>
      <c r="AG68" s="357"/>
      <c r="AH68" s="379"/>
      <c r="AI68" s="153"/>
      <c r="AJ68" s="357"/>
      <c r="AK68" s="307"/>
      <c r="AL68" s="153"/>
      <c r="AM68" s="357"/>
      <c r="AN68" s="276"/>
      <c r="AO68" s="153"/>
      <c r="AP68" s="357"/>
      <c r="AQ68" s="276"/>
      <c r="AR68" s="153"/>
      <c r="AS68" s="357"/>
      <c r="AT68" s="422"/>
      <c r="AU68" s="396"/>
      <c r="AV68" s="334">
        <v>0</v>
      </c>
      <c r="AW68" s="161">
        <f t="shared" si="19"/>
        <v>0</v>
      </c>
      <c r="AX68" s="1013">
        <f t="shared" si="1"/>
        <v>0</v>
      </c>
      <c r="AY68" s="334"/>
      <c r="AZ68" s="161"/>
      <c r="BA68" s="162">
        <f t="shared" si="47"/>
        <v>0</v>
      </c>
      <c r="BB68" s="1309"/>
      <c r="BC68" s="339"/>
      <c r="BD68" s="323"/>
      <c r="BE68" s="161"/>
      <c r="BF68" s="335"/>
      <c r="BG68" s="539">
        <f>SUM(BG70:BG71)</f>
        <v>0</v>
      </c>
      <c r="BH68" s="334"/>
      <c r="BI68" s="161"/>
      <c r="BJ68" s="335"/>
      <c r="BS68" s="617"/>
      <c r="BT68" s="621">
        <f t="shared" ref="BT68:BT75" si="58">AP68-BS68</f>
        <v>0</v>
      </c>
      <c r="BU68" s="617"/>
      <c r="BV68" s="621">
        <f>AR68-BU68</f>
        <v>0</v>
      </c>
      <c r="BY68" s="628">
        <f t="shared" si="20"/>
        <v>0</v>
      </c>
      <c r="BZ68" s="628">
        <f t="shared" si="10"/>
        <v>0</v>
      </c>
      <c r="CA68" s="535">
        <f t="shared" si="16"/>
        <v>0</v>
      </c>
      <c r="CB68" s="533"/>
      <c r="CC68" s="617"/>
      <c r="CD68" s="621">
        <f t="shared" ref="CD68:CD75" si="59">AZ68-CC68</f>
        <v>0</v>
      </c>
      <c r="CE68" s="617"/>
      <c r="CF68" s="621">
        <f>BD68-CE68</f>
        <v>0</v>
      </c>
    </row>
    <row r="69" spans="1:84" ht="18.75" x14ac:dyDescent="0.3">
      <c r="A69" s="437" t="s">
        <v>92</v>
      </c>
      <c r="B69" s="133"/>
      <c r="C69" s="438"/>
      <c r="D69" s="1275">
        <v>0</v>
      </c>
      <c r="E69" s="59">
        <f t="shared" si="57"/>
        <v>0</v>
      </c>
      <c r="F69" s="410">
        <f t="shared" si="0"/>
        <v>0</v>
      </c>
      <c r="G69" s="297"/>
      <c r="H69" s="158"/>
      <c r="I69" s="669">
        <f t="shared" si="18"/>
        <v>0</v>
      </c>
      <c r="J69" s="297"/>
      <c r="K69" s="158"/>
      <c r="L69" s="158"/>
      <c r="M69" s="158"/>
      <c r="N69" s="158"/>
      <c r="O69" s="669"/>
      <c r="P69" s="297"/>
      <c r="Q69" s="158"/>
      <c r="R69" s="158"/>
      <c r="S69" s="158"/>
      <c r="T69" s="298"/>
      <c r="U69" s="285"/>
      <c r="V69" s="285"/>
      <c r="W69" s="316"/>
      <c r="X69" s="297"/>
      <c r="Y69" s="285"/>
      <c r="Z69" s="316"/>
      <c r="AA69" s="279"/>
      <c r="AB69" s="310"/>
      <c r="AC69" s="375"/>
      <c r="AD69" s="528"/>
      <c r="AE69" s="310"/>
      <c r="AF69" s="63"/>
      <c r="AG69" s="357"/>
      <c r="AH69" s="382"/>
      <c r="AI69" s="153"/>
      <c r="AJ69" s="357"/>
      <c r="AK69" s="310"/>
      <c r="AL69" s="63"/>
      <c r="AM69" s="360"/>
      <c r="AN69" s="279"/>
      <c r="AO69" s="63"/>
      <c r="AP69" s="360"/>
      <c r="AQ69" s="279"/>
      <c r="AR69" s="63"/>
      <c r="AS69" s="360"/>
      <c r="AT69" s="425"/>
      <c r="AU69" s="395"/>
      <c r="AV69" s="334">
        <v>0</v>
      </c>
      <c r="AW69" s="161">
        <f t="shared" si="19"/>
        <v>0</v>
      </c>
      <c r="AX69" s="1013">
        <f t="shared" si="1"/>
        <v>0</v>
      </c>
      <c r="AY69" s="338"/>
      <c r="AZ69" s="162"/>
      <c r="BA69" s="162"/>
      <c r="BB69" s="1309"/>
      <c r="BC69" s="339"/>
      <c r="BD69" s="324"/>
      <c r="BE69" s="162"/>
      <c r="BF69" s="339"/>
      <c r="BG69" s="540"/>
      <c r="BH69" s="338"/>
      <c r="BI69" s="162"/>
      <c r="BJ69" s="339"/>
      <c r="BK69" s="117"/>
      <c r="BL69" s="117"/>
      <c r="BM69" s="117"/>
      <c r="BN69" s="117"/>
      <c r="BO69" s="117"/>
      <c r="BP69" s="117"/>
      <c r="BQ69" s="117"/>
      <c r="BR69" s="117"/>
      <c r="BS69" s="617"/>
      <c r="BT69" s="621">
        <f t="shared" si="58"/>
        <v>0</v>
      </c>
      <c r="BU69" s="617"/>
      <c r="BV69" s="621">
        <f t="shared" ref="BV69:BV76" si="60">AR69-BU69</f>
        <v>0</v>
      </c>
      <c r="BW69" s="117"/>
      <c r="BX69" s="117"/>
      <c r="BY69" s="628">
        <f t="shared" si="20"/>
        <v>0</v>
      </c>
      <c r="BZ69" s="628">
        <f t="shared" si="10"/>
        <v>0</v>
      </c>
      <c r="CA69" s="535">
        <f t="shared" si="16"/>
        <v>0</v>
      </c>
      <c r="CB69" s="533"/>
      <c r="CC69" s="617"/>
      <c r="CD69" s="621">
        <f t="shared" si="59"/>
        <v>0</v>
      </c>
      <c r="CE69" s="617"/>
      <c r="CF69" s="621">
        <f t="shared" si="52"/>
        <v>0</v>
      </c>
    </row>
    <row r="70" spans="1:84" ht="18.75" x14ac:dyDescent="0.3">
      <c r="A70" s="437" t="s">
        <v>189</v>
      </c>
      <c r="B70" s="1295">
        <v>310</v>
      </c>
      <c r="C70" s="438"/>
      <c r="D70" s="1275">
        <v>0</v>
      </c>
      <c r="E70" s="59">
        <f t="shared" si="57"/>
        <v>0</v>
      </c>
      <c r="F70" s="410">
        <f t="shared" si="0"/>
        <v>0</v>
      </c>
      <c r="G70" s="297"/>
      <c r="H70" s="158"/>
      <c r="I70" s="669">
        <f t="shared" si="18"/>
        <v>0</v>
      </c>
      <c r="J70" s="297"/>
      <c r="K70" s="158"/>
      <c r="L70" s="158"/>
      <c r="M70" s="158"/>
      <c r="N70" s="158"/>
      <c r="O70" s="669"/>
      <c r="P70" s="297"/>
      <c r="Q70" s="158"/>
      <c r="R70" s="158"/>
      <c r="S70" s="158"/>
      <c r="T70" s="298"/>
      <c r="U70" s="285"/>
      <c r="V70" s="285"/>
      <c r="W70" s="316"/>
      <c r="X70" s="297"/>
      <c r="Y70" s="285"/>
      <c r="Z70" s="316"/>
      <c r="AA70" s="279"/>
      <c r="AB70" s="310"/>
      <c r="AC70" s="375"/>
      <c r="AD70" s="528"/>
      <c r="AE70" s="310"/>
      <c r="AF70" s="63"/>
      <c r="AG70" s="357"/>
      <c r="AH70" s="382"/>
      <c r="AI70" s="153"/>
      <c r="AJ70" s="357"/>
      <c r="AK70" s="310"/>
      <c r="AL70" s="63"/>
      <c r="AM70" s="360"/>
      <c r="AN70" s="279"/>
      <c r="AO70" s="63"/>
      <c r="AP70" s="360"/>
      <c r="AQ70" s="279"/>
      <c r="AR70" s="63"/>
      <c r="AS70" s="360"/>
      <c r="AT70" s="425"/>
      <c r="AU70" s="395"/>
      <c r="AV70" s="334">
        <v>0</v>
      </c>
      <c r="AW70" s="161">
        <f t="shared" si="19"/>
        <v>0</v>
      </c>
      <c r="AX70" s="1013">
        <f t="shared" si="1"/>
        <v>0</v>
      </c>
      <c r="AY70" s="338"/>
      <c r="AZ70" s="162"/>
      <c r="BA70" s="162"/>
      <c r="BB70" s="1309"/>
      <c r="BC70" s="339"/>
      <c r="BD70" s="324"/>
      <c r="BE70" s="162"/>
      <c r="BF70" s="339"/>
      <c r="BG70" s="540"/>
      <c r="BH70" s="338"/>
      <c r="BI70" s="162"/>
      <c r="BJ70" s="339"/>
      <c r="BK70" s="117"/>
      <c r="BL70" s="117"/>
      <c r="BM70" s="117"/>
      <c r="BN70" s="117"/>
      <c r="BO70" s="117"/>
      <c r="BP70" s="117"/>
      <c r="BQ70" s="117"/>
      <c r="BR70" s="117"/>
      <c r="BS70" s="617"/>
      <c r="BT70" s="621">
        <f t="shared" si="58"/>
        <v>0</v>
      </c>
      <c r="BU70" s="617"/>
      <c r="BV70" s="621">
        <f t="shared" si="60"/>
        <v>0</v>
      </c>
      <c r="BW70" s="117"/>
      <c r="BX70" s="117"/>
      <c r="BY70" s="628">
        <f t="shared" si="20"/>
        <v>0</v>
      </c>
      <c r="BZ70" s="628">
        <f t="shared" si="10"/>
        <v>0</v>
      </c>
      <c r="CA70" s="535">
        <f t="shared" si="16"/>
        <v>0</v>
      </c>
      <c r="CB70" s="533"/>
      <c r="CC70" s="617"/>
      <c r="CD70" s="621">
        <f t="shared" si="59"/>
        <v>0</v>
      </c>
      <c r="CE70" s="617"/>
      <c r="CF70" s="621">
        <f t="shared" si="52"/>
        <v>0</v>
      </c>
    </row>
    <row r="71" spans="1:84" ht="18.75" x14ac:dyDescent="0.3">
      <c r="A71" s="437" t="s">
        <v>190</v>
      </c>
      <c r="B71" s="1295">
        <v>320</v>
      </c>
      <c r="C71" s="438"/>
      <c r="D71" s="1275">
        <v>0</v>
      </c>
      <c r="E71" s="59">
        <f t="shared" si="57"/>
        <v>0</v>
      </c>
      <c r="F71" s="410">
        <f t="shared" si="0"/>
        <v>0</v>
      </c>
      <c r="G71" s="297"/>
      <c r="H71" s="158"/>
      <c r="I71" s="669">
        <f t="shared" si="18"/>
        <v>0</v>
      </c>
      <c r="J71" s="297"/>
      <c r="K71" s="158"/>
      <c r="L71" s="158"/>
      <c r="M71" s="158"/>
      <c r="N71" s="158"/>
      <c r="O71" s="669"/>
      <c r="P71" s="297"/>
      <c r="Q71" s="158"/>
      <c r="R71" s="158"/>
      <c r="S71" s="158"/>
      <c r="T71" s="298"/>
      <c r="U71" s="285"/>
      <c r="V71" s="285"/>
      <c r="W71" s="316"/>
      <c r="X71" s="297"/>
      <c r="Y71" s="285"/>
      <c r="Z71" s="316"/>
      <c r="AA71" s="279"/>
      <c r="AB71" s="310"/>
      <c r="AC71" s="375"/>
      <c r="AD71" s="528"/>
      <c r="AE71" s="310"/>
      <c r="AF71" s="63"/>
      <c r="AG71" s="357"/>
      <c r="AH71" s="382"/>
      <c r="AI71" s="153"/>
      <c r="AJ71" s="357"/>
      <c r="AK71" s="310"/>
      <c r="AL71" s="63"/>
      <c r="AM71" s="360"/>
      <c r="AN71" s="279"/>
      <c r="AO71" s="63"/>
      <c r="AP71" s="360"/>
      <c r="AQ71" s="279"/>
      <c r="AR71" s="63"/>
      <c r="AS71" s="360"/>
      <c r="AT71" s="425"/>
      <c r="AU71" s="395"/>
      <c r="AV71" s="334">
        <v>0</v>
      </c>
      <c r="AW71" s="161">
        <f t="shared" si="19"/>
        <v>0</v>
      </c>
      <c r="AX71" s="1013">
        <f t="shared" si="1"/>
        <v>0</v>
      </c>
      <c r="AY71" s="338"/>
      <c r="AZ71" s="162"/>
      <c r="BA71" s="162"/>
      <c r="BB71" s="1309"/>
      <c r="BC71" s="339"/>
      <c r="BD71" s="324"/>
      <c r="BE71" s="162"/>
      <c r="BF71" s="339"/>
      <c r="BG71" s="540"/>
      <c r="BH71" s="338"/>
      <c r="BI71" s="162"/>
      <c r="BJ71" s="339"/>
      <c r="BK71" s="117"/>
      <c r="BL71" s="117"/>
      <c r="BM71" s="117"/>
      <c r="BN71" s="117"/>
      <c r="BO71" s="117"/>
      <c r="BP71" s="117"/>
      <c r="BQ71" s="117"/>
      <c r="BR71" s="117"/>
      <c r="BS71" s="617"/>
      <c r="BT71" s="621">
        <f t="shared" si="58"/>
        <v>0</v>
      </c>
      <c r="BU71" s="617"/>
      <c r="BV71" s="621">
        <f t="shared" si="60"/>
        <v>0</v>
      </c>
      <c r="BW71" s="117"/>
      <c r="BX71" s="117"/>
      <c r="BY71" s="628">
        <f t="shared" si="20"/>
        <v>0</v>
      </c>
      <c r="BZ71" s="628">
        <f t="shared" si="10"/>
        <v>0</v>
      </c>
      <c r="CA71" s="535">
        <f t="shared" si="16"/>
        <v>0</v>
      </c>
      <c r="CB71" s="533"/>
      <c r="CC71" s="617"/>
      <c r="CD71" s="621">
        <f t="shared" si="59"/>
        <v>0</v>
      </c>
      <c r="CE71" s="617"/>
      <c r="CF71" s="621">
        <f t="shared" si="52"/>
        <v>0</v>
      </c>
    </row>
    <row r="72" spans="1:84" s="115" customFormat="1" ht="18.75" x14ac:dyDescent="0.3">
      <c r="A72" s="435" t="s">
        <v>191</v>
      </c>
      <c r="B72" s="1296">
        <v>400</v>
      </c>
      <c r="C72" s="442"/>
      <c r="D72" s="1274">
        <f>G72+AA72+AU72+AT72</f>
        <v>0</v>
      </c>
      <c r="E72" s="59">
        <f t="shared" si="57"/>
        <v>0</v>
      </c>
      <c r="F72" s="410">
        <f t="shared" si="0"/>
        <v>0</v>
      </c>
      <c r="G72" s="293"/>
      <c r="H72" s="157"/>
      <c r="I72" s="669">
        <f t="shared" si="18"/>
        <v>0</v>
      </c>
      <c r="J72" s="293"/>
      <c r="K72" s="157"/>
      <c r="L72" s="157"/>
      <c r="M72" s="157"/>
      <c r="N72" s="157"/>
      <c r="O72" s="667"/>
      <c r="P72" s="293"/>
      <c r="Q72" s="157"/>
      <c r="R72" s="157"/>
      <c r="S72" s="157"/>
      <c r="T72" s="294"/>
      <c r="U72" s="283"/>
      <c r="V72" s="283"/>
      <c r="W72" s="314"/>
      <c r="X72" s="293"/>
      <c r="Y72" s="283"/>
      <c r="Z72" s="314"/>
      <c r="AA72" s="276"/>
      <c r="AB72" s="307"/>
      <c r="AC72" s="372"/>
      <c r="AD72" s="525"/>
      <c r="AE72" s="307"/>
      <c r="AF72" s="153"/>
      <c r="AG72" s="357"/>
      <c r="AH72" s="379"/>
      <c r="AI72" s="153"/>
      <c r="AJ72" s="357"/>
      <c r="AK72" s="307"/>
      <c r="AL72" s="153"/>
      <c r="AM72" s="357"/>
      <c r="AN72" s="276"/>
      <c r="AO72" s="153"/>
      <c r="AP72" s="357"/>
      <c r="AQ72" s="276"/>
      <c r="AR72" s="153"/>
      <c r="AS72" s="357"/>
      <c r="AT72" s="422"/>
      <c r="AU72" s="396"/>
      <c r="AV72" s="334">
        <v>0</v>
      </c>
      <c r="AW72" s="161">
        <f t="shared" si="19"/>
        <v>0</v>
      </c>
      <c r="AX72" s="1013">
        <f t="shared" si="1"/>
        <v>0</v>
      </c>
      <c r="AY72" s="334"/>
      <c r="AZ72" s="161"/>
      <c r="BA72" s="161"/>
      <c r="BB72" s="1013"/>
      <c r="BC72" s="335"/>
      <c r="BD72" s="323"/>
      <c r="BE72" s="161"/>
      <c r="BF72" s="335"/>
      <c r="BG72" s="539">
        <f>BG74+BG75</f>
        <v>0</v>
      </c>
      <c r="BH72" s="334"/>
      <c r="BI72" s="161"/>
      <c r="BJ72" s="335"/>
      <c r="BS72" s="617"/>
      <c r="BT72" s="621">
        <f t="shared" si="58"/>
        <v>0</v>
      </c>
      <c r="BU72" s="617"/>
      <c r="BV72" s="621">
        <f t="shared" si="60"/>
        <v>0</v>
      </c>
      <c r="BY72" s="628">
        <f t="shared" si="20"/>
        <v>0</v>
      </c>
      <c r="BZ72" s="628">
        <f t="shared" si="10"/>
        <v>0</v>
      </c>
      <c r="CA72" s="535">
        <f t="shared" si="16"/>
        <v>0</v>
      </c>
      <c r="CB72" s="533"/>
      <c r="CC72" s="617"/>
      <c r="CD72" s="621">
        <f t="shared" si="59"/>
        <v>0</v>
      </c>
      <c r="CE72" s="617"/>
      <c r="CF72" s="621">
        <f t="shared" si="52"/>
        <v>0</v>
      </c>
    </row>
    <row r="73" spans="1:84" ht="18.75" x14ac:dyDescent="0.3">
      <c r="A73" s="437" t="s">
        <v>92</v>
      </c>
      <c r="B73" s="133"/>
      <c r="C73" s="438"/>
      <c r="D73" s="1275">
        <v>0</v>
      </c>
      <c r="E73" s="59">
        <f t="shared" si="57"/>
        <v>0</v>
      </c>
      <c r="F73" s="410">
        <f t="shared" si="0"/>
        <v>0</v>
      </c>
      <c r="G73" s="297"/>
      <c r="H73" s="158"/>
      <c r="I73" s="669">
        <f t="shared" si="18"/>
        <v>0</v>
      </c>
      <c r="J73" s="297"/>
      <c r="K73" s="158"/>
      <c r="L73" s="158"/>
      <c r="M73" s="158"/>
      <c r="N73" s="158"/>
      <c r="O73" s="669"/>
      <c r="P73" s="297"/>
      <c r="Q73" s="158"/>
      <c r="R73" s="158"/>
      <c r="S73" s="158"/>
      <c r="T73" s="298"/>
      <c r="U73" s="285"/>
      <c r="V73" s="285"/>
      <c r="W73" s="316"/>
      <c r="X73" s="297"/>
      <c r="Y73" s="285"/>
      <c r="Z73" s="316"/>
      <c r="AA73" s="279"/>
      <c r="AB73" s="310"/>
      <c r="AC73" s="375"/>
      <c r="AD73" s="528"/>
      <c r="AE73" s="310"/>
      <c r="AF73" s="63"/>
      <c r="AG73" s="357"/>
      <c r="AH73" s="382"/>
      <c r="AI73" s="153"/>
      <c r="AJ73" s="357"/>
      <c r="AK73" s="310"/>
      <c r="AL73" s="63"/>
      <c r="AM73" s="360"/>
      <c r="AN73" s="279"/>
      <c r="AO73" s="63"/>
      <c r="AP73" s="360"/>
      <c r="AQ73" s="279"/>
      <c r="AR73" s="63"/>
      <c r="AS73" s="360"/>
      <c r="AT73" s="425"/>
      <c r="AU73" s="395"/>
      <c r="AV73" s="334">
        <v>0</v>
      </c>
      <c r="AW73" s="161">
        <f t="shared" si="19"/>
        <v>0</v>
      </c>
      <c r="AX73" s="1013">
        <f t="shared" si="1"/>
        <v>0</v>
      </c>
      <c r="AY73" s="338"/>
      <c r="AZ73" s="162"/>
      <c r="BA73" s="162"/>
      <c r="BB73" s="1309"/>
      <c r="BC73" s="339"/>
      <c r="BD73" s="324"/>
      <c r="BE73" s="162"/>
      <c r="BF73" s="339"/>
      <c r="BG73" s="540"/>
      <c r="BH73" s="338"/>
      <c r="BI73" s="162"/>
      <c r="BJ73" s="339"/>
      <c r="BK73" s="117"/>
      <c r="BL73" s="117"/>
      <c r="BM73" s="117"/>
      <c r="BN73" s="117"/>
      <c r="BO73" s="117"/>
      <c r="BP73" s="117"/>
      <c r="BQ73" s="117"/>
      <c r="BR73" s="117"/>
      <c r="BS73" s="617"/>
      <c r="BT73" s="621">
        <f t="shared" si="58"/>
        <v>0</v>
      </c>
      <c r="BU73" s="617"/>
      <c r="BV73" s="621">
        <f t="shared" si="60"/>
        <v>0</v>
      </c>
      <c r="BW73" s="117"/>
      <c r="BX73" s="117"/>
      <c r="BY73" s="628">
        <f t="shared" si="20"/>
        <v>0</v>
      </c>
      <c r="BZ73" s="628">
        <f t="shared" si="10"/>
        <v>0</v>
      </c>
      <c r="CA73" s="535">
        <f t="shared" si="16"/>
        <v>0</v>
      </c>
      <c r="CB73" s="533"/>
      <c r="CC73" s="617"/>
      <c r="CD73" s="621">
        <f t="shared" si="59"/>
        <v>0</v>
      </c>
      <c r="CE73" s="617"/>
      <c r="CF73" s="621">
        <f t="shared" si="52"/>
        <v>0</v>
      </c>
    </row>
    <row r="74" spans="1:84" ht="18.75" x14ac:dyDescent="0.3">
      <c r="A74" s="437" t="s">
        <v>192</v>
      </c>
      <c r="B74" s="1295">
        <v>410</v>
      </c>
      <c r="C74" s="438"/>
      <c r="D74" s="1275">
        <v>-205614792.37</v>
      </c>
      <c r="E74" s="59">
        <f>H74+AB74+AV74-AU74</f>
        <v>0</v>
      </c>
      <c r="F74" s="410">
        <f t="shared" si="0"/>
        <v>205614792.37</v>
      </c>
      <c r="G74" s="297"/>
      <c r="H74" s="158"/>
      <c r="I74" s="669">
        <f t="shared" si="18"/>
        <v>0</v>
      </c>
      <c r="J74" s="297"/>
      <c r="K74" s="158"/>
      <c r="L74" s="158"/>
      <c r="M74" s="158"/>
      <c r="N74" s="158"/>
      <c r="O74" s="669"/>
      <c r="P74" s="297"/>
      <c r="Q74" s="158"/>
      <c r="R74" s="158"/>
      <c r="S74" s="158"/>
      <c r="T74" s="298"/>
      <c r="U74" s="285"/>
      <c r="V74" s="285"/>
      <c r="W74" s="316"/>
      <c r="X74" s="297"/>
      <c r="Y74" s="285"/>
      <c r="Z74" s="316"/>
      <c r="AA74" s="279"/>
      <c r="AB74" s="63"/>
      <c r="AC74" s="375"/>
      <c r="AD74" s="528"/>
      <c r="AE74" s="310"/>
      <c r="AF74" s="63"/>
      <c r="AG74" s="357"/>
      <c r="AH74" s="382"/>
      <c r="AI74" s="153"/>
      <c r="AJ74" s="357"/>
      <c r="AK74" s="310"/>
      <c r="AL74" s="63"/>
      <c r="AM74" s="360"/>
      <c r="AN74" s="279"/>
      <c r="AO74" s="63"/>
      <c r="AP74" s="360"/>
      <c r="AQ74" s="279"/>
      <c r="AR74" s="63"/>
      <c r="AS74" s="360"/>
      <c r="AT74" s="425"/>
      <c r="AU74" s="395"/>
      <c r="AV74" s="334">
        <v>0</v>
      </c>
      <c r="AW74" s="161">
        <f t="shared" si="19"/>
        <v>0</v>
      </c>
      <c r="AX74" s="1013">
        <f t="shared" si="1"/>
        <v>0</v>
      </c>
      <c r="AY74" s="338"/>
      <c r="AZ74" s="162"/>
      <c r="BA74" s="162"/>
      <c r="BB74" s="1309"/>
      <c r="BC74" s="339"/>
      <c r="BD74" s="324"/>
      <c r="BE74" s="162"/>
      <c r="BF74" s="339"/>
      <c r="BG74" s="540"/>
      <c r="BH74" s="338"/>
      <c r="BI74" s="162"/>
      <c r="BJ74" s="339"/>
      <c r="BK74" s="117"/>
      <c r="BL74" s="117"/>
      <c r="BM74" s="117"/>
      <c r="BN74" s="117"/>
      <c r="BO74" s="117"/>
      <c r="BP74" s="117"/>
      <c r="BQ74" s="117"/>
      <c r="BR74" s="117"/>
      <c r="BS74" s="617"/>
      <c r="BT74" s="621">
        <f t="shared" si="58"/>
        <v>0</v>
      </c>
      <c r="BU74" s="617"/>
      <c r="BV74" s="621">
        <f t="shared" si="60"/>
        <v>0</v>
      </c>
      <c r="BW74" s="117"/>
      <c r="BX74" s="117"/>
      <c r="BY74" s="628">
        <f t="shared" si="20"/>
        <v>0</v>
      </c>
      <c r="BZ74" s="628">
        <f t="shared" si="10"/>
        <v>0</v>
      </c>
      <c r="CA74" s="535">
        <f t="shared" si="16"/>
        <v>0</v>
      </c>
      <c r="CB74" s="533"/>
      <c r="CC74" s="617"/>
      <c r="CD74" s="621">
        <f t="shared" si="59"/>
        <v>0</v>
      </c>
      <c r="CE74" s="617"/>
      <c r="CF74" s="621">
        <f t="shared" si="52"/>
        <v>0</v>
      </c>
    </row>
    <row r="75" spans="1:84" ht="18.75" x14ac:dyDescent="0.3">
      <c r="A75" s="437" t="s">
        <v>193</v>
      </c>
      <c r="B75" s="1295">
        <v>420</v>
      </c>
      <c r="C75" s="438"/>
      <c r="D75" s="1275">
        <v>0</v>
      </c>
      <c r="E75" s="59">
        <f>H75+AB75+AV75+AU75</f>
        <v>0</v>
      </c>
      <c r="F75" s="410">
        <f t="shared" si="0"/>
        <v>0</v>
      </c>
      <c r="G75" s="297"/>
      <c r="H75" s="158"/>
      <c r="I75" s="669">
        <f t="shared" si="18"/>
        <v>0</v>
      </c>
      <c r="J75" s="297"/>
      <c r="K75" s="158"/>
      <c r="L75" s="158"/>
      <c r="M75" s="158"/>
      <c r="N75" s="158"/>
      <c r="O75" s="669"/>
      <c r="P75" s="297"/>
      <c r="Q75" s="158"/>
      <c r="R75" s="158"/>
      <c r="S75" s="158"/>
      <c r="T75" s="298"/>
      <c r="U75" s="285"/>
      <c r="V75" s="285"/>
      <c r="W75" s="316"/>
      <c r="X75" s="297"/>
      <c r="Y75" s="285"/>
      <c r="Z75" s="316"/>
      <c r="AA75" s="279"/>
      <c r="AB75" s="310"/>
      <c r="AC75" s="375"/>
      <c r="AD75" s="528"/>
      <c r="AE75" s="310"/>
      <c r="AF75" s="63"/>
      <c r="AG75" s="357"/>
      <c r="AH75" s="382"/>
      <c r="AI75" s="153"/>
      <c r="AJ75" s="357"/>
      <c r="AK75" s="310"/>
      <c r="AL75" s="63"/>
      <c r="AM75" s="360"/>
      <c r="AN75" s="279"/>
      <c r="AO75" s="63"/>
      <c r="AP75" s="360"/>
      <c r="AQ75" s="279"/>
      <c r="AR75" s="63"/>
      <c r="AS75" s="360"/>
      <c r="AT75" s="425"/>
      <c r="AU75" s="395"/>
      <c r="AV75" s="334">
        <v>0</v>
      </c>
      <c r="AW75" s="161">
        <f t="shared" si="4"/>
        <v>0</v>
      </c>
      <c r="AX75" s="1013">
        <f t="shared" si="1"/>
        <v>0</v>
      </c>
      <c r="AY75" s="338"/>
      <c r="AZ75" s="162"/>
      <c r="BA75" s="162"/>
      <c r="BB75" s="1309"/>
      <c r="BC75" s="339"/>
      <c r="BD75" s="324"/>
      <c r="BE75" s="162"/>
      <c r="BF75" s="339"/>
      <c r="BG75" s="540"/>
      <c r="BH75" s="338"/>
      <c r="BI75" s="162"/>
      <c r="BJ75" s="339"/>
      <c r="BK75" s="117"/>
      <c r="BL75" s="117"/>
      <c r="BM75" s="117"/>
      <c r="BN75" s="117"/>
      <c r="BO75" s="117"/>
      <c r="BP75" s="117"/>
      <c r="BQ75" s="117"/>
      <c r="BR75" s="117"/>
      <c r="BS75" s="617"/>
      <c r="BT75" s="621">
        <f t="shared" si="58"/>
        <v>0</v>
      </c>
      <c r="BU75" s="617"/>
      <c r="BV75" s="621">
        <f t="shared" si="60"/>
        <v>0</v>
      </c>
      <c r="BW75" s="117"/>
      <c r="BX75" s="117"/>
      <c r="BY75" s="628">
        <f t="shared" si="20"/>
        <v>0</v>
      </c>
      <c r="BZ75" s="628">
        <f t="shared" si="10"/>
        <v>0</v>
      </c>
      <c r="CA75" s="535">
        <f t="shared" si="16"/>
        <v>0</v>
      </c>
      <c r="CB75" s="533"/>
      <c r="CC75" s="617"/>
      <c r="CD75" s="621">
        <f t="shared" si="59"/>
        <v>0</v>
      </c>
      <c r="CE75" s="617"/>
      <c r="CF75" s="621">
        <f t="shared" si="52"/>
        <v>0</v>
      </c>
    </row>
    <row r="76" spans="1:84" s="115" customFormat="1" ht="17.25" customHeight="1" thickBot="1" x14ac:dyDescent="0.35">
      <c r="A76" s="446" t="s">
        <v>194</v>
      </c>
      <c r="B76" s="447">
        <v>500</v>
      </c>
      <c r="C76" s="448" t="s">
        <v>149</v>
      </c>
      <c r="D76" s="1245">
        <f>G76+AA76+AT76+AV76</f>
        <v>31252430.422763586</v>
      </c>
      <c r="E76" s="412">
        <f>H76+AB76+AU76+AW76</f>
        <v>29007760.579025447</v>
      </c>
      <c r="F76" s="1277"/>
      <c r="G76" s="303">
        <f>G24-G12</f>
        <v>21072590.980000019</v>
      </c>
      <c r="H76" s="304">
        <f>H24-H12</f>
        <v>18827921.139025509</v>
      </c>
      <c r="I76" s="1314"/>
      <c r="J76" s="303">
        <f>J24-J12</f>
        <v>16524140.510000005</v>
      </c>
      <c r="K76" s="304">
        <f>K24-K12</f>
        <v>16524140.50999999</v>
      </c>
      <c r="L76" s="1315"/>
      <c r="M76" s="1315"/>
      <c r="N76" s="1315"/>
      <c r="O76" s="1316">
        <f>O24</f>
        <v>81076520.464999989</v>
      </c>
      <c r="P76" s="303">
        <f>P24-P12</f>
        <v>4548450.4600000083</v>
      </c>
      <c r="Q76" s="304">
        <f>Q24-Q12</f>
        <v>4548450.4656000286</v>
      </c>
      <c r="R76" s="304">
        <f t="shared" ref="R76:Z76" si="61">R24-R12</f>
        <v>5.6000202894210815E-3</v>
      </c>
      <c r="S76" s="304"/>
      <c r="T76" s="304">
        <f t="shared" si="61"/>
        <v>36980693.032627583</v>
      </c>
      <c r="U76" s="407">
        <f t="shared" si="61"/>
        <v>0</v>
      </c>
      <c r="V76" s="1257">
        <f t="shared" si="61"/>
        <v>0</v>
      </c>
      <c r="W76" s="1261">
        <f t="shared" si="61"/>
        <v>0</v>
      </c>
      <c r="X76" s="303">
        <f t="shared" si="61"/>
        <v>0</v>
      </c>
      <c r="Y76" s="1258">
        <f t="shared" si="61"/>
        <v>0</v>
      </c>
      <c r="Z76" s="305">
        <f t="shared" si="61"/>
        <v>0</v>
      </c>
      <c r="AA76" s="1025"/>
      <c r="AB76" s="1025"/>
      <c r="AC76" s="1281"/>
      <c r="AD76" s="525"/>
      <c r="AE76" s="63"/>
      <c r="AF76" s="63"/>
      <c r="AG76" s="357"/>
      <c r="AH76" s="357"/>
      <c r="AI76" s="357"/>
      <c r="AJ76" s="357"/>
      <c r="AK76" s="63"/>
      <c r="AL76" s="63"/>
      <c r="AM76" s="63"/>
      <c r="AN76" s="357"/>
      <c r="AO76" s="357"/>
      <c r="AP76" s="357"/>
      <c r="AQ76" s="357"/>
      <c r="AR76" s="357"/>
      <c r="AS76" s="357"/>
      <c r="AT76" s="422"/>
      <c r="AU76" s="395"/>
      <c r="AV76" s="344">
        <v>10179839.442763567</v>
      </c>
      <c r="AW76" s="345">
        <f t="shared" ref="AW76" si="62">AW24-AW12</f>
        <v>10179839.439999938</v>
      </c>
      <c r="AX76" s="1317"/>
      <c r="AY76" s="344">
        <v>9808185.4527635574</v>
      </c>
      <c r="AZ76" s="345">
        <f>AZ24-AZ12</f>
        <v>9808185.4499999881</v>
      </c>
      <c r="BA76" s="345">
        <f>BA24-BA12</f>
        <v>0</v>
      </c>
      <c r="BB76" s="1014"/>
      <c r="BC76" s="346">
        <f>BC24-BC12</f>
        <v>83341284.13000001</v>
      </c>
      <c r="BD76" s="390">
        <f>BD24-BD12</f>
        <v>371653.99000000209</v>
      </c>
      <c r="BE76" s="390">
        <f>BE24-BE12</f>
        <v>371653.99000000954</v>
      </c>
      <c r="BF76" s="1265">
        <f t="shared" ref="BF76" si="63">BF24-BF12</f>
        <v>0</v>
      </c>
      <c r="BG76" s="545">
        <v>0</v>
      </c>
      <c r="BH76" s="344"/>
      <c r="BI76" s="390">
        <f t="shared" ref="BI76:BJ76" si="64">BI24-BI12</f>
        <v>0</v>
      </c>
      <c r="BJ76" s="1269">
        <f t="shared" si="64"/>
        <v>0</v>
      </c>
      <c r="BS76" s="619"/>
      <c r="BT76" s="620"/>
      <c r="BU76" s="617">
        <v>1222485.57</v>
      </c>
      <c r="BV76" s="621">
        <f t="shared" si="60"/>
        <v>-1222485.57</v>
      </c>
      <c r="BY76" s="632">
        <f>BY24-BY12</f>
        <v>10179839.435000002</v>
      </c>
      <c r="BZ76" s="632">
        <f>BZ24-BZ12</f>
        <v>-12791385.120000064</v>
      </c>
      <c r="CA76" s="632"/>
      <c r="CB76" s="632">
        <f t="shared" ref="CB76" si="65">CB24-CB12</f>
        <v>-4989655.8849999905</v>
      </c>
      <c r="CC76" s="619"/>
      <c r="CD76" s="620"/>
      <c r="CE76" s="617">
        <v>1222485.57</v>
      </c>
      <c r="CF76" s="621">
        <f t="shared" si="52"/>
        <v>-850831.57999999798</v>
      </c>
    </row>
    <row r="77" spans="1:84" s="115" customFormat="1" ht="19.5" hidden="1" thickBot="1" x14ac:dyDescent="0.35">
      <c r="A77" s="1278" t="s">
        <v>195</v>
      </c>
      <c r="B77" s="1279">
        <v>600</v>
      </c>
      <c r="C77" s="1280" t="s">
        <v>149</v>
      </c>
      <c r="D77" s="1271">
        <f>D76+D12-D24+D72</f>
        <v>-2.236485481262207E-3</v>
      </c>
      <c r="E77" s="1272">
        <f>E76+E12-E24+E72</f>
        <v>1.1920928955078125E-7</v>
      </c>
      <c r="F77" s="1273">
        <f t="shared" ref="F77" si="66">E77-D77</f>
        <v>2.2366046905517578E-3</v>
      </c>
      <c r="G77" s="1238">
        <f>G12+G76-G24</f>
        <v>0</v>
      </c>
      <c r="H77" s="1239">
        <f>H12+H76-H24</f>
        <v>0</v>
      </c>
      <c r="I77" s="1240">
        <f t="shared" ref="I77:AO77" si="67">I12+I76-I24</f>
        <v>2244669.8409745097</v>
      </c>
      <c r="J77" s="1241">
        <f t="shared" si="67"/>
        <v>0</v>
      </c>
      <c r="K77" s="1239"/>
      <c r="L77" s="1239"/>
      <c r="M77" s="1239"/>
      <c r="N77" s="1240"/>
      <c r="O77" s="1318"/>
      <c r="P77" s="1238">
        <f t="shared" si="67"/>
        <v>0</v>
      </c>
      <c r="Q77" s="1239">
        <f t="shared" si="67"/>
        <v>0</v>
      </c>
      <c r="R77" s="1239">
        <f t="shared" si="67"/>
        <v>0</v>
      </c>
      <c r="S77" s="1238"/>
      <c r="T77" s="1238"/>
      <c r="U77" s="1241">
        <f t="shared" si="67"/>
        <v>0</v>
      </c>
      <c r="V77" s="1239">
        <f t="shared" si="67"/>
        <v>0</v>
      </c>
      <c r="W77" s="1242"/>
      <c r="X77" s="370"/>
      <c r="Y77" s="370"/>
      <c r="Z77" s="370"/>
      <c r="AA77" s="1246">
        <f>AA76+AA12-AA24+AA72</f>
        <v>0</v>
      </c>
      <c r="AB77" s="1247">
        <f>AB76+AB12-AB24+AB72</f>
        <v>0</v>
      </c>
      <c r="AC77" s="1066">
        <f t="shared" si="67"/>
        <v>0</v>
      </c>
      <c r="AD77" s="530">
        <f>AD12+AD76-AD24+AD72</f>
        <v>0</v>
      </c>
      <c r="AE77" s="388">
        <f t="shared" si="67"/>
        <v>0</v>
      </c>
      <c r="AF77" s="388">
        <f>AF12+AF76-AF24</f>
        <v>0</v>
      </c>
      <c r="AG77" s="362">
        <f t="shared" ref="AG77" si="68">AF77-AE77</f>
        <v>0</v>
      </c>
      <c r="AH77" s="376">
        <f t="shared" si="67"/>
        <v>0</v>
      </c>
      <c r="AI77" s="388">
        <f t="shared" si="67"/>
        <v>0</v>
      </c>
      <c r="AJ77" s="362">
        <f t="shared" si="67"/>
        <v>0</v>
      </c>
      <c r="AK77" s="388">
        <f t="shared" si="67"/>
        <v>0</v>
      </c>
      <c r="AL77" s="388">
        <f t="shared" si="67"/>
        <v>0</v>
      </c>
      <c r="AM77" s="388">
        <f t="shared" si="67"/>
        <v>0</v>
      </c>
      <c r="AN77" s="281">
        <v>0</v>
      </c>
      <c r="AO77" s="388">
        <f t="shared" si="67"/>
        <v>0</v>
      </c>
      <c r="AP77" s="362">
        <f t="shared" ref="AP77" si="69">AO77-AN77</f>
        <v>0</v>
      </c>
      <c r="AQ77" s="281"/>
      <c r="AR77" s="388">
        <f>AR12+AR76-AR24</f>
        <v>0</v>
      </c>
      <c r="AS77" s="362">
        <f t="shared" ref="AS77" si="70">AR77-AQ77</f>
        <v>0</v>
      </c>
      <c r="AT77" s="428">
        <f t="shared" ref="AT77:BG77" si="71">AT12+AT76-AT24</f>
        <v>0</v>
      </c>
      <c r="AU77" s="399">
        <f t="shared" si="71"/>
        <v>0</v>
      </c>
      <c r="AV77" s="1262">
        <v>0</v>
      </c>
      <c r="AW77" s="1263">
        <f>AW12+AW76-AW24</f>
        <v>0</v>
      </c>
      <c r="AX77" s="1266">
        <f t="shared" ref="AX77:BE77" si="72">AX12+AX76-AX24</f>
        <v>-4.9999356269836426E-3</v>
      </c>
      <c r="AY77" s="1262">
        <v>0</v>
      </c>
      <c r="AZ77" s="1263">
        <f t="shared" si="72"/>
        <v>0</v>
      </c>
      <c r="BA77" s="1264">
        <f t="shared" si="72"/>
        <v>0</v>
      </c>
      <c r="BB77" s="1319"/>
      <c r="BC77" s="1319"/>
      <c r="BD77" s="1267">
        <v>0</v>
      </c>
      <c r="BE77" s="1263">
        <f t="shared" si="72"/>
        <v>0</v>
      </c>
      <c r="BF77" s="1264"/>
      <c r="BG77" s="1268">
        <f t="shared" si="71"/>
        <v>0</v>
      </c>
      <c r="BH77" s="1267">
        <v>0</v>
      </c>
      <c r="BI77" s="1263">
        <f t="shared" ref="BI77" si="73">BI12+BI76-BI24</f>
        <v>0</v>
      </c>
      <c r="BJ77" s="1264"/>
      <c r="BS77" s="623">
        <f>BS24</f>
        <v>0</v>
      </c>
      <c r="BT77" s="624">
        <f>SUM(BT27:BT75)</f>
        <v>0</v>
      </c>
      <c r="BU77" s="623">
        <f>BU24</f>
        <v>69438047.340000004</v>
      </c>
      <c r="BV77" s="624">
        <f>SUM(BV27:BV75)</f>
        <v>-96104104.409999996</v>
      </c>
      <c r="BY77" s="628">
        <f t="shared" si="20"/>
        <v>0</v>
      </c>
      <c r="BZ77" s="628"/>
      <c r="CA77" s="604"/>
      <c r="CB77" s="531"/>
      <c r="CC77" s="623">
        <f>CC24</f>
        <v>262223617.94999999</v>
      </c>
      <c r="CD77" s="624">
        <f>SUM(CD27:CD75)</f>
        <v>124216264.25</v>
      </c>
      <c r="CE77" s="623">
        <f>CE24</f>
        <v>69438047.340000004</v>
      </c>
      <c r="CF77" s="624">
        <f>SUM(CF27:CF75)</f>
        <v>-15086122.66</v>
      </c>
    </row>
    <row r="78" spans="1:84" s="115" customFormat="1" ht="19.5" hidden="1" customHeight="1" thickBot="1" x14ac:dyDescent="0.35">
      <c r="A78" s="463"/>
      <c r="B78" s="464"/>
      <c r="C78" s="465"/>
      <c r="D78" s="466"/>
      <c r="E78" s="466"/>
      <c r="F78" s="466"/>
      <c r="G78" s="466"/>
      <c r="H78" s="466"/>
      <c r="I78" s="471"/>
      <c r="J78" s="466"/>
      <c r="K78" s="466"/>
      <c r="L78" s="466"/>
      <c r="M78" s="466"/>
      <c r="N78" s="466"/>
      <c r="O78" s="466"/>
      <c r="P78" s="466"/>
      <c r="Q78" s="466"/>
      <c r="R78" s="466"/>
      <c r="S78" s="466"/>
      <c r="T78" s="466"/>
      <c r="U78" s="466"/>
      <c r="V78" s="466"/>
      <c r="W78" s="466"/>
      <c r="X78" s="466"/>
      <c r="Y78" s="466"/>
      <c r="Z78" s="466"/>
      <c r="AA78" s="466"/>
      <c r="AB78" s="466"/>
      <c r="AC78" s="466"/>
      <c r="AD78" s="466"/>
      <c r="AE78" s="466"/>
      <c r="AF78" s="466"/>
      <c r="AG78" s="466"/>
      <c r="AH78" s="466"/>
      <c r="AI78" s="466"/>
      <c r="AJ78" s="466"/>
      <c r="AK78" s="466"/>
      <c r="AL78" s="466"/>
      <c r="AM78" s="466"/>
      <c r="AN78" s="466"/>
      <c r="AO78" s="466"/>
      <c r="AP78" s="466"/>
      <c r="AQ78" s="466"/>
      <c r="AR78" s="466"/>
      <c r="AS78" s="466"/>
      <c r="AT78" s="466"/>
      <c r="AU78" s="466"/>
      <c r="AV78" s="466"/>
      <c r="AW78" s="466"/>
      <c r="AX78" s="466"/>
      <c r="AY78" s="466"/>
      <c r="AZ78" s="466"/>
      <c r="BA78" s="466"/>
      <c r="BB78" s="466"/>
      <c r="BC78" s="466"/>
      <c r="BD78" s="466"/>
      <c r="BE78" s="466"/>
      <c r="BF78" s="466"/>
      <c r="BG78" s="466"/>
      <c r="BH78" s="466"/>
      <c r="BI78" s="466"/>
      <c r="BJ78" s="466"/>
      <c r="BY78" s="604"/>
      <c r="BZ78" s="604"/>
      <c r="CA78" s="604"/>
      <c r="CB78" s="531"/>
      <c r="CC78" s="607"/>
    </row>
    <row r="79" spans="1:84" s="115" customFormat="1" ht="18.75" hidden="1" x14ac:dyDescent="0.3">
      <c r="A79" s="463"/>
      <c r="B79" s="464"/>
      <c r="C79" s="465"/>
      <c r="D79" s="157">
        <f>D24-D12</f>
        <v>31252430.425000072</v>
      </c>
      <c r="E79" s="157">
        <f t="shared" ref="E79:BG79" si="74">E24-E12</f>
        <v>29007760.579025388</v>
      </c>
      <c r="F79" s="157">
        <f t="shared" si="74"/>
        <v>-2244669.8459746838</v>
      </c>
      <c r="G79" s="157">
        <f t="shared" si="74"/>
        <v>21072590.980000019</v>
      </c>
      <c r="H79" s="157">
        <f t="shared" si="74"/>
        <v>18827921.139025509</v>
      </c>
      <c r="I79" s="157">
        <f t="shared" si="74"/>
        <v>-2244669.8409745097</v>
      </c>
      <c r="J79" s="157">
        <f t="shared" si="74"/>
        <v>16524140.510000005</v>
      </c>
      <c r="K79" s="157"/>
      <c r="L79" s="157"/>
      <c r="M79" s="157"/>
      <c r="N79" s="157"/>
      <c r="O79" s="157"/>
      <c r="P79" s="157">
        <f t="shared" si="74"/>
        <v>4548450.4600000083</v>
      </c>
      <c r="Q79" s="157">
        <f t="shared" si="74"/>
        <v>4548450.4656000286</v>
      </c>
      <c r="R79" s="157">
        <f t="shared" si="74"/>
        <v>5.6000202894210815E-3</v>
      </c>
      <c r="S79" s="157"/>
      <c r="T79" s="157"/>
      <c r="U79" s="157">
        <f t="shared" si="74"/>
        <v>0</v>
      </c>
      <c r="V79" s="157">
        <f t="shared" si="74"/>
        <v>0</v>
      </c>
      <c r="W79" s="157">
        <f t="shared" si="74"/>
        <v>0</v>
      </c>
      <c r="X79" s="157"/>
      <c r="Y79" s="157"/>
      <c r="Z79" s="157"/>
      <c r="AA79" s="157">
        <f t="shared" si="74"/>
        <v>0</v>
      </c>
      <c r="AB79" s="157">
        <f t="shared" si="74"/>
        <v>0</v>
      </c>
      <c r="AC79" s="157">
        <f t="shared" si="74"/>
        <v>0</v>
      </c>
      <c r="AD79" s="157">
        <f t="shared" si="74"/>
        <v>0</v>
      </c>
      <c r="AE79" s="157">
        <f t="shared" si="74"/>
        <v>0</v>
      </c>
      <c r="AF79" s="157">
        <f t="shared" si="74"/>
        <v>0</v>
      </c>
      <c r="AG79" s="157">
        <f t="shared" si="74"/>
        <v>0</v>
      </c>
      <c r="AH79" s="157">
        <f t="shared" si="74"/>
        <v>0</v>
      </c>
      <c r="AI79" s="157">
        <f t="shared" si="74"/>
        <v>0</v>
      </c>
      <c r="AJ79" s="157">
        <f t="shared" si="74"/>
        <v>0</v>
      </c>
      <c r="AK79" s="157">
        <f t="shared" si="74"/>
        <v>0</v>
      </c>
      <c r="AL79" s="157">
        <f t="shared" si="74"/>
        <v>0</v>
      </c>
      <c r="AM79" s="157">
        <f t="shared" si="74"/>
        <v>0</v>
      </c>
      <c r="AN79" s="157"/>
      <c r="AO79" s="157"/>
      <c r="AP79" s="157"/>
      <c r="AQ79" s="157"/>
      <c r="AR79" s="157"/>
      <c r="AS79" s="157"/>
      <c r="AT79" s="157">
        <f t="shared" si="74"/>
        <v>0</v>
      </c>
      <c r="AU79" s="157">
        <f t="shared" si="74"/>
        <v>0</v>
      </c>
      <c r="AV79" s="157">
        <f t="shared" si="74"/>
        <v>10179839.435000002</v>
      </c>
      <c r="AW79" s="157">
        <f t="shared" si="74"/>
        <v>10179839.439999938</v>
      </c>
      <c r="AX79" s="157">
        <f t="shared" si="74"/>
        <v>4.9999356269836426E-3</v>
      </c>
      <c r="AY79" s="157">
        <f t="shared" si="74"/>
        <v>9808185.4499999881</v>
      </c>
      <c r="AZ79" s="157">
        <f t="shared" si="74"/>
        <v>9808185.4499999881</v>
      </c>
      <c r="BA79" s="157">
        <f t="shared" si="74"/>
        <v>0</v>
      </c>
      <c r="BB79" s="157"/>
      <c r="BC79" s="157"/>
      <c r="BD79" s="157">
        <f t="shared" si="74"/>
        <v>371653.99000000209</v>
      </c>
      <c r="BE79" s="157">
        <f t="shared" si="74"/>
        <v>371653.99000000954</v>
      </c>
      <c r="BF79" s="157">
        <f t="shared" si="74"/>
        <v>0</v>
      </c>
      <c r="BG79" s="157">
        <f t="shared" si="74"/>
        <v>0</v>
      </c>
      <c r="BH79" s="467"/>
      <c r="BI79" s="467"/>
      <c r="BJ79" s="467"/>
      <c r="BY79" s="604"/>
      <c r="BZ79" s="604"/>
      <c r="CA79" s="604"/>
      <c r="CB79" s="531"/>
      <c r="CC79" s="607"/>
    </row>
    <row r="80" spans="1:84" s="115" customFormat="1" ht="18.75" hidden="1" x14ac:dyDescent="0.3">
      <c r="A80" s="463"/>
      <c r="B80" s="464"/>
      <c r="C80" s="465"/>
      <c r="D80" s="466">
        <f>D79+D77</f>
        <v>31252430.422763586</v>
      </c>
      <c r="E80" s="466">
        <f t="shared" ref="E80:BG80" si="75">E79+E77</f>
        <v>29007760.579025507</v>
      </c>
      <c r="F80" s="466">
        <f t="shared" si="75"/>
        <v>-2244669.8437380791</v>
      </c>
      <c r="G80" s="466">
        <f t="shared" si="75"/>
        <v>21072590.980000019</v>
      </c>
      <c r="H80" s="466">
        <f t="shared" si="75"/>
        <v>18827921.139025509</v>
      </c>
      <c r="I80" s="466">
        <f t="shared" si="75"/>
        <v>0</v>
      </c>
      <c r="J80" s="466">
        <f t="shared" si="75"/>
        <v>16524140.510000005</v>
      </c>
      <c r="K80" s="466"/>
      <c r="L80" s="466"/>
      <c r="M80" s="466"/>
      <c r="N80" s="466"/>
      <c r="O80" s="466"/>
      <c r="P80" s="466">
        <f t="shared" si="75"/>
        <v>4548450.4600000083</v>
      </c>
      <c r="Q80" s="466">
        <f t="shared" si="75"/>
        <v>4548450.4656000286</v>
      </c>
      <c r="R80" s="466">
        <f t="shared" si="75"/>
        <v>5.6000202894210815E-3</v>
      </c>
      <c r="S80" s="466"/>
      <c r="T80" s="466"/>
      <c r="U80" s="466">
        <f t="shared" si="75"/>
        <v>0</v>
      </c>
      <c r="V80" s="466">
        <f t="shared" si="75"/>
        <v>0</v>
      </c>
      <c r="W80" s="466">
        <f t="shared" si="75"/>
        <v>0</v>
      </c>
      <c r="X80" s="466"/>
      <c r="Y80" s="466"/>
      <c r="Z80" s="466"/>
      <c r="AA80" s="466">
        <f t="shared" si="75"/>
        <v>0</v>
      </c>
      <c r="AB80" s="466">
        <f t="shared" si="75"/>
        <v>0</v>
      </c>
      <c r="AC80" s="466">
        <f t="shared" si="75"/>
        <v>0</v>
      </c>
      <c r="AD80" s="466">
        <f t="shared" si="75"/>
        <v>0</v>
      </c>
      <c r="AE80" s="466">
        <f t="shared" si="75"/>
        <v>0</v>
      </c>
      <c r="AF80" s="466">
        <f t="shared" si="75"/>
        <v>0</v>
      </c>
      <c r="AG80" s="466">
        <f t="shared" si="75"/>
        <v>0</v>
      </c>
      <c r="AH80" s="466">
        <f t="shared" si="75"/>
        <v>0</v>
      </c>
      <c r="AI80" s="466">
        <f t="shared" si="75"/>
        <v>0</v>
      </c>
      <c r="AJ80" s="466">
        <f t="shared" si="75"/>
        <v>0</v>
      </c>
      <c r="AK80" s="466">
        <f t="shared" si="75"/>
        <v>0</v>
      </c>
      <c r="AL80" s="466">
        <f t="shared" si="75"/>
        <v>0</v>
      </c>
      <c r="AM80" s="466">
        <f t="shared" si="75"/>
        <v>0</v>
      </c>
      <c r="AN80" s="466"/>
      <c r="AO80" s="466"/>
      <c r="AP80" s="466"/>
      <c r="AQ80" s="466"/>
      <c r="AR80" s="466"/>
      <c r="AS80" s="466"/>
      <c r="AT80" s="466">
        <f t="shared" si="75"/>
        <v>0</v>
      </c>
      <c r="AU80" s="466">
        <f t="shared" si="75"/>
        <v>0</v>
      </c>
      <c r="AV80" s="466">
        <f t="shared" si="75"/>
        <v>10179839.435000002</v>
      </c>
      <c r="AW80" s="466">
        <f t="shared" si="75"/>
        <v>10179839.439999938</v>
      </c>
      <c r="AX80" s="466">
        <f t="shared" si="75"/>
        <v>0</v>
      </c>
      <c r="AY80" s="466">
        <f t="shared" si="75"/>
        <v>9808185.4499999881</v>
      </c>
      <c r="AZ80" s="466">
        <f t="shared" si="75"/>
        <v>9808185.4499999881</v>
      </c>
      <c r="BA80" s="466">
        <f t="shared" si="75"/>
        <v>0</v>
      </c>
      <c r="BB80" s="466"/>
      <c r="BC80" s="466"/>
      <c r="BD80" s="466">
        <f t="shared" si="75"/>
        <v>371653.99000000209</v>
      </c>
      <c r="BE80" s="466">
        <f t="shared" si="75"/>
        <v>371653.99000000954</v>
      </c>
      <c r="BF80" s="466">
        <f t="shared" si="75"/>
        <v>0</v>
      </c>
      <c r="BG80" s="466">
        <f t="shared" si="75"/>
        <v>0</v>
      </c>
      <c r="BH80" s="466"/>
      <c r="BI80" s="466"/>
      <c r="BJ80" s="466"/>
      <c r="BY80" s="604"/>
      <c r="BZ80" s="604"/>
      <c r="CA80" s="604"/>
      <c r="CB80" s="531"/>
      <c r="CC80" s="607"/>
    </row>
    <row r="81" spans="1:81" s="115" customFormat="1" ht="18.75" hidden="1" x14ac:dyDescent="0.3">
      <c r="A81" s="463"/>
      <c r="B81" s="464"/>
      <c r="C81" s="465"/>
      <c r="D81" s="466" t="b">
        <f>D76=D80</f>
        <v>1</v>
      </c>
      <c r="E81" s="466" t="b">
        <f t="shared" ref="E81:BG81" si="76">E76=E80</f>
        <v>0</v>
      </c>
      <c r="F81" s="466" t="b">
        <f t="shared" si="76"/>
        <v>0</v>
      </c>
      <c r="G81" s="466" t="b">
        <f t="shared" si="76"/>
        <v>1</v>
      </c>
      <c r="H81" s="466" t="b">
        <f t="shared" si="76"/>
        <v>1</v>
      </c>
      <c r="I81" s="466" t="b">
        <f t="shared" si="76"/>
        <v>1</v>
      </c>
      <c r="J81" s="466" t="b">
        <f t="shared" si="76"/>
        <v>1</v>
      </c>
      <c r="K81" s="466"/>
      <c r="L81" s="466"/>
      <c r="M81" s="466"/>
      <c r="N81" s="466"/>
      <c r="O81" s="466"/>
      <c r="P81" s="466" t="b">
        <f t="shared" si="76"/>
        <v>1</v>
      </c>
      <c r="Q81" s="466" t="b">
        <f t="shared" si="76"/>
        <v>1</v>
      </c>
      <c r="R81" s="466" t="b">
        <f t="shared" si="76"/>
        <v>1</v>
      </c>
      <c r="S81" s="466"/>
      <c r="T81" s="466"/>
      <c r="U81" s="466" t="b">
        <f t="shared" si="76"/>
        <v>1</v>
      </c>
      <c r="V81" s="466" t="b">
        <f t="shared" si="76"/>
        <v>1</v>
      </c>
      <c r="W81" s="466" t="b">
        <f t="shared" si="76"/>
        <v>1</v>
      </c>
      <c r="X81" s="466"/>
      <c r="Y81" s="466"/>
      <c r="Z81" s="466"/>
      <c r="AA81" s="466" t="b">
        <f t="shared" si="76"/>
        <v>1</v>
      </c>
      <c r="AB81" s="466" t="b">
        <f t="shared" si="76"/>
        <v>1</v>
      </c>
      <c r="AC81" s="466" t="b">
        <f t="shared" si="76"/>
        <v>1</v>
      </c>
      <c r="AD81" s="466" t="b">
        <f t="shared" si="76"/>
        <v>1</v>
      </c>
      <c r="AE81" s="466" t="b">
        <f t="shared" si="76"/>
        <v>1</v>
      </c>
      <c r="AF81" s="466" t="b">
        <f t="shared" si="76"/>
        <v>1</v>
      </c>
      <c r="AG81" s="466" t="b">
        <f t="shared" si="76"/>
        <v>1</v>
      </c>
      <c r="AH81" s="466" t="b">
        <f t="shared" si="76"/>
        <v>1</v>
      </c>
      <c r="AI81" s="466" t="b">
        <f t="shared" si="76"/>
        <v>1</v>
      </c>
      <c r="AJ81" s="466" t="b">
        <f t="shared" si="76"/>
        <v>1</v>
      </c>
      <c r="AK81" s="466" t="b">
        <f t="shared" si="76"/>
        <v>1</v>
      </c>
      <c r="AL81" s="466" t="b">
        <f t="shared" si="76"/>
        <v>1</v>
      </c>
      <c r="AM81" s="466" t="b">
        <f t="shared" si="76"/>
        <v>1</v>
      </c>
      <c r="AN81" s="466"/>
      <c r="AO81" s="466"/>
      <c r="AP81" s="466"/>
      <c r="AQ81" s="466"/>
      <c r="AR81" s="466"/>
      <c r="AS81" s="466"/>
      <c r="AT81" s="466" t="b">
        <f t="shared" si="76"/>
        <v>1</v>
      </c>
      <c r="AU81" s="466" t="b">
        <f t="shared" si="76"/>
        <v>1</v>
      </c>
      <c r="AV81" s="466" t="b">
        <f t="shared" si="76"/>
        <v>0</v>
      </c>
      <c r="AW81" s="466" t="b">
        <f t="shared" si="76"/>
        <v>1</v>
      </c>
      <c r="AX81" s="466" t="b">
        <f t="shared" si="76"/>
        <v>1</v>
      </c>
      <c r="AY81" s="466" t="b">
        <f t="shared" si="76"/>
        <v>0</v>
      </c>
      <c r="AZ81" s="466" t="b">
        <f t="shared" si="76"/>
        <v>1</v>
      </c>
      <c r="BA81" s="466" t="b">
        <f t="shared" si="76"/>
        <v>1</v>
      </c>
      <c r="BB81" s="466"/>
      <c r="BC81" s="466"/>
      <c r="BD81" s="466" t="b">
        <f t="shared" si="76"/>
        <v>1</v>
      </c>
      <c r="BE81" s="466" t="b">
        <f t="shared" si="76"/>
        <v>1</v>
      </c>
      <c r="BF81" s="466" t="b">
        <f t="shared" si="76"/>
        <v>1</v>
      </c>
      <c r="BG81" s="466" t="b">
        <f t="shared" si="76"/>
        <v>1</v>
      </c>
      <c r="BH81" s="466"/>
      <c r="BI81" s="466"/>
      <c r="BJ81" s="466"/>
      <c r="BY81" s="604"/>
      <c r="BZ81" s="604"/>
      <c r="CA81" s="604"/>
      <c r="CB81" s="531"/>
      <c r="CC81" s="607"/>
    </row>
    <row r="82" spans="1:81" s="115" customFormat="1" ht="18.75" hidden="1" x14ac:dyDescent="0.3">
      <c r="A82" s="463"/>
      <c r="B82" s="464"/>
      <c r="C82" s="465"/>
      <c r="D82" s="466"/>
      <c r="E82" s="466">
        <f>E24-E12</f>
        <v>29007760.579025388</v>
      </c>
      <c r="F82" s="466"/>
      <c r="G82" s="466"/>
      <c r="H82" s="466"/>
      <c r="I82" s="466"/>
      <c r="J82" s="466"/>
      <c r="K82" s="466"/>
      <c r="L82" s="466"/>
      <c r="M82" s="466"/>
      <c r="N82" s="466"/>
      <c r="O82" s="466"/>
      <c r="P82" s="466"/>
      <c r="Q82" s="466"/>
      <c r="R82" s="466"/>
      <c r="S82" s="466"/>
      <c r="T82" s="466"/>
      <c r="U82" s="466"/>
      <c r="V82" s="466"/>
      <c r="W82" s="466"/>
      <c r="X82" s="466"/>
      <c r="Y82" s="466"/>
      <c r="Z82" s="466"/>
      <c r="AA82" s="466"/>
      <c r="AB82" s="466"/>
      <c r="AC82" s="466"/>
      <c r="AD82" s="466"/>
      <c r="AE82" s="466"/>
      <c r="AF82" s="466"/>
      <c r="AG82" s="466"/>
      <c r="AH82" s="466"/>
      <c r="AI82" s="466"/>
      <c r="AJ82" s="466"/>
      <c r="AK82" s="466"/>
      <c r="AL82" s="466"/>
      <c r="AM82" s="466"/>
      <c r="AN82" s="466"/>
      <c r="AO82" s="466"/>
      <c r="AP82" s="466"/>
      <c r="AQ82" s="466"/>
      <c r="AR82" s="466"/>
      <c r="AS82" s="466"/>
      <c r="AT82" s="466"/>
      <c r="AU82" s="466"/>
      <c r="AV82" s="466"/>
      <c r="AW82" s="466"/>
      <c r="AX82" s="466"/>
      <c r="AY82" s="466"/>
      <c r="AZ82" s="466"/>
      <c r="BA82" s="466"/>
      <c r="BB82" s="466"/>
      <c r="BC82" s="466"/>
      <c r="BD82" s="466"/>
      <c r="BE82" s="466"/>
      <c r="BF82" s="466"/>
      <c r="BG82" s="466"/>
      <c r="BH82" s="466"/>
      <c r="BI82" s="466"/>
      <c r="BJ82" s="466"/>
      <c r="BY82" s="604"/>
      <c r="BZ82" s="604"/>
      <c r="CA82" s="604"/>
      <c r="CB82" s="531"/>
      <c r="CC82" s="607"/>
    </row>
    <row r="83" spans="1:81" s="115" customFormat="1" ht="18.75" hidden="1" x14ac:dyDescent="0.3">
      <c r="A83" s="463"/>
      <c r="B83" s="464"/>
      <c r="C83" s="465"/>
      <c r="D83" s="466"/>
      <c r="E83" s="466"/>
      <c r="F83" s="466"/>
      <c r="G83" s="466"/>
      <c r="H83" s="466"/>
      <c r="I83" s="466"/>
      <c r="J83" s="466"/>
      <c r="K83" s="466"/>
      <c r="L83" s="466"/>
      <c r="M83" s="466"/>
      <c r="N83" s="466"/>
      <c r="O83" s="466"/>
      <c r="P83" s="466"/>
      <c r="Q83" s="466"/>
      <c r="R83" s="466"/>
      <c r="S83" s="466"/>
      <c r="T83" s="466"/>
      <c r="U83" s="466"/>
      <c r="V83" s="466"/>
      <c r="W83" s="466"/>
      <c r="X83" s="466"/>
      <c r="Y83" s="466"/>
      <c r="Z83" s="466"/>
      <c r="AA83" s="466"/>
      <c r="AB83" s="466"/>
      <c r="AC83" s="466"/>
      <c r="AD83" s="466"/>
      <c r="AE83" s="466"/>
      <c r="AF83" s="466">
        <v>824053700</v>
      </c>
      <c r="AG83" s="466"/>
      <c r="AH83" s="466"/>
      <c r="AI83" s="466"/>
      <c r="AJ83" s="466"/>
      <c r="AK83" s="466"/>
      <c r="AL83" s="466"/>
      <c r="AM83" s="466"/>
      <c r="AN83" s="466"/>
      <c r="AO83" s="466"/>
      <c r="AP83" s="466"/>
      <c r="AQ83" s="466"/>
      <c r="AR83" s="466"/>
      <c r="AS83" s="466"/>
      <c r="AT83" s="466"/>
      <c r="AU83" s="466"/>
      <c r="AV83" s="466"/>
      <c r="AW83" s="466"/>
      <c r="AX83" s="466"/>
      <c r="AY83" s="466"/>
      <c r="AZ83" s="466">
        <f>AY76-AZ76</f>
        <v>2.7635693550109863E-3</v>
      </c>
      <c r="BA83" s="466"/>
      <c r="BB83" s="466"/>
      <c r="BC83" s="466"/>
      <c r="BD83" s="466"/>
      <c r="BE83" s="466"/>
      <c r="BF83" s="466"/>
      <c r="BG83" s="466"/>
      <c r="BH83" s="466"/>
      <c r="BI83" s="466"/>
      <c r="BJ83" s="466"/>
      <c r="BY83" s="604"/>
      <c r="BZ83" s="604"/>
      <c r="CA83" s="604"/>
      <c r="CB83" s="531"/>
      <c r="CC83" s="607"/>
    </row>
    <row r="84" spans="1:81" s="115" customFormat="1" ht="18.75" hidden="1" x14ac:dyDescent="0.3">
      <c r="A84" s="463"/>
      <c r="B84" s="464"/>
      <c r="C84" s="465"/>
      <c r="D84" s="466"/>
      <c r="E84" s="466"/>
      <c r="F84" s="466">
        <f>F12-F24</f>
        <v>2244669.8459746838</v>
      </c>
      <c r="G84" s="466"/>
      <c r="H84" s="466"/>
      <c r="I84" s="466"/>
      <c r="J84" s="466"/>
      <c r="K84" s="466"/>
      <c r="L84" s="466"/>
      <c r="M84" s="466"/>
      <c r="N84" s="466"/>
      <c r="O84" s="466"/>
      <c r="P84" s="466"/>
      <c r="Q84" s="466"/>
      <c r="R84" s="466"/>
      <c r="S84" s="466"/>
      <c r="T84" s="466"/>
      <c r="U84" s="466"/>
      <c r="V84" s="466"/>
      <c r="W84" s="466"/>
      <c r="X84" s="466"/>
      <c r="Y84" s="466"/>
      <c r="Z84" s="466"/>
      <c r="AA84" s="466"/>
      <c r="AB84" s="466"/>
      <c r="AC84" s="466"/>
      <c r="AD84" s="466"/>
      <c r="AE84" s="466"/>
      <c r="AF84" s="466">
        <f>AF83-AH12-AK12-1896500.82-6372300</f>
        <v>815784899.17999995</v>
      </c>
      <c r="AG84" s="466"/>
      <c r="AH84" s="466"/>
      <c r="AI84" s="466"/>
      <c r="AJ84" s="466"/>
      <c r="AK84" s="466"/>
      <c r="AL84" s="466"/>
      <c r="AM84" s="466"/>
      <c r="AN84" s="466"/>
      <c r="AO84" s="466"/>
      <c r="AP84" s="466"/>
      <c r="AQ84" s="466"/>
      <c r="AR84" s="466"/>
      <c r="AS84" s="466"/>
      <c r="AT84" s="466"/>
      <c r="AU84" s="466"/>
      <c r="AV84" s="466"/>
      <c r="AW84" s="466"/>
      <c r="AX84" s="466"/>
      <c r="AY84" s="466"/>
      <c r="AZ84" s="466"/>
      <c r="BA84" s="466"/>
      <c r="BB84" s="466"/>
      <c r="BC84" s="466"/>
      <c r="BD84" s="466"/>
      <c r="BE84" s="466"/>
      <c r="BF84" s="466"/>
      <c r="BG84" s="466"/>
      <c r="BH84" s="466"/>
      <c r="BI84" s="466"/>
      <c r="BJ84" s="466"/>
      <c r="BY84" s="604"/>
      <c r="BZ84" s="604"/>
      <c r="CA84" s="604"/>
      <c r="CB84" s="531"/>
      <c r="CC84" s="607"/>
    </row>
    <row r="85" spans="1:81" s="115" customFormat="1" ht="18.75" hidden="1" x14ac:dyDescent="0.3">
      <c r="A85" s="463"/>
      <c r="B85" s="464"/>
      <c r="C85" s="465"/>
      <c r="D85" s="466"/>
      <c r="E85" s="466"/>
      <c r="F85" s="466" t="b">
        <f>F77=F84</f>
        <v>0</v>
      </c>
      <c r="G85" s="466"/>
      <c r="H85" s="466"/>
      <c r="I85" s="466"/>
      <c r="J85" s="466"/>
      <c r="K85" s="466"/>
      <c r="L85" s="466"/>
      <c r="M85" s="466"/>
      <c r="N85" s="466"/>
      <c r="O85" s="466"/>
      <c r="P85" s="466"/>
      <c r="Q85" s="466"/>
      <c r="R85" s="466"/>
      <c r="S85" s="466"/>
      <c r="T85" s="466"/>
      <c r="U85" s="466"/>
      <c r="V85" s="466"/>
      <c r="W85" s="466"/>
      <c r="X85" s="466"/>
      <c r="Y85" s="466"/>
      <c r="Z85" s="466"/>
      <c r="AA85" s="466"/>
      <c r="AB85" s="466"/>
      <c r="AC85" s="466"/>
      <c r="AD85" s="466"/>
      <c r="AE85" s="466"/>
      <c r="AF85" s="466"/>
      <c r="AG85" s="466"/>
      <c r="AH85" s="466"/>
      <c r="AI85" s="466"/>
      <c r="AJ85" s="466"/>
      <c r="AK85" s="466"/>
      <c r="AL85" s="466"/>
      <c r="AM85" s="466"/>
      <c r="AN85" s="466"/>
      <c r="AO85" s="466"/>
      <c r="AP85" s="466"/>
      <c r="AQ85" s="466"/>
      <c r="AR85" s="466"/>
      <c r="AS85" s="466"/>
      <c r="AT85" s="466"/>
      <c r="AU85" s="466"/>
      <c r="AV85" s="466"/>
      <c r="AW85" s="466"/>
      <c r="AX85" s="466"/>
      <c r="AY85" s="466"/>
      <c r="AZ85" s="466"/>
      <c r="BA85" s="466"/>
      <c r="BB85" s="466"/>
      <c r="BC85" s="466"/>
      <c r="BD85" s="466"/>
      <c r="BE85" s="466"/>
      <c r="BF85" s="466"/>
      <c r="BG85" s="466"/>
      <c r="BH85" s="466"/>
      <c r="BI85" s="466"/>
      <c r="BJ85" s="466"/>
      <c r="BY85" s="604"/>
      <c r="BZ85" s="604"/>
      <c r="CA85" s="604"/>
      <c r="CB85" s="531"/>
      <c r="CC85" s="607"/>
    </row>
    <row r="86" spans="1:81" s="115" customFormat="1" ht="18.75" hidden="1" x14ac:dyDescent="0.3">
      <c r="A86" s="463"/>
      <c r="B86" s="464"/>
      <c r="C86" s="465"/>
      <c r="D86" s="466"/>
      <c r="E86" s="466"/>
      <c r="F86" s="466"/>
      <c r="G86" s="466"/>
      <c r="H86" s="466"/>
      <c r="I86" s="466"/>
      <c r="J86" s="466"/>
      <c r="K86" s="466"/>
      <c r="L86" s="466"/>
      <c r="M86" s="466"/>
      <c r="N86" s="466"/>
      <c r="O86" s="466"/>
      <c r="P86" s="466"/>
      <c r="Q86" s="466"/>
      <c r="R86" s="466"/>
      <c r="S86" s="466"/>
      <c r="T86" s="466"/>
      <c r="U86" s="466"/>
      <c r="V86" s="466"/>
      <c r="W86" s="466"/>
      <c r="X86" s="466"/>
      <c r="Y86" s="466"/>
      <c r="Z86" s="466"/>
      <c r="AA86" s="466"/>
      <c r="AB86" s="466"/>
      <c r="AC86" s="466"/>
      <c r="AD86" s="466"/>
      <c r="AE86" s="466"/>
      <c r="AF86" s="466"/>
      <c r="AG86" s="466"/>
      <c r="AH86" s="466"/>
      <c r="AI86" s="466"/>
      <c r="AJ86" s="466"/>
      <c r="AK86" s="466"/>
      <c r="AL86" s="466"/>
      <c r="AM86" s="466"/>
      <c r="AN86" s="466"/>
      <c r="AO86" s="466"/>
      <c r="AP86" s="466"/>
      <c r="AQ86" s="466"/>
      <c r="AR86" s="466"/>
      <c r="AS86" s="466"/>
      <c r="AT86" s="466"/>
      <c r="AU86" s="466"/>
      <c r="AV86" s="466"/>
      <c r="AW86" s="466"/>
      <c r="AX86" s="466"/>
      <c r="AY86" s="466"/>
      <c r="AZ86" s="466"/>
      <c r="BA86" s="466"/>
      <c r="BB86" s="466"/>
      <c r="BC86" s="466"/>
      <c r="BD86" s="466"/>
      <c r="BE86" s="466"/>
      <c r="BF86" s="466"/>
      <c r="BG86" s="466"/>
      <c r="BH86" s="466"/>
      <c r="BI86" s="466"/>
      <c r="BJ86" s="466"/>
      <c r="BY86" s="604"/>
      <c r="BZ86" s="604"/>
      <c r="CA86" s="604"/>
      <c r="CB86" s="531"/>
      <c r="CC86" s="607"/>
    </row>
    <row r="87" spans="1:81" s="115" customFormat="1" ht="18.75" hidden="1" x14ac:dyDescent="0.3">
      <c r="A87" s="463"/>
      <c r="B87" s="464"/>
      <c r="C87" s="465"/>
      <c r="D87" s="466"/>
      <c r="E87" s="466"/>
      <c r="F87" s="466"/>
      <c r="G87" s="283">
        <v>493797.89</v>
      </c>
      <c r="H87" s="157">
        <v>493797.8900000155</v>
      </c>
      <c r="I87" s="298">
        <v>1.548323780298233E-8</v>
      </c>
      <c r="J87" s="467"/>
      <c r="K87" s="467"/>
      <c r="L87" s="467"/>
      <c r="M87" s="467"/>
      <c r="N87" s="467"/>
      <c r="O87" s="467"/>
      <c r="P87" s="467"/>
      <c r="Q87" s="467"/>
      <c r="R87" s="467"/>
      <c r="S87" s="467"/>
      <c r="T87" s="467"/>
      <c r="U87" s="467"/>
      <c r="V87" s="467"/>
      <c r="W87" s="467"/>
      <c r="X87" s="467"/>
      <c r="Y87" s="467"/>
      <c r="Z87" s="467"/>
      <c r="AA87" s="468"/>
      <c r="AB87" s="468"/>
      <c r="AC87" s="468"/>
      <c r="AD87" s="468"/>
      <c r="AE87" s="468"/>
      <c r="AF87" s="468"/>
      <c r="AG87" s="468"/>
      <c r="AH87" s="468"/>
      <c r="AI87" s="468"/>
      <c r="AJ87" s="468"/>
      <c r="AK87" s="468"/>
      <c r="AL87" s="468"/>
      <c r="AM87" s="468"/>
      <c r="AN87" s="468"/>
      <c r="AO87" s="468"/>
      <c r="AP87" s="468"/>
      <c r="AQ87" s="468"/>
      <c r="AR87" s="468"/>
      <c r="AS87" s="468"/>
      <c r="AT87" s="469"/>
      <c r="AU87" s="469"/>
      <c r="AV87" s="470"/>
      <c r="AW87" s="470"/>
      <c r="AX87" s="470"/>
      <c r="AY87" s="470"/>
      <c r="AZ87" s="470"/>
      <c r="BA87" s="470"/>
      <c r="BB87" s="470"/>
      <c r="BC87" s="470"/>
      <c r="BD87" s="470"/>
      <c r="BE87" s="470"/>
      <c r="BF87" s="470"/>
      <c r="BG87" s="470"/>
      <c r="BH87" s="470"/>
      <c r="BI87" s="470"/>
      <c r="BJ87" s="470"/>
      <c r="BY87" s="604"/>
      <c r="BZ87" s="604"/>
      <c r="CA87" s="604"/>
      <c r="CB87" s="531"/>
      <c r="CC87" s="607"/>
    </row>
    <row r="88" spans="1:81" ht="19.5" hidden="1" thickBot="1" x14ac:dyDescent="0.35">
      <c r="A88" s="117"/>
      <c r="B88" s="117"/>
      <c r="C88" s="124"/>
      <c r="D88" s="117"/>
      <c r="E88" s="117"/>
      <c r="F88" s="117"/>
      <c r="G88" s="407">
        <v>-2.1200180053710938E-3</v>
      </c>
      <c r="H88" s="304">
        <v>0</v>
      </c>
      <c r="I88" s="377">
        <v>2.1200180053710938E-3</v>
      </c>
      <c r="J88" s="117"/>
      <c r="K88" s="117"/>
      <c r="L88" s="117"/>
      <c r="M88" s="117"/>
      <c r="N88" s="117"/>
      <c r="O88" s="117"/>
      <c r="P88" s="117"/>
      <c r="Q88" s="117"/>
      <c r="R88" s="117"/>
      <c r="S88" s="117"/>
      <c r="T88" s="117"/>
      <c r="U88" s="117"/>
      <c r="V88" s="117"/>
      <c r="W88" s="117"/>
      <c r="X88" s="117"/>
      <c r="Y88" s="117"/>
      <c r="Z88" s="117"/>
      <c r="AA88" s="117"/>
      <c r="AB88" s="117"/>
      <c r="AC88" s="117"/>
      <c r="AD88" s="111">
        <v>49006743.600000001</v>
      </c>
      <c r="AE88" s="117" t="s">
        <v>237</v>
      </c>
      <c r="AF88" s="117"/>
      <c r="AG88" s="117"/>
      <c r="AH88" s="117"/>
      <c r="AI88" s="117"/>
      <c r="AJ88" s="117"/>
      <c r="AK88" s="117"/>
      <c r="AL88" s="117"/>
      <c r="AM88" s="117"/>
      <c r="AN88" s="117"/>
      <c r="AO88" s="117"/>
      <c r="AP88" s="117"/>
      <c r="AQ88" s="117"/>
      <c r="AR88" s="117"/>
      <c r="AS88" s="117"/>
      <c r="AT88" s="117"/>
      <c r="AU88" s="125"/>
      <c r="AV88" s="137">
        <f>AV24-AV12</f>
        <v>10179839.435000002</v>
      </c>
      <c r="AW88" s="137">
        <f>AW24-AW12</f>
        <v>10179839.439999938</v>
      </c>
      <c r="AX88" s="125"/>
      <c r="AY88" s="137">
        <f>AY24-AY12</f>
        <v>9808185.4499999881</v>
      </c>
      <c r="AZ88" s="137">
        <f>AZ24-AZ12</f>
        <v>9808185.4499999881</v>
      </c>
      <c r="BA88" s="137"/>
      <c r="BB88" s="137"/>
      <c r="BC88" s="137"/>
      <c r="BD88" s="137">
        <f t="shared" ref="BD88:BE88" si="77">BD24-BD12</f>
        <v>371653.99000000209</v>
      </c>
      <c r="BE88" s="137">
        <f t="shared" si="77"/>
        <v>371653.99000000954</v>
      </c>
      <c r="BF88" s="117"/>
      <c r="BG88" s="117"/>
      <c r="BH88" s="117"/>
      <c r="BI88" s="117"/>
      <c r="BJ88" s="117"/>
      <c r="BK88" s="117"/>
      <c r="BL88" s="117"/>
      <c r="BM88" s="117"/>
      <c r="BN88" s="117"/>
      <c r="BO88" s="117"/>
      <c r="BP88" s="117"/>
      <c r="BQ88" s="117"/>
      <c r="BR88" s="117"/>
      <c r="BS88" s="117"/>
      <c r="BT88" s="117"/>
      <c r="BU88" s="117"/>
      <c r="BV88" s="117"/>
      <c r="BW88" s="117"/>
      <c r="BX88" s="117"/>
      <c r="BY88" s="531"/>
      <c r="BZ88" s="531"/>
      <c r="CA88" s="531"/>
      <c r="CB88" s="531"/>
      <c r="CC88" s="602"/>
    </row>
    <row r="89" spans="1:81" ht="18.75" hidden="1" x14ac:dyDescent="0.3">
      <c r="A89" s="117"/>
      <c r="B89" s="117"/>
      <c r="C89" s="124"/>
      <c r="D89" s="111">
        <f>D24-D12</f>
        <v>31252430.425000072</v>
      </c>
      <c r="E89" s="117"/>
      <c r="F89" s="117"/>
      <c r="G89" s="466"/>
      <c r="H89" s="466"/>
      <c r="I89" s="471"/>
      <c r="J89" s="117"/>
      <c r="K89" s="117"/>
      <c r="L89" s="117"/>
      <c r="M89" s="117"/>
      <c r="N89" s="117"/>
      <c r="O89" s="117"/>
      <c r="P89" s="111"/>
      <c r="Q89" s="111"/>
      <c r="R89" s="111"/>
      <c r="S89" s="111"/>
      <c r="T89" s="111"/>
      <c r="U89" s="117"/>
      <c r="V89" s="117"/>
      <c r="W89" s="117"/>
      <c r="X89" s="117"/>
      <c r="Y89" s="117"/>
      <c r="Z89" s="117"/>
      <c r="AA89" s="117"/>
      <c r="AB89" s="117"/>
      <c r="AC89" s="117"/>
      <c r="AD89" s="111">
        <f>AD77-AD88</f>
        <v>-49006743.600000001</v>
      </c>
      <c r="AE89" s="117" t="s">
        <v>197</v>
      </c>
      <c r="AF89" s="117"/>
      <c r="AG89" s="117"/>
      <c r="AH89" s="117"/>
      <c r="AI89" s="117"/>
      <c r="AJ89" s="117"/>
      <c r="AK89" s="117"/>
      <c r="AL89" s="117"/>
      <c r="AM89" s="117"/>
      <c r="AN89" s="117"/>
      <c r="AO89" s="117"/>
      <c r="AP89" s="117"/>
      <c r="AQ89" s="117"/>
      <c r="AR89" s="117"/>
      <c r="AS89" s="117"/>
      <c r="AT89" s="117"/>
      <c r="AU89" s="125"/>
      <c r="AV89" s="125"/>
      <c r="AW89" s="125"/>
      <c r="AX89" s="125"/>
      <c r="AY89" s="117"/>
      <c r="AZ89" s="117"/>
      <c r="BA89" s="117"/>
      <c r="BB89" s="117"/>
      <c r="BC89" s="117"/>
      <c r="BD89" s="117"/>
      <c r="BE89" s="117"/>
      <c r="BF89" s="117"/>
      <c r="BG89" s="117"/>
      <c r="BH89" s="117"/>
      <c r="BI89" s="117"/>
      <c r="BJ89" s="117"/>
      <c r="BK89" s="117"/>
      <c r="BL89" s="117"/>
      <c r="BM89" s="117"/>
      <c r="BN89" s="117"/>
      <c r="BO89" s="117"/>
      <c r="BP89" s="117"/>
      <c r="BQ89" s="117"/>
      <c r="BR89" s="117"/>
      <c r="BS89" s="117"/>
      <c r="BT89" s="117"/>
      <c r="BU89" s="117"/>
      <c r="BV89" s="117"/>
      <c r="BW89" s="117"/>
      <c r="BX89" s="117"/>
      <c r="BY89" s="531"/>
      <c r="BZ89" s="531"/>
      <c r="CA89" s="531"/>
      <c r="CB89" s="531"/>
      <c r="CC89" s="602"/>
    </row>
    <row r="90" spans="1:81" ht="18.75" hidden="1" x14ac:dyDescent="0.3">
      <c r="A90" s="117"/>
      <c r="B90" s="117"/>
      <c r="C90" s="124"/>
      <c r="D90" s="117"/>
      <c r="E90" s="117"/>
      <c r="F90" s="117"/>
      <c r="G90" s="157">
        <v>493797.8921200037</v>
      </c>
      <c r="H90" s="157">
        <v>493797.8900000155</v>
      </c>
      <c r="I90" s="157">
        <v>-2.1199882030487061E-3</v>
      </c>
      <c r="J90" s="117">
        <v>211</v>
      </c>
      <c r="K90" s="117"/>
      <c r="L90" s="117"/>
      <c r="M90" s="117"/>
      <c r="N90" s="117"/>
      <c r="O90" s="117"/>
      <c r="P90" s="111">
        <v>170582.06</v>
      </c>
      <c r="Q90" s="111"/>
      <c r="R90" s="111"/>
      <c r="S90" s="111"/>
      <c r="T90" s="111"/>
      <c r="U90" s="117"/>
      <c r="V90" s="117"/>
      <c r="W90" s="117"/>
      <c r="X90" s="117"/>
      <c r="Y90" s="117"/>
      <c r="Z90" s="117"/>
      <c r="AA90" s="117"/>
      <c r="AB90" s="117"/>
      <c r="AC90" s="117"/>
      <c r="AD90" s="117"/>
      <c r="AE90" s="117"/>
      <c r="AF90" s="117"/>
      <c r="AG90" s="117"/>
      <c r="AH90" s="117"/>
      <c r="AI90" s="117"/>
      <c r="AJ90" s="117"/>
      <c r="AK90" s="117"/>
      <c r="AL90" s="117"/>
      <c r="AM90" s="117"/>
      <c r="AN90" s="117"/>
      <c r="AO90" s="117"/>
      <c r="AP90" s="117"/>
      <c r="AQ90" s="117"/>
      <c r="AR90" s="117"/>
      <c r="AS90" s="117"/>
      <c r="AT90" s="117">
        <v>211</v>
      </c>
      <c r="AU90" s="137">
        <v>109680.99846390169</v>
      </c>
      <c r="AV90" s="125"/>
      <c r="AW90" s="125"/>
      <c r="AX90" s="125"/>
      <c r="AY90" s="263"/>
      <c r="AZ90" s="263"/>
      <c r="BA90" s="263"/>
      <c r="BB90" s="263"/>
      <c r="BC90" s="263"/>
      <c r="BD90" s="137">
        <v>2818.05</v>
      </c>
      <c r="BE90" s="137"/>
      <c r="BF90" s="137"/>
      <c r="BG90" s="151">
        <v>221</v>
      </c>
      <c r="BH90" s="151"/>
      <c r="BI90" s="151"/>
      <c r="BJ90" s="151"/>
      <c r="BK90" s="117"/>
      <c r="BL90" s="117"/>
      <c r="BM90" s="117"/>
      <c r="BN90" s="117"/>
      <c r="BO90" s="117"/>
      <c r="BP90" s="117"/>
      <c r="BQ90" s="117"/>
      <c r="BR90" s="117"/>
      <c r="BS90" s="117"/>
      <c r="BT90" s="117"/>
      <c r="BU90" s="117"/>
      <c r="BV90" s="117"/>
      <c r="BW90" s="117"/>
      <c r="BX90" s="117"/>
      <c r="BY90" s="531"/>
      <c r="BZ90" s="531"/>
      <c r="CA90" s="531"/>
      <c r="CB90" s="531"/>
      <c r="CC90" s="602"/>
    </row>
    <row r="91" spans="1:81" ht="18.75" hidden="1" x14ac:dyDescent="0.3">
      <c r="A91" s="117"/>
      <c r="B91" s="117"/>
      <c r="C91" s="124"/>
      <c r="D91" s="117"/>
      <c r="E91" s="117"/>
      <c r="F91" s="117"/>
      <c r="G91" s="466">
        <v>493797.88999998569</v>
      </c>
      <c r="H91" s="466">
        <v>493797.8900000155</v>
      </c>
      <c r="I91" s="466">
        <v>2.9802322387695313E-8</v>
      </c>
      <c r="J91" s="117">
        <v>213</v>
      </c>
      <c r="K91" s="117"/>
      <c r="L91" s="117"/>
      <c r="M91" s="117"/>
      <c r="N91" s="117"/>
      <c r="O91" s="117"/>
      <c r="P91" s="111">
        <f>P90*30.2%+0.01</f>
        <v>51515.792119999998</v>
      </c>
      <c r="Q91" s="111"/>
      <c r="R91" s="111"/>
      <c r="S91" s="111"/>
      <c r="T91" s="111"/>
      <c r="U91" s="117"/>
      <c r="V91" s="117"/>
      <c r="W91" s="117"/>
      <c r="X91" s="117"/>
      <c r="Y91" s="117"/>
      <c r="Z91" s="117"/>
      <c r="AA91" s="117"/>
      <c r="AB91" s="117"/>
      <c r="AC91" s="117"/>
      <c r="AD91" s="117"/>
      <c r="AE91" s="117"/>
      <c r="AF91" s="117"/>
      <c r="AG91" s="117"/>
      <c r="AH91" s="117"/>
      <c r="AI91" s="117"/>
      <c r="AJ91" s="117"/>
      <c r="AK91" s="117"/>
      <c r="AL91" s="117"/>
      <c r="AM91" s="117"/>
      <c r="AN91" s="117"/>
      <c r="AO91" s="117"/>
      <c r="AP91" s="117"/>
      <c r="AQ91" s="117"/>
      <c r="AR91" s="117"/>
      <c r="AS91" s="117"/>
      <c r="AT91" s="117">
        <v>213</v>
      </c>
      <c r="AU91" s="137">
        <v>33123.660000000003</v>
      </c>
      <c r="AV91" s="125"/>
      <c r="AW91" s="125"/>
      <c r="AX91" s="125"/>
      <c r="AY91" s="263"/>
      <c r="AZ91" s="263"/>
      <c r="BA91" s="263"/>
      <c r="BB91" s="263"/>
      <c r="BC91" s="263"/>
      <c r="BD91" s="137">
        <v>63920</v>
      </c>
      <c r="BE91" s="137"/>
      <c r="BF91" s="137"/>
      <c r="BG91" s="151">
        <v>310</v>
      </c>
      <c r="BH91" s="151"/>
      <c r="BI91" s="151"/>
      <c r="BJ91" s="151"/>
      <c r="BK91" s="117"/>
      <c r="BL91" s="117"/>
      <c r="BM91" s="117"/>
      <c r="BN91" s="117"/>
      <c r="BO91" s="117"/>
      <c r="BP91" s="117"/>
      <c r="BQ91" s="117"/>
      <c r="BR91" s="117"/>
      <c r="BS91" s="117"/>
      <c r="BT91" s="117"/>
      <c r="BU91" s="117"/>
      <c r="BV91" s="117"/>
      <c r="BW91" s="117"/>
      <c r="BX91" s="117"/>
      <c r="BY91" s="531"/>
      <c r="BZ91" s="531"/>
      <c r="CA91" s="531"/>
      <c r="CB91" s="531"/>
      <c r="CC91" s="602"/>
    </row>
    <row r="92" spans="1:81" ht="18.75" hidden="1" x14ac:dyDescent="0.3">
      <c r="A92" s="117"/>
      <c r="B92" s="117"/>
      <c r="C92" s="124"/>
      <c r="D92" s="117"/>
      <c r="E92" s="117"/>
      <c r="F92" s="117"/>
      <c r="G92" s="466" t="b">
        <v>0</v>
      </c>
      <c r="H92" s="466" t="b">
        <v>1</v>
      </c>
      <c r="I92" s="466" t="b">
        <v>0</v>
      </c>
      <c r="J92" s="117">
        <v>226</v>
      </c>
      <c r="K92" s="117"/>
      <c r="L92" s="117"/>
      <c r="M92" s="117"/>
      <c r="N92" s="117"/>
      <c r="O92" s="117"/>
      <c r="P92" s="111">
        <v>176906.04</v>
      </c>
      <c r="Q92" s="111"/>
      <c r="R92" s="111"/>
      <c r="S92" s="111"/>
      <c r="T92" s="111"/>
      <c r="U92" s="117"/>
      <c r="V92" s="117"/>
      <c r="W92" s="117"/>
      <c r="X92" s="117"/>
      <c r="Y92" s="117"/>
      <c r="Z92" s="117"/>
      <c r="AA92" s="111"/>
      <c r="AB92" s="111"/>
      <c r="AC92" s="111"/>
      <c r="AD92" s="111"/>
      <c r="AE92" s="117"/>
      <c r="AF92" s="117"/>
      <c r="AG92" s="117"/>
      <c r="AH92" s="117"/>
      <c r="AI92" s="117"/>
      <c r="AJ92" s="117"/>
      <c r="AK92" s="117"/>
      <c r="AL92" s="117"/>
      <c r="AM92" s="117"/>
      <c r="AN92" s="117"/>
      <c r="AO92" s="117"/>
      <c r="AP92" s="117"/>
      <c r="AQ92" s="117"/>
      <c r="AR92" s="117"/>
      <c r="AS92" s="117"/>
      <c r="AT92" s="117"/>
      <c r="AU92" s="137">
        <f>SUM(AU90:AU91)</f>
        <v>142804.65846390169</v>
      </c>
      <c r="AV92" s="125"/>
      <c r="AW92" s="125"/>
      <c r="AX92" s="125"/>
      <c r="AY92" s="264">
        <f>AY76</f>
        <v>9808185.4527635574</v>
      </c>
      <c r="AZ92" s="264"/>
      <c r="BA92" s="264"/>
      <c r="BB92" s="264"/>
      <c r="BC92" s="264"/>
      <c r="BD92" s="137">
        <v>1155747.52</v>
      </c>
      <c r="BE92" s="137"/>
      <c r="BF92" s="137"/>
      <c r="BG92" s="151">
        <v>340</v>
      </c>
      <c r="BH92" s="151"/>
      <c r="BI92" s="151"/>
      <c r="BJ92" s="151"/>
      <c r="BK92" s="117"/>
      <c r="BL92" s="117"/>
      <c r="BM92" s="117"/>
      <c r="BN92" s="117"/>
      <c r="BO92" s="117"/>
      <c r="BP92" s="117"/>
      <c r="BQ92" s="117"/>
      <c r="BR92" s="117"/>
      <c r="BS92" s="117"/>
      <c r="BT92" s="117"/>
      <c r="BU92" s="117"/>
      <c r="BV92" s="117"/>
      <c r="BW92" s="117"/>
      <c r="BX92" s="117"/>
      <c r="BY92" s="531"/>
      <c r="BZ92" s="531"/>
      <c r="CA92" s="531"/>
      <c r="CB92" s="531"/>
      <c r="CC92" s="602"/>
    </row>
    <row r="93" spans="1:81" ht="18.75" hidden="1" x14ac:dyDescent="0.3">
      <c r="A93" s="117"/>
      <c r="B93" s="117"/>
      <c r="C93" s="124"/>
      <c r="D93" s="117"/>
      <c r="E93" s="117"/>
      <c r="F93" s="117"/>
      <c r="G93" s="117"/>
      <c r="H93" s="117"/>
      <c r="I93" s="117"/>
      <c r="J93" s="117">
        <v>340</v>
      </c>
      <c r="K93" s="117"/>
      <c r="L93" s="117"/>
      <c r="M93" s="117"/>
      <c r="N93" s="117"/>
      <c r="O93" s="117"/>
      <c r="P93" s="111">
        <v>94794</v>
      </c>
      <c r="Q93" s="111"/>
      <c r="R93" s="111"/>
      <c r="S93" s="111"/>
      <c r="T93" s="111"/>
      <c r="U93" s="117"/>
      <c r="V93" s="117"/>
      <c r="W93" s="117"/>
      <c r="X93" s="117"/>
      <c r="Y93" s="117"/>
      <c r="Z93" s="117"/>
      <c r="AA93" s="117"/>
      <c r="AB93" s="117"/>
      <c r="AC93" s="117"/>
      <c r="AD93" s="117"/>
      <c r="AE93" s="117"/>
      <c r="AF93" s="117"/>
      <c r="AG93" s="117"/>
      <c r="AH93" s="117"/>
      <c r="AI93" s="117"/>
      <c r="AJ93" s="117"/>
      <c r="AK93" s="117"/>
      <c r="AL93" s="117"/>
      <c r="AM93" s="117"/>
      <c r="AN93" s="117"/>
      <c r="AO93" s="117"/>
      <c r="AP93" s="117"/>
      <c r="AQ93" s="117"/>
      <c r="AR93" s="117"/>
      <c r="AS93" s="117"/>
      <c r="AT93" s="117"/>
      <c r="AU93" s="125"/>
      <c r="AV93" s="125"/>
      <c r="AW93" s="125"/>
      <c r="AX93" s="125"/>
      <c r="AY93" s="117"/>
      <c r="AZ93" s="117"/>
      <c r="BA93" s="117"/>
      <c r="BB93" s="117"/>
      <c r="BC93" s="117"/>
      <c r="BD93" s="117"/>
      <c r="BE93" s="117"/>
      <c r="BF93" s="117"/>
      <c r="BG93" s="117"/>
      <c r="BH93" s="117"/>
      <c r="BI93" s="117"/>
      <c r="BJ93" s="117"/>
      <c r="BK93" s="117"/>
      <c r="BL93" s="117"/>
      <c r="BM93" s="117"/>
      <c r="BN93" s="117"/>
      <c r="BO93" s="117"/>
      <c r="BP93" s="117"/>
      <c r="BQ93" s="117"/>
      <c r="BR93" s="117"/>
      <c r="BS93" s="117"/>
      <c r="BT93" s="117"/>
      <c r="BU93" s="117"/>
      <c r="BV93" s="117"/>
      <c r="BW93" s="117"/>
      <c r="BX93" s="117"/>
      <c r="BY93" s="531"/>
      <c r="BZ93" s="531"/>
      <c r="CA93" s="531"/>
      <c r="CB93" s="531"/>
      <c r="CC93" s="602"/>
    </row>
    <row r="94" spans="1:81" s="531" customFormat="1" ht="18.75" hidden="1" x14ac:dyDescent="0.3">
      <c r="C94" s="532"/>
      <c r="H94" s="535">
        <f>H24-H87</f>
        <v>325400223.24444032</v>
      </c>
      <c r="P94" s="533">
        <f>SUM(P90:P93)</f>
        <v>493797.89211999997</v>
      </c>
      <c r="Q94" s="533"/>
      <c r="R94" s="533"/>
      <c r="S94" s="533"/>
      <c r="T94" s="533"/>
      <c r="AU94" s="534"/>
      <c r="AV94" s="534"/>
      <c r="AW94" s="534"/>
      <c r="AX94" s="534"/>
      <c r="CC94" s="602"/>
    </row>
    <row r="95" spans="1:81" s="531" customFormat="1" ht="18.75" hidden="1" x14ac:dyDescent="0.3">
      <c r="C95" s="532"/>
      <c r="G95" s="531" t="s">
        <v>450</v>
      </c>
      <c r="H95" s="535">
        <f>212239200+57300000</f>
        <v>269539200</v>
      </c>
      <c r="I95" s="533">
        <f>H95+H87</f>
        <v>270032997.88999999</v>
      </c>
      <c r="P95" s="533"/>
      <c r="Q95" s="533"/>
      <c r="R95" s="533"/>
      <c r="S95" s="533"/>
      <c r="T95" s="533"/>
      <c r="AU95" s="534"/>
      <c r="AV95" s="534"/>
      <c r="AW95" s="534"/>
      <c r="AX95" s="534"/>
      <c r="CC95" s="602"/>
    </row>
    <row r="96" spans="1:81" ht="18.75" hidden="1" x14ac:dyDescent="0.3">
      <c r="A96" s="117"/>
      <c r="B96" s="117"/>
      <c r="C96" s="124"/>
      <c r="D96" s="117"/>
      <c r="E96" s="117"/>
      <c r="F96" s="117"/>
      <c r="G96" s="117"/>
      <c r="H96" s="111">
        <f>H95-H94</f>
        <v>-55861023.244440317</v>
      </c>
      <c r="I96" s="117"/>
      <c r="J96" s="117"/>
      <c r="K96" s="117"/>
      <c r="L96" s="117"/>
      <c r="M96" s="117"/>
      <c r="N96" s="117"/>
      <c r="O96" s="117"/>
      <c r="P96" s="111"/>
      <c r="Q96" s="111"/>
      <c r="R96" s="111"/>
      <c r="S96" s="111"/>
      <c r="T96" s="111"/>
      <c r="U96" s="117"/>
      <c r="V96" s="117"/>
      <c r="W96" s="117"/>
      <c r="X96" s="117"/>
      <c r="Y96" s="117"/>
      <c r="Z96" s="117"/>
      <c r="AA96" s="117"/>
      <c r="AB96" s="117"/>
      <c r="AC96" s="117"/>
      <c r="AD96" s="117"/>
      <c r="AE96" s="117"/>
      <c r="AF96" s="117"/>
      <c r="AG96" s="117"/>
      <c r="AH96" s="117"/>
      <c r="AI96" s="117"/>
      <c r="AJ96" s="117"/>
      <c r="AK96" s="117"/>
      <c r="AL96" s="117"/>
      <c r="AM96" s="117"/>
      <c r="AN96" s="117"/>
      <c r="AO96" s="117"/>
      <c r="AP96" s="117"/>
      <c r="AQ96" s="117"/>
      <c r="AR96" s="117"/>
      <c r="AS96" s="117"/>
      <c r="AT96" s="117"/>
      <c r="AU96" s="125"/>
      <c r="AV96" s="125"/>
      <c r="AW96" s="125"/>
      <c r="AX96" s="125"/>
      <c r="AY96" s="117"/>
      <c r="AZ96" s="117"/>
      <c r="BA96" s="117"/>
      <c r="BB96" s="117"/>
      <c r="BC96" s="117"/>
      <c r="BD96" s="117"/>
      <c r="BE96" s="117"/>
      <c r="BF96" s="117"/>
      <c r="BG96" s="117"/>
      <c r="BH96" s="117"/>
      <c r="BI96" s="117"/>
      <c r="BJ96" s="117"/>
      <c r="BK96" s="117"/>
      <c r="BL96" s="117"/>
      <c r="BM96" s="117"/>
      <c r="BN96" s="117"/>
      <c r="BO96" s="117"/>
      <c r="BP96" s="117"/>
      <c r="BQ96" s="117"/>
      <c r="BR96" s="117"/>
      <c r="BS96" s="117"/>
      <c r="BT96" s="117"/>
      <c r="BU96" s="117"/>
      <c r="BV96" s="117"/>
      <c r="BW96" s="117"/>
      <c r="BX96" s="117"/>
      <c r="BY96" s="531"/>
      <c r="BZ96" s="531"/>
      <c r="CA96" s="531"/>
      <c r="CB96" s="531"/>
      <c r="CC96" s="602"/>
    </row>
    <row r="97" spans="5:81" ht="18.75" hidden="1" x14ac:dyDescent="0.3">
      <c r="E97" s="117"/>
      <c r="F97" s="117"/>
      <c r="G97" s="117"/>
      <c r="H97" s="117"/>
      <c r="I97" s="117"/>
      <c r="J97" s="117"/>
      <c r="K97" s="117"/>
      <c r="L97" s="117"/>
      <c r="M97" s="117"/>
      <c r="N97" s="117"/>
      <c r="O97" s="117"/>
      <c r="P97" s="117"/>
      <c r="Q97" s="117"/>
      <c r="R97" s="117"/>
      <c r="S97" s="117"/>
      <c r="T97" s="117"/>
      <c r="U97" s="117"/>
      <c r="V97" s="117"/>
      <c r="W97" s="117"/>
      <c r="X97" s="117"/>
      <c r="Y97" s="117"/>
      <c r="Z97" s="117"/>
      <c r="AA97" s="117"/>
      <c r="AB97" s="117"/>
      <c r="AC97" s="117"/>
      <c r="AD97" s="117"/>
      <c r="AE97" s="117"/>
      <c r="AF97" s="117"/>
      <c r="AG97" s="117"/>
      <c r="AH97" s="117"/>
      <c r="AI97" s="117"/>
      <c r="AJ97" s="117"/>
      <c r="AK97" s="117"/>
      <c r="AL97" s="117"/>
      <c r="AM97" s="117"/>
      <c r="AN97" s="117"/>
      <c r="AO97" s="117"/>
      <c r="AP97" s="117"/>
      <c r="AQ97" s="117"/>
      <c r="AR97" s="117"/>
      <c r="AS97" s="117"/>
      <c r="AT97" s="117"/>
      <c r="AU97" s="125"/>
      <c r="AV97" s="125"/>
      <c r="AW97" s="125"/>
      <c r="AX97" s="125"/>
      <c r="AY97" s="117"/>
      <c r="AZ97" s="117"/>
      <c r="BA97" s="117"/>
      <c r="BB97" s="117"/>
      <c r="BC97" s="117"/>
      <c r="BD97" s="117"/>
      <c r="BE97" s="117"/>
      <c r="BF97" s="117"/>
      <c r="BG97" s="117"/>
      <c r="BH97" s="117"/>
      <c r="BI97" s="117"/>
      <c r="BJ97" s="117"/>
      <c r="BK97" s="117"/>
      <c r="BL97" s="117"/>
      <c r="BM97" s="117"/>
      <c r="BN97" s="117"/>
      <c r="BO97" s="117"/>
      <c r="BP97" s="117"/>
      <c r="BQ97" s="117"/>
      <c r="BR97" s="117"/>
      <c r="BS97" s="117"/>
      <c r="BT97" s="117"/>
      <c r="BU97" s="117"/>
      <c r="BV97" s="117"/>
      <c r="BW97" s="117"/>
      <c r="BX97" s="117"/>
      <c r="BY97" s="531"/>
      <c r="BZ97" s="531"/>
      <c r="CA97" s="531"/>
      <c r="CB97" s="531"/>
      <c r="CC97" s="602"/>
    </row>
    <row r="98" spans="5:81" ht="18.75" hidden="1" x14ac:dyDescent="0.3">
      <c r="E98" s="111">
        <f>E46-AD46-AW46</f>
        <v>63068157.819440335</v>
      </c>
      <c r="F98" s="117"/>
      <c r="G98" s="117"/>
      <c r="H98" s="117"/>
      <c r="I98" s="117"/>
      <c r="J98" s="117"/>
      <c r="K98" s="117"/>
      <c r="L98" s="117"/>
      <c r="M98" s="117"/>
      <c r="N98" s="117"/>
      <c r="O98" s="117"/>
      <c r="P98" s="117"/>
      <c r="Q98" s="117"/>
      <c r="R98" s="117"/>
      <c r="S98" s="117"/>
      <c r="T98" s="117"/>
      <c r="U98" s="117"/>
      <c r="V98" s="117"/>
      <c r="W98" s="117"/>
      <c r="X98" s="117"/>
      <c r="Y98" s="117"/>
      <c r="Z98" s="117"/>
      <c r="AA98" s="117"/>
      <c r="AB98" s="117"/>
      <c r="AC98" s="117"/>
      <c r="AD98" s="117"/>
      <c r="AE98" s="117"/>
      <c r="AF98" s="117"/>
      <c r="AG98" s="117"/>
      <c r="AH98" s="117"/>
      <c r="AI98" s="117"/>
      <c r="AJ98" s="117"/>
      <c r="AK98" s="117"/>
      <c r="AL98" s="117"/>
      <c r="AM98" s="117"/>
      <c r="AN98" s="117"/>
      <c r="AO98" s="117"/>
      <c r="AP98" s="117"/>
      <c r="AQ98" s="117"/>
      <c r="AR98" s="117"/>
      <c r="AS98" s="117"/>
      <c r="AT98" s="117"/>
      <c r="AU98" s="125"/>
      <c r="AV98" s="125"/>
      <c r="AW98" s="125"/>
      <c r="AX98" s="125"/>
      <c r="AY98" s="117"/>
      <c r="AZ98" s="117"/>
      <c r="BA98" s="117"/>
      <c r="BB98" s="117"/>
      <c r="BC98" s="117"/>
      <c r="BD98" s="117"/>
      <c r="BE98" s="117"/>
      <c r="BF98" s="117"/>
      <c r="BG98" s="117"/>
      <c r="BH98" s="117"/>
      <c r="BI98" s="117"/>
      <c r="BJ98" s="117"/>
      <c r="BK98" s="117"/>
      <c r="BL98" s="117"/>
      <c r="BM98" s="117"/>
      <c r="BN98" s="117"/>
      <c r="BO98" s="117"/>
      <c r="BP98" s="117"/>
      <c r="BQ98" s="117"/>
      <c r="BR98" s="117"/>
      <c r="BS98" s="117"/>
      <c r="BT98" s="117"/>
      <c r="BU98" s="117"/>
      <c r="BV98" s="117"/>
      <c r="BW98" s="117"/>
      <c r="BX98" s="117"/>
      <c r="BY98" s="531"/>
      <c r="BZ98" s="531"/>
      <c r="CA98" s="531"/>
      <c r="CB98" s="531"/>
      <c r="CC98" s="602"/>
    </row>
    <row r="99" spans="5:81" ht="18.75" hidden="1" x14ac:dyDescent="0.3">
      <c r="E99" s="117"/>
      <c r="F99" s="117"/>
      <c r="G99" s="117"/>
      <c r="H99" s="117"/>
      <c r="I99" s="117"/>
      <c r="J99" s="117"/>
      <c r="K99" s="117"/>
      <c r="L99" s="117"/>
      <c r="M99" s="117"/>
      <c r="N99" s="117"/>
      <c r="O99" s="117"/>
      <c r="P99" s="117"/>
      <c r="Q99" s="117"/>
      <c r="R99" s="117"/>
      <c r="S99" s="117"/>
      <c r="T99" s="117"/>
      <c r="U99" s="117"/>
      <c r="V99" s="117"/>
      <c r="W99" s="117"/>
      <c r="X99" s="117"/>
      <c r="Y99" s="117"/>
      <c r="Z99" s="117"/>
      <c r="AA99" s="117"/>
      <c r="AB99" s="117"/>
      <c r="AC99" s="117"/>
      <c r="AD99" s="117"/>
      <c r="AE99" s="117"/>
      <c r="AF99" s="117"/>
      <c r="AG99" s="117"/>
      <c r="AH99" s="117"/>
      <c r="AI99" s="117"/>
      <c r="AJ99" s="117"/>
      <c r="AK99" s="117"/>
      <c r="AL99" s="117"/>
      <c r="AM99" s="117"/>
      <c r="AN99" s="117"/>
      <c r="AO99" s="117"/>
      <c r="AP99" s="117"/>
      <c r="AQ99" s="117"/>
      <c r="AR99" s="117"/>
      <c r="AS99" s="117"/>
      <c r="AT99" s="117"/>
      <c r="AU99" s="125"/>
      <c r="AV99" s="125"/>
      <c r="AW99" s="125"/>
      <c r="AX99" s="125"/>
      <c r="AY99" s="117"/>
      <c r="AZ99" s="117"/>
      <c r="BA99" s="117"/>
      <c r="BB99" s="117"/>
      <c r="BC99" s="117"/>
      <c r="BD99" s="117"/>
      <c r="BE99" s="117"/>
      <c r="BF99" s="117"/>
      <c r="BG99" s="117"/>
      <c r="BH99" s="117"/>
      <c r="BI99" s="117"/>
      <c r="BJ99" s="117"/>
      <c r="BK99" s="117"/>
      <c r="BL99" s="117"/>
      <c r="BM99" s="117"/>
      <c r="BN99" s="117"/>
      <c r="BO99" s="117"/>
      <c r="BP99" s="117"/>
      <c r="BQ99" s="117"/>
      <c r="BR99" s="117"/>
      <c r="BS99" s="117"/>
      <c r="BT99" s="117"/>
      <c r="BU99" s="117"/>
      <c r="BV99" s="117"/>
      <c r="BW99" s="117"/>
      <c r="BX99" s="117"/>
      <c r="BY99" s="531"/>
      <c r="BZ99" s="531"/>
      <c r="CA99" s="531"/>
      <c r="CB99" s="531"/>
      <c r="CC99" s="602"/>
    </row>
    <row r="100" spans="5:81" ht="18.75" hidden="1" x14ac:dyDescent="0.3">
      <c r="E100" s="117"/>
      <c r="F100" s="117"/>
      <c r="G100" s="117"/>
      <c r="H100" s="117"/>
      <c r="I100" s="117"/>
      <c r="J100" s="117"/>
      <c r="K100" s="117"/>
      <c r="L100" s="117"/>
      <c r="M100" s="117"/>
      <c r="N100" s="117"/>
      <c r="O100" s="117"/>
      <c r="P100" s="117"/>
      <c r="Q100" s="117"/>
      <c r="R100" s="117"/>
      <c r="S100" s="117"/>
      <c r="T100" s="117"/>
      <c r="U100" s="117"/>
      <c r="V100" s="117"/>
      <c r="W100" s="117"/>
      <c r="X100" s="117"/>
      <c r="Y100" s="117"/>
      <c r="Z100" s="117"/>
      <c r="AA100" s="117"/>
      <c r="AB100" s="1030" t="s">
        <v>908</v>
      </c>
      <c r="AC100" s="117"/>
      <c r="AD100" s="117"/>
      <c r="AE100" s="117"/>
      <c r="AF100" s="602" t="s">
        <v>905</v>
      </c>
      <c r="AG100" s="111">
        <f>SUM(AG52:AG99)</f>
        <v>0</v>
      </c>
      <c r="AH100" s="602" t="s">
        <v>906</v>
      </c>
      <c r="AI100" s="117"/>
      <c r="AJ100" s="117"/>
      <c r="AK100" s="117"/>
      <c r="AL100" s="602" t="s">
        <v>907</v>
      </c>
      <c r="AM100" s="117"/>
      <c r="AN100" s="117"/>
      <c r="AO100" s="117"/>
      <c r="AP100" s="117"/>
      <c r="AQ100" s="117"/>
      <c r="AR100" s="117"/>
      <c r="AS100" s="117"/>
      <c r="AT100" s="117"/>
      <c r="AU100" s="125"/>
      <c r="AV100" s="125"/>
      <c r="AW100" s="125"/>
      <c r="AX100" s="125"/>
      <c r="AY100" s="117"/>
      <c r="AZ100" s="117"/>
      <c r="BA100" s="117"/>
      <c r="BB100" s="117"/>
      <c r="BC100" s="117"/>
      <c r="BD100" s="117"/>
      <c r="BE100" s="117"/>
      <c r="BF100" s="117"/>
      <c r="BG100" s="117"/>
      <c r="BH100" s="117"/>
      <c r="BI100" s="117"/>
      <c r="BJ100" s="117"/>
      <c r="BK100" s="117"/>
      <c r="BL100" s="117"/>
      <c r="BM100" s="117"/>
      <c r="BN100" s="117"/>
      <c r="BO100" s="117"/>
      <c r="BP100" s="117"/>
      <c r="BQ100" s="117"/>
      <c r="BR100" s="117"/>
      <c r="BS100" s="117"/>
      <c r="BT100" s="117"/>
      <c r="BU100" s="117"/>
      <c r="BV100" s="117"/>
      <c r="BW100" s="117"/>
      <c r="BX100" s="117"/>
      <c r="BY100" s="531"/>
      <c r="BZ100" s="531"/>
      <c r="CA100" s="531"/>
      <c r="CB100" s="531"/>
      <c r="CC100" s="605"/>
    </row>
    <row r="101" spans="5:81" ht="18.75" hidden="1" x14ac:dyDescent="0.3">
      <c r="E101" s="111"/>
      <c r="F101" s="117"/>
      <c r="G101" s="117"/>
      <c r="H101" s="111">
        <f>H25-Q101-Q102-Q103</f>
        <v>240521793.10499999</v>
      </c>
      <c r="I101" s="117"/>
      <c r="J101" s="117"/>
      <c r="K101" s="117"/>
      <c r="L101" s="117"/>
      <c r="M101" s="117"/>
      <c r="N101" s="117"/>
      <c r="O101" s="117"/>
      <c r="P101" s="117">
        <v>211</v>
      </c>
      <c r="Q101" s="111">
        <f>[3]Санкционирование!AV25</f>
        <v>12712935.3365745</v>
      </c>
      <c r="R101" s="111">
        <f>Q101</f>
        <v>12712935.3365745</v>
      </c>
      <c r="S101" s="111"/>
      <c r="T101" s="111"/>
      <c r="U101" s="117"/>
      <c r="V101" s="117"/>
      <c r="W101" s="117"/>
      <c r="X101" s="117"/>
      <c r="Y101" s="117"/>
      <c r="Z101" s="117"/>
      <c r="AA101" s="880" t="s">
        <v>917</v>
      </c>
      <c r="AB101" s="111">
        <v>146375908.19999999</v>
      </c>
      <c r="AC101" s="117"/>
      <c r="AD101" s="117"/>
      <c r="AE101" s="117"/>
      <c r="AF101" s="117">
        <v>211</v>
      </c>
      <c r="AG101" s="117"/>
      <c r="AH101" s="111">
        <f>'[3]расчет норматив'!AC10</f>
        <v>130723623.19</v>
      </c>
      <c r="AI101" s="117"/>
      <c r="AJ101" s="117"/>
      <c r="AK101" s="117"/>
      <c r="AL101" s="111">
        <f>115806600+15362600</f>
        <v>131169200</v>
      </c>
      <c r="AM101" s="117"/>
      <c r="AN101" s="117"/>
      <c r="AO101" s="117"/>
      <c r="AP101" s="117"/>
      <c r="AQ101" s="117"/>
      <c r="AR101" s="117"/>
      <c r="AS101" s="117"/>
      <c r="AT101" s="117"/>
      <c r="AU101" s="1032">
        <v>530061.06000000006</v>
      </c>
      <c r="AV101" s="125"/>
      <c r="AW101" s="125"/>
      <c r="AX101" s="125"/>
      <c r="AY101" s="117"/>
      <c r="AZ101" s="970">
        <v>9808185.4700000044</v>
      </c>
      <c r="BA101" s="117"/>
      <c r="BB101" s="117"/>
      <c r="BC101" s="117"/>
      <c r="BD101" s="117"/>
      <c r="BE101" s="111">
        <f>BE76-BD76</f>
        <v>7.4505805969238281E-9</v>
      </c>
      <c r="BF101" s="117"/>
      <c r="BG101" s="117"/>
      <c r="BH101" s="117"/>
      <c r="BI101" s="117"/>
      <c r="BJ101" s="117"/>
      <c r="BK101" s="117"/>
      <c r="BL101" s="117"/>
      <c r="BM101" s="117"/>
      <c r="BN101" s="117"/>
      <c r="BO101" s="117"/>
      <c r="BP101" s="117"/>
      <c r="BQ101" s="117"/>
      <c r="BR101" s="117"/>
      <c r="BS101" s="117"/>
      <c r="BT101" s="117"/>
      <c r="BU101" s="117"/>
      <c r="BV101" s="117"/>
      <c r="BW101" s="117"/>
      <c r="BX101" s="117"/>
      <c r="BY101" s="531"/>
      <c r="BZ101" s="531"/>
      <c r="CA101" s="531"/>
      <c r="CB101" s="533">
        <f>CB76-AV76</f>
        <v>-15169495.327763557</v>
      </c>
      <c r="CC101" s="605">
        <v>261252050.31999999</v>
      </c>
    </row>
    <row r="102" spans="5:81" ht="18.75" hidden="1" x14ac:dyDescent="0.3">
      <c r="E102" s="117">
        <v>205614792.37</v>
      </c>
      <c r="F102" s="117"/>
      <c r="G102" s="117"/>
      <c r="H102" s="111">
        <f>AL104-H101</f>
        <v>-69739393.104999989</v>
      </c>
      <c r="I102" s="117"/>
      <c r="J102" s="117"/>
      <c r="K102" s="117"/>
      <c r="L102" s="117"/>
      <c r="M102" s="117"/>
      <c r="N102" s="117"/>
      <c r="O102" s="117"/>
      <c r="P102" s="117">
        <v>213</v>
      </c>
      <c r="Q102" s="111">
        <f>[3]Санкционирование!AV26</f>
        <v>4311035.7434254978</v>
      </c>
      <c r="R102" s="111">
        <f>'[3]Лист2 (2)'!F13</f>
        <v>3811205.169999999</v>
      </c>
      <c r="S102" s="111"/>
      <c r="T102" s="111"/>
      <c r="U102" s="111">
        <f>Q102-R102</f>
        <v>499830.57342549879</v>
      </c>
      <c r="V102" s="111">
        <f>'[3]расчет норматив'!AC8+Q101+Q102</f>
        <v>187806371.08477378</v>
      </c>
      <c r="W102" s="117"/>
      <c r="X102" s="117"/>
      <c r="Y102" s="117"/>
      <c r="Z102" s="117"/>
      <c r="AA102" s="880" t="s">
        <v>919</v>
      </c>
      <c r="AB102" s="111">
        <v>429259.19</v>
      </c>
      <c r="AC102" s="117"/>
      <c r="AD102" s="117">
        <v>205614792.37</v>
      </c>
      <c r="AE102" s="117"/>
      <c r="AF102" s="117">
        <v>213</v>
      </c>
      <c r="AG102" s="117"/>
      <c r="AH102" s="111">
        <f>'[3]расчет норматив'!AC11</f>
        <v>39613200</v>
      </c>
      <c r="AI102" s="117"/>
      <c r="AJ102" s="117"/>
      <c r="AK102" s="117"/>
      <c r="AL102" s="111">
        <f>34973700+4639500</f>
        <v>39613200</v>
      </c>
      <c r="AM102" s="117"/>
      <c r="AN102" s="117"/>
      <c r="AO102" s="117"/>
      <c r="AP102" s="117"/>
      <c r="AQ102" s="117"/>
      <c r="AR102" s="117"/>
      <c r="AS102" s="117"/>
      <c r="AT102" s="117">
        <v>211</v>
      </c>
      <c r="AU102" s="1032">
        <f>AU101/1.302</f>
        <v>407112.94930875581</v>
      </c>
      <c r="AV102" s="125"/>
      <c r="AW102" s="125"/>
      <c r="AX102" s="125"/>
      <c r="AY102" s="117"/>
      <c r="AZ102" s="117"/>
      <c r="BA102" s="117"/>
      <c r="BB102" s="117"/>
      <c r="BC102" s="117"/>
      <c r="BD102" s="117"/>
      <c r="BE102" s="117"/>
      <c r="BF102" s="117"/>
      <c r="BG102" s="117"/>
      <c r="BH102" s="117"/>
      <c r="BI102" s="117"/>
      <c r="BJ102" s="117"/>
      <c r="BK102" s="117"/>
      <c r="BL102" s="117"/>
      <c r="BM102" s="117"/>
      <c r="BN102" s="117"/>
      <c r="BO102" s="117"/>
      <c r="BP102" s="117"/>
      <c r="BQ102" s="117"/>
      <c r="BR102" s="117"/>
      <c r="BS102" s="117"/>
      <c r="BT102" s="117"/>
      <c r="BU102" s="117"/>
      <c r="BV102" s="117"/>
      <c r="BW102" s="117"/>
      <c r="BX102" s="117"/>
      <c r="BY102" s="531"/>
      <c r="BZ102" s="531"/>
      <c r="CA102" s="531"/>
      <c r="CB102" s="531"/>
      <c r="CC102" s="605">
        <f>CC101-CC77</f>
        <v>-971567.62999999523</v>
      </c>
    </row>
    <row r="103" spans="5:81" ht="18.75" hidden="1" x14ac:dyDescent="0.3">
      <c r="E103" s="111">
        <f>E12+E76-E24</f>
        <v>0</v>
      </c>
      <c r="F103" s="117"/>
      <c r="G103" s="117"/>
      <c r="H103" s="117"/>
      <c r="I103" s="117"/>
      <c r="J103" s="117"/>
      <c r="K103" s="117"/>
      <c r="L103" s="117"/>
      <c r="M103" s="117"/>
      <c r="N103" s="117"/>
      <c r="O103" s="117"/>
      <c r="P103" s="117">
        <v>212</v>
      </c>
      <c r="Q103" s="111">
        <f>[3]Санкционирование!AV27</f>
        <v>79091.530000000028</v>
      </c>
      <c r="R103" s="117"/>
      <c r="S103" s="117"/>
      <c r="T103" s="117"/>
      <c r="U103" s="111">
        <f>Q103</f>
        <v>79091.530000000028</v>
      </c>
      <c r="V103" s="111">
        <f>H25</f>
        <v>257624855.71499997</v>
      </c>
      <c r="W103" s="117"/>
      <c r="X103" s="117"/>
      <c r="Y103" s="117"/>
      <c r="Z103" s="117"/>
      <c r="AA103" s="880" t="s">
        <v>918</v>
      </c>
      <c r="AB103" s="111">
        <v>4389110</v>
      </c>
      <c r="AC103" s="117"/>
      <c r="AD103" s="117">
        <v>203001361.21000001</v>
      </c>
      <c r="AE103" s="117"/>
      <c r="AF103" s="117">
        <v>212</v>
      </c>
      <c r="AG103" s="117"/>
      <c r="AH103" s="111">
        <f>'[3]расчет норматив'!AC12</f>
        <v>445576.81477379624</v>
      </c>
      <c r="AI103" s="117"/>
      <c r="AJ103" s="117"/>
      <c r="AK103" s="117"/>
      <c r="AL103" s="117"/>
      <c r="AM103" s="117"/>
      <c r="AN103" s="117"/>
      <c r="AO103" s="117"/>
      <c r="AP103" s="117"/>
      <c r="AQ103" s="117"/>
      <c r="AR103" s="117"/>
      <c r="AS103" s="117"/>
      <c r="AT103" s="117">
        <v>213</v>
      </c>
      <c r="AU103" s="1032">
        <f>AU102*0.302</f>
        <v>122948.11069124425</v>
      </c>
      <c r="AV103" s="125"/>
      <c r="AW103" s="125"/>
      <c r="AX103" s="125"/>
      <c r="AY103" s="117"/>
      <c r="AZ103" s="117"/>
      <c r="BA103" s="117"/>
      <c r="BB103" s="117"/>
      <c r="BC103" s="117"/>
      <c r="BD103" s="117"/>
      <c r="BE103" s="117"/>
      <c r="BF103" s="117"/>
      <c r="BG103" s="117"/>
      <c r="BH103" s="117"/>
      <c r="BI103" s="117"/>
      <c r="BJ103" s="117"/>
      <c r="BK103" s="117"/>
      <c r="BL103" s="117"/>
      <c r="BM103" s="117"/>
      <c r="BN103" s="117"/>
      <c r="BO103" s="117"/>
      <c r="BP103" s="117"/>
      <c r="BQ103" s="117"/>
      <c r="BR103" s="117"/>
      <c r="BS103" s="117"/>
      <c r="BT103" s="117"/>
      <c r="BU103" s="117"/>
      <c r="BV103" s="117"/>
      <c r="BW103" s="117"/>
      <c r="BX103" s="117"/>
      <c r="BY103" s="531"/>
      <c r="BZ103" s="531"/>
      <c r="CA103" s="531"/>
      <c r="CB103" s="531"/>
      <c r="CC103" s="602"/>
    </row>
    <row r="104" spans="5:81" ht="18.75" hidden="1" x14ac:dyDescent="0.3">
      <c r="E104" s="117"/>
      <c r="F104" s="117"/>
      <c r="G104" s="117"/>
      <c r="H104" s="117"/>
      <c r="I104" s="117"/>
      <c r="J104" s="117"/>
      <c r="K104" s="117"/>
      <c r="L104" s="117"/>
      <c r="M104" s="117"/>
      <c r="N104" s="117"/>
      <c r="O104" s="117"/>
      <c r="P104" s="117">
        <v>221</v>
      </c>
      <c r="Q104" s="111">
        <f>[3]Санкционирование!AV47</f>
        <v>385393.10000000003</v>
      </c>
      <c r="R104" s="117"/>
      <c r="S104" s="117"/>
      <c r="T104" s="117"/>
      <c r="U104" s="111">
        <f t="shared" ref="U104:U114" si="78">Q104</f>
        <v>385393.10000000003</v>
      </c>
      <c r="V104" s="117"/>
      <c r="W104" s="117"/>
      <c r="X104" s="117"/>
      <c r="Y104" s="117"/>
      <c r="Z104" s="117"/>
      <c r="AA104" s="880" t="s">
        <v>920</v>
      </c>
      <c r="AB104" s="111">
        <v>137961180.06</v>
      </c>
      <c r="AC104" s="117"/>
      <c r="AD104" s="117">
        <f>AD102-AD103</f>
        <v>2613431.1599999964</v>
      </c>
      <c r="AE104" s="117"/>
      <c r="AF104" s="117"/>
      <c r="AG104" s="117"/>
      <c r="AH104" s="111">
        <f>SUM(AH101:AH103)</f>
        <v>170782400.0047738</v>
      </c>
      <c r="AI104" s="117"/>
      <c r="AJ104" s="117"/>
      <c r="AK104" s="117"/>
      <c r="AL104" s="111">
        <f>SUM(AL101:AL103)</f>
        <v>170782400</v>
      </c>
      <c r="AM104" s="117"/>
      <c r="AN104" s="117"/>
      <c r="AO104" s="137">
        <f>AH104-AL104</f>
        <v>4.7737956047058105E-3</v>
      </c>
      <c r="AP104" s="117"/>
      <c r="AQ104" s="117"/>
      <c r="AR104" s="117"/>
      <c r="AS104" s="117"/>
      <c r="AT104" s="117"/>
      <c r="AU104" s="1032">
        <f>AU102+AU103</f>
        <v>530061.06000000006</v>
      </c>
      <c r="AV104" s="125"/>
      <c r="AW104" s="125"/>
      <c r="AX104" s="125"/>
      <c r="AY104" s="117"/>
      <c r="AZ104" s="117"/>
      <c r="BA104" s="117"/>
      <c r="BB104" s="117"/>
      <c r="BC104" s="117"/>
      <c r="BD104" s="117"/>
      <c r="BE104" s="117"/>
      <c r="BF104" s="117"/>
      <c r="BG104" s="117"/>
      <c r="BH104" s="117"/>
      <c r="BI104" s="117"/>
      <c r="BJ104" s="117"/>
      <c r="BK104" s="117"/>
      <c r="BL104" s="117"/>
      <c r="BM104" s="117"/>
      <c r="BN104" s="117"/>
      <c r="BO104" s="117"/>
      <c r="BP104" s="117"/>
      <c r="BQ104" s="117"/>
      <c r="BR104" s="117"/>
      <c r="BS104" s="117"/>
      <c r="BT104" s="117"/>
      <c r="BU104" s="117"/>
      <c r="BV104" s="117"/>
      <c r="BW104" s="117"/>
      <c r="BX104" s="117"/>
      <c r="BY104" s="531"/>
      <c r="BZ104" s="531"/>
      <c r="CA104" s="531"/>
      <c r="CB104" s="531"/>
      <c r="CC104" s="602"/>
    </row>
    <row r="105" spans="5:81" ht="18.75" hidden="1" x14ac:dyDescent="0.3">
      <c r="E105" s="111">
        <f>E76-D76</f>
        <v>-2244669.8437381387</v>
      </c>
      <c r="F105" s="117"/>
      <c r="G105" s="117"/>
      <c r="H105" s="117"/>
      <c r="I105" s="117"/>
      <c r="J105" s="117"/>
      <c r="K105" s="117"/>
      <c r="L105" s="117"/>
      <c r="M105" s="117"/>
      <c r="N105" s="117"/>
      <c r="O105" s="117"/>
      <c r="P105" s="117">
        <v>222</v>
      </c>
      <c r="Q105" s="111">
        <f>[3]Санкционирование!AV48</f>
        <v>0</v>
      </c>
      <c r="R105" s="117"/>
      <c r="S105" s="117"/>
      <c r="T105" s="117"/>
      <c r="U105" s="111">
        <f t="shared" si="78"/>
        <v>0</v>
      </c>
      <c r="V105" s="117"/>
      <c r="W105" s="117"/>
      <c r="X105" s="117"/>
      <c r="Y105" s="117"/>
      <c r="Z105" s="117"/>
      <c r="AA105" s="880" t="s">
        <v>922</v>
      </c>
      <c r="AB105" s="111">
        <v>860103.18</v>
      </c>
      <c r="AC105" s="117"/>
      <c r="AD105" s="117"/>
      <c r="AE105" s="117"/>
      <c r="AF105" s="117"/>
      <c r="AG105" s="117"/>
      <c r="AH105" s="117"/>
      <c r="AI105" s="117"/>
      <c r="AJ105" s="117"/>
      <c r="AK105" s="117"/>
      <c r="AL105" s="602" t="s">
        <v>908</v>
      </c>
      <c r="AM105" s="117"/>
      <c r="AN105" s="117"/>
      <c r="AO105" s="117"/>
      <c r="AP105" s="117"/>
      <c r="AQ105" s="117"/>
      <c r="AR105" s="117"/>
      <c r="AS105" s="117"/>
      <c r="AT105" s="117"/>
      <c r="AU105" s="125"/>
      <c r="AV105" s="125"/>
      <c r="AW105" s="125"/>
      <c r="AX105" s="125"/>
      <c r="AY105" s="117"/>
      <c r="AZ105" s="117"/>
      <c r="BA105" s="117"/>
      <c r="BB105" s="117"/>
      <c r="BC105" s="117"/>
      <c r="BD105" s="117"/>
      <c r="BE105" s="117"/>
      <c r="BF105" s="117"/>
      <c r="BG105" s="117"/>
      <c r="BH105" s="117"/>
      <c r="BI105" s="117"/>
      <c r="BJ105" s="117"/>
      <c r="BK105" s="117"/>
      <c r="BL105" s="117"/>
      <c r="BM105" s="117"/>
      <c r="BN105" s="117"/>
      <c r="BO105" s="117"/>
      <c r="BP105" s="117"/>
      <c r="BQ105" s="117"/>
      <c r="BR105" s="117"/>
      <c r="BS105" s="117"/>
      <c r="BT105" s="117"/>
      <c r="BU105" s="117"/>
      <c r="BV105" s="117"/>
      <c r="BW105" s="117"/>
      <c r="BX105" s="117"/>
      <c r="BY105" s="531"/>
      <c r="BZ105" s="531"/>
      <c r="CA105" s="531"/>
      <c r="CB105" s="531"/>
      <c r="CC105" s="602"/>
    </row>
    <row r="106" spans="5:81" ht="18.75" hidden="1" x14ac:dyDescent="0.3">
      <c r="E106" s="117"/>
      <c r="F106" s="117"/>
      <c r="G106" s="117"/>
      <c r="H106" s="117"/>
      <c r="I106" s="117"/>
      <c r="J106" s="117"/>
      <c r="K106" s="117"/>
      <c r="L106" s="117"/>
      <c r="M106" s="117"/>
      <c r="N106" s="117"/>
      <c r="O106" s="117"/>
      <c r="P106" s="117">
        <v>223</v>
      </c>
      <c r="Q106" s="111">
        <f>[3]Санкционирование!AV49</f>
        <v>804094.59999999963</v>
      </c>
      <c r="R106" s="117"/>
      <c r="S106" s="117"/>
      <c r="T106" s="117"/>
      <c r="U106" s="111">
        <f t="shared" si="78"/>
        <v>804094.59999999963</v>
      </c>
      <c r="V106" s="117"/>
      <c r="W106" s="117"/>
      <c r="X106" s="117"/>
      <c r="Y106" s="117"/>
      <c r="Z106" s="117"/>
      <c r="AA106" s="880" t="s">
        <v>921</v>
      </c>
      <c r="AB106" s="111">
        <v>87456589.090000004</v>
      </c>
      <c r="AC106" s="117"/>
      <c r="AD106" s="117"/>
      <c r="AE106" s="117"/>
      <c r="AF106" s="117">
        <v>211</v>
      </c>
      <c r="AG106" s="117"/>
      <c r="AH106" s="111">
        <f>Q101</f>
        <v>12712935.3365745</v>
      </c>
      <c r="AI106" s="117"/>
      <c r="AJ106" s="117"/>
      <c r="AK106" s="117"/>
      <c r="AL106" s="111">
        <f>Q101</f>
        <v>12712935.3365745</v>
      </c>
      <c r="AM106" s="117"/>
      <c r="AN106" s="117"/>
      <c r="AO106" s="117"/>
      <c r="AP106" s="117"/>
      <c r="AQ106" s="117"/>
      <c r="AR106" s="117"/>
      <c r="AS106" s="117"/>
      <c r="AT106" s="117"/>
      <c r="AU106" s="125"/>
      <c r="AV106" s="125"/>
      <c r="AW106" s="125"/>
      <c r="AX106" s="125"/>
      <c r="AY106" s="117"/>
      <c r="AZ106" s="117"/>
      <c r="BA106" s="117"/>
      <c r="BB106" s="117"/>
      <c r="BC106" s="117"/>
      <c r="BD106" s="117"/>
      <c r="BE106" s="117"/>
      <c r="BF106" s="117"/>
      <c r="BG106" s="117"/>
      <c r="BH106" s="117"/>
      <c r="BI106" s="117"/>
      <c r="BJ106" s="117"/>
      <c r="BK106" s="117"/>
      <c r="BL106" s="117"/>
      <c r="BM106" s="117"/>
      <c r="BN106" s="117"/>
      <c r="BO106" s="117"/>
      <c r="BP106" s="117"/>
      <c r="BQ106" s="117"/>
      <c r="BR106" s="117"/>
      <c r="BS106" s="117"/>
      <c r="BT106" s="117"/>
      <c r="BU106" s="117"/>
      <c r="BV106" s="117"/>
      <c r="BW106" s="117"/>
      <c r="BX106" s="117"/>
      <c r="BY106" s="531"/>
      <c r="BZ106" s="531"/>
      <c r="CA106" s="531"/>
      <c r="CB106" s="531"/>
      <c r="CC106" s="602"/>
    </row>
    <row r="107" spans="5:81" ht="18.75" hidden="1" x14ac:dyDescent="0.3">
      <c r="E107" s="117"/>
      <c r="F107" s="117"/>
      <c r="G107" s="117"/>
      <c r="H107" s="117"/>
      <c r="I107" s="117"/>
      <c r="J107" s="117"/>
      <c r="K107" s="117"/>
      <c r="L107" s="117"/>
      <c r="M107" s="117"/>
      <c r="N107" s="117"/>
      <c r="O107" s="117"/>
      <c r="P107" s="117">
        <v>225</v>
      </c>
      <c r="Q107" s="111">
        <f>[3]Санкционирование!AV54</f>
        <v>9226.5200000004843</v>
      </c>
      <c r="R107" s="117"/>
      <c r="S107" s="117"/>
      <c r="T107" s="117"/>
      <c r="U107" s="111">
        <f t="shared" si="78"/>
        <v>9226.5200000004843</v>
      </c>
      <c r="V107" s="117"/>
      <c r="W107" s="117"/>
      <c r="X107" s="117"/>
      <c r="Y107" s="117"/>
      <c r="Z107" s="117"/>
      <c r="AA107" s="880" t="s">
        <v>923</v>
      </c>
      <c r="AB107" s="111">
        <v>5533016.0999999996</v>
      </c>
      <c r="AC107" s="117"/>
      <c r="AD107" s="117"/>
      <c r="AE107" s="117"/>
      <c r="AF107" s="117">
        <v>213</v>
      </c>
      <c r="AG107" s="117"/>
      <c r="AH107" s="111">
        <f>Q102</f>
        <v>4311035.7434254978</v>
      </c>
      <c r="AI107" s="117"/>
      <c r="AJ107" s="117"/>
      <c r="AK107" s="117"/>
      <c r="AL107" s="111">
        <f>Q102</f>
        <v>4311035.7434254978</v>
      </c>
      <c r="AM107" s="117"/>
      <c r="AN107" s="117"/>
      <c r="AO107" s="117"/>
      <c r="AP107" s="117"/>
      <c r="AQ107" s="117"/>
      <c r="AR107" s="117"/>
      <c r="AS107" s="117"/>
      <c r="AT107" s="117"/>
      <c r="AU107" s="125"/>
      <c r="AV107" s="125"/>
      <c r="AW107" s="125"/>
      <c r="AX107" s="125"/>
      <c r="AY107" s="117"/>
      <c r="AZ107" s="117"/>
      <c r="BA107" s="117"/>
      <c r="BB107" s="117"/>
      <c r="BC107" s="117"/>
      <c r="BD107" s="117"/>
      <c r="BE107" s="117"/>
      <c r="BF107" s="117"/>
      <c r="BG107" s="117"/>
      <c r="BH107" s="117"/>
      <c r="BI107" s="117"/>
      <c r="BJ107" s="117"/>
      <c r="BK107" s="117"/>
      <c r="BL107" s="117"/>
      <c r="BM107" s="117"/>
      <c r="BN107" s="117"/>
      <c r="BO107" s="117"/>
      <c r="BP107" s="117"/>
      <c r="BQ107" s="117"/>
      <c r="BR107" s="117"/>
      <c r="BS107" s="117"/>
      <c r="BT107" s="117"/>
      <c r="BU107" s="117"/>
      <c r="BV107" s="117"/>
      <c r="BW107" s="117"/>
      <c r="BX107" s="117"/>
      <c r="BY107" s="531"/>
      <c r="BZ107" s="531"/>
      <c r="CA107" s="531"/>
      <c r="CB107" s="531"/>
      <c r="CC107" s="602"/>
    </row>
    <row r="108" spans="5:81" ht="18.75" hidden="1" x14ac:dyDescent="0.3">
      <c r="E108" s="117"/>
      <c r="F108" s="117"/>
      <c r="G108" s="117"/>
      <c r="H108" s="117"/>
      <c r="I108" s="117"/>
      <c r="J108" s="117"/>
      <c r="K108" s="117"/>
      <c r="L108" s="117"/>
      <c r="M108" s="117"/>
      <c r="N108" s="117"/>
      <c r="O108" s="117"/>
      <c r="P108" s="117">
        <v>226</v>
      </c>
      <c r="Q108" s="111">
        <f>[3]Санкционирование!AV58</f>
        <v>213871.7200000002</v>
      </c>
      <c r="R108" s="117"/>
      <c r="S108" s="117"/>
      <c r="T108" s="117"/>
      <c r="U108" s="111">
        <f t="shared" si="78"/>
        <v>213871.7200000002</v>
      </c>
      <c r="V108" s="117"/>
      <c r="W108" s="117"/>
      <c r="X108" s="117"/>
      <c r="Y108" s="117"/>
      <c r="Z108" s="117"/>
      <c r="AA108" s="880"/>
      <c r="AB108" s="111"/>
      <c r="AC108" s="117"/>
      <c r="AD108" s="117"/>
      <c r="AE108" s="117"/>
      <c r="AF108" s="117">
        <v>212</v>
      </c>
      <c r="AG108" s="117"/>
      <c r="AH108" s="111">
        <f>Q103</f>
        <v>79091.530000000028</v>
      </c>
      <c r="AI108" s="117"/>
      <c r="AJ108" s="117"/>
      <c r="AK108" s="117"/>
      <c r="AL108" s="111">
        <f>Q103</f>
        <v>79091.530000000028</v>
      </c>
      <c r="AM108" s="117"/>
      <c r="AN108" s="117"/>
      <c r="AO108" s="117"/>
      <c r="AP108" s="117"/>
      <c r="AQ108" s="117"/>
      <c r="AR108" s="117"/>
      <c r="AS108" s="117"/>
      <c r="AT108" s="117"/>
      <c r="AU108" s="125"/>
      <c r="AV108" s="125"/>
      <c r="AW108" s="125"/>
      <c r="AX108" s="125"/>
      <c r="AY108" s="117"/>
      <c r="AZ108" s="117"/>
      <c r="BA108" s="117"/>
      <c r="BB108" s="117"/>
      <c r="BC108" s="117"/>
      <c r="BD108" s="117"/>
      <c r="BE108" s="117"/>
      <c r="BF108" s="117"/>
      <c r="BG108" s="117"/>
      <c r="BH108" s="117"/>
      <c r="BI108" s="117"/>
      <c r="BJ108" s="117"/>
      <c r="BK108" s="117"/>
      <c r="BL108" s="117"/>
      <c r="BM108" s="117"/>
      <c r="BN108" s="117"/>
      <c r="BO108" s="117"/>
      <c r="BP108" s="117"/>
      <c r="BQ108" s="117"/>
      <c r="BR108" s="117"/>
      <c r="BS108" s="117"/>
      <c r="BT108" s="117"/>
      <c r="BU108" s="117"/>
      <c r="BV108" s="117"/>
      <c r="BW108" s="117"/>
      <c r="BX108" s="117"/>
      <c r="BY108" s="531"/>
      <c r="BZ108" s="531"/>
      <c r="CA108" s="531"/>
      <c r="CB108" s="531"/>
      <c r="CC108" s="602"/>
    </row>
    <row r="109" spans="5:81" ht="18.75" hidden="1" x14ac:dyDescent="0.3">
      <c r="E109" s="117"/>
      <c r="F109" s="117"/>
      <c r="G109" s="117"/>
      <c r="H109" s="117"/>
      <c r="I109" s="117"/>
      <c r="J109" s="117"/>
      <c r="K109" s="117"/>
      <c r="L109" s="117"/>
      <c r="M109" s="117"/>
      <c r="N109" s="117"/>
      <c r="O109" s="117"/>
      <c r="P109" s="117">
        <v>290</v>
      </c>
      <c r="Q109" s="111">
        <f>[3]Санкционирование!AV60</f>
        <v>1034</v>
      </c>
      <c r="R109" s="117"/>
      <c r="S109" s="117"/>
      <c r="T109" s="117"/>
      <c r="U109" s="111">
        <f t="shared" si="78"/>
        <v>1034</v>
      </c>
      <c r="V109" s="117"/>
      <c r="W109" s="111">
        <v>3814919.6568</v>
      </c>
      <c r="X109" s="111"/>
      <c r="Y109" s="111"/>
      <c r="Z109" s="111"/>
      <c r="AA109" s="880"/>
      <c r="AB109" s="111"/>
      <c r="AC109" s="117"/>
      <c r="AD109" s="117"/>
      <c r="AE109" s="117"/>
      <c r="AF109" s="117"/>
      <c r="AG109" s="117"/>
      <c r="AH109" s="117"/>
      <c r="AI109" s="117"/>
      <c r="AJ109" s="117"/>
      <c r="AK109" s="117"/>
      <c r="AL109" s="117"/>
      <c r="AM109" s="117"/>
      <c r="AN109" s="117"/>
      <c r="AO109" s="117"/>
      <c r="AP109" s="117"/>
      <c r="AQ109" s="117"/>
      <c r="AR109" s="117"/>
      <c r="AS109" s="117"/>
      <c r="AT109" s="117"/>
      <c r="AU109" s="125"/>
      <c r="AV109" s="125"/>
      <c r="AW109" s="125"/>
      <c r="AX109" s="125"/>
      <c r="AY109" s="117"/>
      <c r="AZ109" s="117"/>
      <c r="BA109" s="117"/>
      <c r="BB109" s="117"/>
      <c r="BC109" s="117"/>
      <c r="BD109" s="117"/>
      <c r="BE109" s="117"/>
      <c r="BF109" s="117"/>
      <c r="BG109" s="117"/>
      <c r="BH109" s="117"/>
      <c r="BI109" s="117"/>
      <c r="BJ109" s="117"/>
      <c r="BK109" s="117"/>
      <c r="BL109" s="117"/>
      <c r="BM109" s="117"/>
      <c r="BN109" s="117"/>
      <c r="BO109" s="117"/>
      <c r="BP109" s="117"/>
      <c r="BQ109" s="117"/>
      <c r="BR109" s="117"/>
      <c r="BS109" s="117"/>
      <c r="BT109" s="117"/>
      <c r="BU109" s="117"/>
      <c r="BV109" s="117"/>
      <c r="BW109" s="117"/>
      <c r="BX109" s="117"/>
      <c r="BY109" s="531"/>
      <c r="BZ109" s="531"/>
      <c r="CA109" s="531"/>
      <c r="CB109" s="531"/>
      <c r="CC109" s="602"/>
    </row>
    <row r="110" spans="5:81" ht="18.75" hidden="1" x14ac:dyDescent="0.3">
      <c r="E110" s="117"/>
      <c r="F110" s="117"/>
      <c r="G110" s="117"/>
      <c r="H110" s="117"/>
      <c r="I110" s="117"/>
      <c r="J110" s="117"/>
      <c r="K110" s="117"/>
      <c r="L110" s="117"/>
      <c r="M110" s="117"/>
      <c r="N110" s="117"/>
      <c r="O110" s="117"/>
      <c r="P110" s="117">
        <v>310</v>
      </c>
      <c r="Q110" s="111">
        <f>[3]Санкционирование!AV62</f>
        <v>73247.479999999981</v>
      </c>
      <c r="R110" s="117"/>
      <c r="S110" s="117"/>
      <c r="T110" s="117"/>
      <c r="U110" s="111">
        <f t="shared" si="78"/>
        <v>73247.479999999981</v>
      </c>
      <c r="V110" s="117"/>
      <c r="W110" s="111">
        <f>W109+Q112+Q113+Q114</f>
        <v>5201006.3068000004</v>
      </c>
      <c r="X110" s="111"/>
      <c r="Y110" s="111"/>
      <c r="Z110" s="111"/>
      <c r="AA110" s="880"/>
      <c r="AB110" s="111"/>
      <c r="AC110" s="117"/>
      <c r="AD110" s="117"/>
      <c r="AE110" s="117"/>
      <c r="AF110" s="117"/>
      <c r="AG110" s="117"/>
      <c r="AH110" s="111">
        <f>AH101+AH102+AH103+AH107+AH106+AH108</f>
        <v>187885462.61477378</v>
      </c>
      <c r="AI110" s="117"/>
      <c r="AJ110" s="117"/>
      <c r="AK110" s="117"/>
      <c r="AL110" s="111">
        <f>AL101+AL102+AL106+AL107+AL108</f>
        <v>187885462.60999998</v>
      </c>
      <c r="AM110" s="117"/>
      <c r="AN110" s="117"/>
      <c r="AO110" s="137">
        <f>AH110-AL110</f>
        <v>4.7737956047058105E-3</v>
      </c>
      <c r="AP110" s="117"/>
      <c r="AQ110" s="117"/>
      <c r="AR110" s="117"/>
      <c r="AS110" s="117"/>
      <c r="AT110" s="117"/>
      <c r="AU110" s="125"/>
      <c r="AV110" s="125"/>
      <c r="AW110" s="125"/>
      <c r="AX110" s="125"/>
      <c r="AY110" s="117"/>
      <c r="AZ110" s="117"/>
      <c r="BA110" s="117"/>
      <c r="BB110" s="117"/>
      <c r="BC110" s="117"/>
      <c r="BD110" s="117"/>
      <c r="BE110" s="117"/>
      <c r="BF110" s="117"/>
      <c r="BG110" s="117"/>
      <c r="BH110" s="117"/>
      <c r="BI110" s="117"/>
      <c r="BJ110" s="117"/>
      <c r="BK110" s="117"/>
      <c r="BL110" s="117"/>
      <c r="BM110" s="117"/>
      <c r="BN110" s="117"/>
      <c r="BO110" s="117"/>
      <c r="BP110" s="117"/>
      <c r="BQ110" s="117"/>
      <c r="BR110" s="117"/>
      <c r="BS110" s="117"/>
      <c r="BT110" s="117"/>
      <c r="BU110" s="117"/>
      <c r="BV110" s="117"/>
      <c r="BW110" s="117"/>
      <c r="BX110" s="117"/>
      <c r="BY110" s="531"/>
      <c r="BZ110" s="531"/>
      <c r="CA110" s="531"/>
      <c r="CB110" s="531"/>
      <c r="CC110" s="602"/>
    </row>
    <row r="111" spans="5:81" ht="18.75" hidden="1" x14ac:dyDescent="0.3">
      <c r="E111" s="117"/>
      <c r="F111" s="117"/>
      <c r="G111" s="117"/>
      <c r="H111" s="117"/>
      <c r="I111" s="117"/>
      <c r="J111" s="117"/>
      <c r="K111" s="117"/>
      <c r="L111" s="117"/>
      <c r="M111" s="117"/>
      <c r="N111" s="117"/>
      <c r="O111" s="117"/>
      <c r="P111" s="117">
        <v>340</v>
      </c>
      <c r="Q111" s="111">
        <f>[3]Санкционирование!AV65</f>
        <v>1096574.299999997</v>
      </c>
      <c r="R111" s="117"/>
      <c r="S111" s="117"/>
      <c r="T111" s="117"/>
      <c r="U111" s="111">
        <f t="shared" si="78"/>
        <v>1096574.299999997</v>
      </c>
      <c r="V111" s="117"/>
      <c r="W111" s="117"/>
      <c r="X111" s="117"/>
      <c r="Y111" s="117"/>
      <c r="Z111" s="117"/>
      <c r="AA111" s="880"/>
      <c r="AB111" s="111"/>
      <c r="AC111" s="117"/>
      <c r="AD111" s="117"/>
      <c r="AE111" s="117"/>
      <c r="AF111" s="117"/>
      <c r="AG111" s="117"/>
      <c r="AH111" s="117"/>
      <c r="AI111" s="117"/>
      <c r="AJ111" s="117"/>
      <c r="AK111" s="117"/>
      <c r="AL111" s="117"/>
      <c r="AM111" s="117"/>
      <c r="AN111" s="117"/>
      <c r="AO111" s="117"/>
      <c r="AP111" s="117"/>
      <c r="AQ111" s="117"/>
      <c r="AR111" s="117"/>
      <c r="AS111" s="117"/>
      <c r="AT111" s="117"/>
      <c r="AU111" s="125"/>
      <c r="AV111" s="125"/>
      <c r="AW111" s="125"/>
      <c r="AX111" s="125"/>
      <c r="AY111" s="117"/>
      <c r="AZ111" s="117"/>
      <c r="BA111" s="117"/>
      <c r="BB111" s="117"/>
      <c r="BC111" s="117"/>
      <c r="BD111" s="117"/>
      <c r="BE111" s="117"/>
      <c r="BF111" s="117"/>
      <c r="BG111" s="117"/>
      <c r="BH111" s="117"/>
      <c r="BI111" s="117"/>
      <c r="BJ111" s="117"/>
      <c r="BK111" s="117"/>
      <c r="BL111" s="117"/>
      <c r="BM111" s="117"/>
      <c r="BN111" s="117"/>
      <c r="BO111" s="117"/>
      <c r="BP111" s="117"/>
      <c r="BQ111" s="117"/>
      <c r="BR111" s="117"/>
      <c r="BS111" s="117"/>
      <c r="BT111" s="117"/>
      <c r="BU111" s="117"/>
      <c r="BV111" s="117"/>
      <c r="BW111" s="117"/>
      <c r="BX111" s="117"/>
      <c r="BY111" s="531"/>
      <c r="BZ111" s="531"/>
      <c r="CA111" s="531"/>
      <c r="CB111" s="531"/>
      <c r="CC111" s="602"/>
    </row>
    <row r="112" spans="5:81" ht="18.75" hidden="1" x14ac:dyDescent="0.3">
      <c r="E112" s="117"/>
      <c r="F112" s="117"/>
      <c r="G112" s="117"/>
      <c r="H112" s="117"/>
      <c r="I112" s="117"/>
      <c r="J112" s="117"/>
      <c r="K112" s="117"/>
      <c r="L112" s="117"/>
      <c r="M112" s="117"/>
      <c r="N112" s="117"/>
      <c r="O112" s="117"/>
      <c r="P112" s="117">
        <v>851</v>
      </c>
      <c r="Q112" s="111">
        <f>[3]Санкционирование!AV37</f>
        <v>1075176.6200000001</v>
      </c>
      <c r="R112" s="117"/>
      <c r="S112" s="117"/>
      <c r="T112" s="117"/>
      <c r="U112" s="111">
        <f t="shared" si="78"/>
        <v>1075176.6200000001</v>
      </c>
      <c r="V112" s="117"/>
      <c r="W112" s="117"/>
      <c r="X112" s="117"/>
      <c r="Y112" s="117"/>
      <c r="Z112" s="117"/>
      <c r="AA112" s="880"/>
      <c r="AB112" s="111">
        <f>AB76-AC76</f>
        <v>0</v>
      </c>
      <c r="AC112" s="117"/>
      <c r="AD112" s="117"/>
      <c r="AE112" s="117"/>
      <c r="AF112" s="117"/>
      <c r="AG112" s="117"/>
      <c r="AH112" s="117"/>
      <c r="AI112" s="117"/>
      <c r="AJ112" s="117"/>
      <c r="AK112" s="117"/>
      <c r="AL112" s="117"/>
      <c r="AM112" s="117"/>
      <c r="AN112" s="117"/>
      <c r="AO112" s="117"/>
      <c r="AP112" s="117"/>
      <c r="AQ112" s="117"/>
      <c r="AR112" s="117"/>
      <c r="AS112" s="117"/>
      <c r="AT112" s="117"/>
      <c r="AU112" s="125"/>
      <c r="AV112" s="125"/>
      <c r="AW112" s="125"/>
      <c r="AX112" s="125"/>
      <c r="AY112" s="117"/>
      <c r="AZ112" s="117"/>
      <c r="BA112" s="117"/>
      <c r="BB112" s="117"/>
      <c r="BC112" s="117"/>
      <c r="BD112" s="117"/>
      <c r="BE112" s="117"/>
      <c r="BF112" s="117"/>
      <c r="BG112" s="117"/>
      <c r="BH112" s="117"/>
      <c r="BI112" s="117"/>
      <c r="BJ112" s="117"/>
      <c r="BK112" s="117"/>
      <c r="BL112" s="117"/>
      <c r="BM112" s="117"/>
      <c r="BN112" s="117"/>
      <c r="BO112" s="117"/>
      <c r="BP112" s="117"/>
      <c r="BQ112" s="117"/>
      <c r="BR112" s="117"/>
      <c r="BS112" s="117"/>
      <c r="BT112" s="117"/>
      <c r="BU112" s="117"/>
      <c r="BV112" s="117"/>
      <c r="BW112" s="117"/>
      <c r="BX112" s="117"/>
      <c r="BY112" s="531"/>
      <c r="BZ112" s="531"/>
      <c r="CA112" s="531"/>
      <c r="CB112" s="531"/>
      <c r="CC112" s="602"/>
    </row>
    <row r="113" spans="7:45" hidden="1" x14ac:dyDescent="0.25">
      <c r="G113" s="117"/>
      <c r="H113" s="117"/>
      <c r="I113" s="117"/>
      <c r="J113" s="117"/>
      <c r="K113" s="117"/>
      <c r="L113" s="117"/>
      <c r="M113" s="117"/>
      <c r="N113" s="117"/>
      <c r="O113" s="117"/>
      <c r="P113" s="117">
        <v>852</v>
      </c>
      <c r="Q113" s="111">
        <f>[3]Санкционирование!AV38</f>
        <v>209267.46000000002</v>
      </c>
      <c r="R113" s="117"/>
      <c r="S113" s="117"/>
      <c r="T113" s="117"/>
      <c r="U113" s="111">
        <f t="shared" si="78"/>
        <v>209267.46000000002</v>
      </c>
      <c r="V113" s="117"/>
      <c r="W113" s="117"/>
      <c r="X113" s="117"/>
      <c r="Y113" s="117"/>
      <c r="Z113" s="117"/>
      <c r="AA113" s="880"/>
      <c r="AB113" s="111"/>
      <c r="AC113" s="117"/>
      <c r="AD113" s="117"/>
      <c r="AE113" s="117"/>
      <c r="AF113" s="117"/>
      <c r="AG113" s="117"/>
      <c r="AH113" s="117"/>
      <c r="AI113" s="117"/>
      <c r="AJ113" s="117"/>
      <c r="AK113" s="117"/>
      <c r="AL113" s="117"/>
      <c r="AM113" s="117"/>
      <c r="AN113" s="117"/>
      <c r="AO113" s="117"/>
      <c r="AP113" s="117"/>
      <c r="AQ113" s="117"/>
      <c r="AR113" s="117"/>
      <c r="AS113" s="117"/>
    </row>
    <row r="114" spans="7:45" hidden="1" x14ac:dyDescent="0.25">
      <c r="G114" s="117"/>
      <c r="H114" s="117"/>
      <c r="I114" s="117"/>
      <c r="J114" s="117"/>
      <c r="K114" s="117"/>
      <c r="L114" s="117"/>
      <c r="M114" s="117"/>
      <c r="N114" s="117"/>
      <c r="O114" s="117"/>
      <c r="P114" s="117">
        <v>853</v>
      </c>
      <c r="Q114" s="111">
        <f>[3]Санкционирование!AV39</f>
        <v>101642.56999999999</v>
      </c>
      <c r="R114" s="117"/>
      <c r="S114" s="117"/>
      <c r="T114" s="117"/>
      <c r="U114" s="111">
        <f t="shared" si="78"/>
        <v>101642.56999999999</v>
      </c>
      <c r="V114" s="117"/>
      <c r="W114" s="117"/>
      <c r="X114" s="117"/>
      <c r="Y114" s="117"/>
      <c r="Z114" s="117"/>
      <c r="AA114" s="880"/>
      <c r="AB114" s="111"/>
      <c r="AC114" s="117"/>
      <c r="AD114" s="117"/>
      <c r="AE114" s="111">
        <f>1216891000.01-AF12</f>
        <v>1216891000.01</v>
      </c>
      <c r="AF114" s="117"/>
      <c r="AG114" s="117"/>
      <c r="AH114" s="117"/>
      <c r="AI114" s="117"/>
      <c r="AJ114" s="117"/>
      <c r="AK114" s="117"/>
      <c r="AL114" s="117"/>
      <c r="AM114" s="117"/>
      <c r="AN114" s="117"/>
      <c r="AO114" s="117"/>
      <c r="AP114" s="117"/>
      <c r="AQ114" s="117"/>
      <c r="AR114" s="117"/>
      <c r="AS114" s="117"/>
    </row>
    <row r="115" spans="7:45" hidden="1" x14ac:dyDescent="0.25">
      <c r="G115" s="117"/>
      <c r="H115" s="117"/>
      <c r="I115" s="117"/>
      <c r="J115" s="117"/>
      <c r="K115" s="117"/>
      <c r="L115" s="117"/>
      <c r="M115" s="117"/>
      <c r="N115" s="117"/>
      <c r="O115" s="117"/>
      <c r="P115" s="880" t="s">
        <v>293</v>
      </c>
      <c r="Q115" s="111">
        <f>SUM(Q101:Q114)</f>
        <v>21072590.98</v>
      </c>
      <c r="R115" s="117"/>
      <c r="S115" s="117"/>
      <c r="T115" s="117"/>
      <c r="U115" s="111">
        <f>SUM(U101:U114)</f>
        <v>4548450.4734254964</v>
      </c>
      <c r="V115" s="117"/>
      <c r="W115" s="117"/>
      <c r="X115" s="117"/>
      <c r="Y115" s="117"/>
      <c r="Z115" s="117"/>
      <c r="AA115" s="880"/>
      <c r="AB115" s="111"/>
      <c r="AC115" s="117"/>
      <c r="AD115" s="117"/>
      <c r="AE115" s="117"/>
      <c r="AF115" s="117"/>
      <c r="AG115" s="117"/>
      <c r="AH115" s="117"/>
      <c r="AI115" s="117"/>
      <c r="AJ115" s="117"/>
      <c r="AK115" s="117"/>
      <c r="AL115" s="117"/>
      <c r="AM115" s="117"/>
      <c r="AN115" s="117"/>
      <c r="AO115" s="117"/>
      <c r="AP115" s="117"/>
      <c r="AQ115" s="117"/>
      <c r="AR115" s="117"/>
      <c r="AS115" s="117"/>
    </row>
    <row r="116" spans="7:45" hidden="1" x14ac:dyDescent="0.25">
      <c r="G116" s="117"/>
      <c r="H116" s="117"/>
      <c r="I116" s="117"/>
      <c r="J116" s="117"/>
      <c r="K116" s="117"/>
      <c r="L116" s="117"/>
      <c r="M116" s="117"/>
      <c r="N116" s="117"/>
      <c r="O116" s="117"/>
      <c r="P116" s="117"/>
      <c r="Q116" s="111" t="b">
        <f>Q115=[3]Санкционирование!AV22</f>
        <v>1</v>
      </c>
      <c r="R116" s="117"/>
      <c r="S116" s="117"/>
      <c r="T116" s="117"/>
      <c r="U116" s="117"/>
      <c r="V116" s="117"/>
      <c r="W116" s="117"/>
      <c r="X116" s="117"/>
      <c r="Y116" s="117"/>
      <c r="Z116" s="117"/>
      <c r="AA116" s="880"/>
      <c r="AB116" s="117"/>
      <c r="AC116" s="117"/>
      <c r="AD116" s="117"/>
      <c r="AE116" s="117"/>
      <c r="AF116" s="117"/>
      <c r="AG116" s="117"/>
      <c r="AH116" s="117"/>
      <c r="AI116" s="117"/>
      <c r="AJ116" s="117"/>
      <c r="AK116" s="117"/>
      <c r="AL116" s="117"/>
      <c r="AM116" s="117"/>
      <c r="AN116" s="117"/>
      <c r="AO116" s="117"/>
      <c r="AP116" s="117"/>
      <c r="AQ116" s="117"/>
      <c r="AR116" s="117"/>
      <c r="AS116" s="117"/>
    </row>
    <row r="117" spans="7:45" hidden="1" x14ac:dyDescent="0.25">
      <c r="G117" s="117"/>
      <c r="H117" s="117"/>
      <c r="I117" s="117"/>
      <c r="J117" s="117"/>
      <c r="K117" s="117"/>
      <c r="L117" s="117"/>
      <c r="M117" s="117"/>
      <c r="N117" s="117"/>
      <c r="O117" s="117"/>
      <c r="P117" s="117"/>
      <c r="Q117" s="111">
        <f>'[2]декабрь 2018'!$M$39</f>
        <v>21072590.979999892</v>
      </c>
      <c r="R117" s="117"/>
      <c r="S117" s="117"/>
      <c r="T117" s="117"/>
      <c r="U117" s="117"/>
      <c r="V117" s="117"/>
      <c r="W117" s="117"/>
      <c r="X117" s="117"/>
      <c r="Y117" s="117"/>
      <c r="Z117" s="117"/>
      <c r="AA117" s="880"/>
      <c r="AB117" s="117"/>
      <c r="AC117" s="117"/>
      <c r="AD117" s="117"/>
      <c r="AE117" s="117"/>
      <c r="AF117" s="117"/>
      <c r="AG117" s="117"/>
      <c r="AH117" s="117"/>
      <c r="AI117" s="117"/>
      <c r="AJ117" s="117"/>
      <c r="AK117" s="117"/>
      <c r="AL117" s="117"/>
      <c r="AM117" s="117"/>
      <c r="AN117" s="117"/>
      <c r="AO117" s="117"/>
      <c r="AP117" s="117"/>
      <c r="AQ117" s="117"/>
      <c r="AR117" s="117"/>
      <c r="AS117" s="117"/>
    </row>
    <row r="118" spans="7:45" hidden="1" x14ac:dyDescent="0.25">
      <c r="G118" s="117"/>
      <c r="H118" s="117"/>
      <c r="I118" s="117"/>
      <c r="J118" s="117"/>
      <c r="K118" s="117"/>
      <c r="L118" s="117"/>
      <c r="M118" s="117"/>
      <c r="N118" s="117"/>
      <c r="O118" s="117"/>
      <c r="P118" s="117"/>
      <c r="Q118" s="111">
        <f>H76-Q115</f>
        <v>-2244669.8409744911</v>
      </c>
      <c r="R118" s="117"/>
      <c r="S118" s="117"/>
      <c r="T118" s="117"/>
      <c r="U118" s="117"/>
      <c r="V118" s="117"/>
      <c r="W118" s="117"/>
      <c r="X118" s="117"/>
      <c r="Y118" s="117"/>
      <c r="Z118" s="117"/>
      <c r="AA118" s="880"/>
      <c r="AB118" s="117"/>
      <c r="AC118" s="117"/>
      <c r="AD118" s="117"/>
      <c r="AE118" s="117"/>
      <c r="AF118" s="117"/>
      <c r="AG118" s="117"/>
      <c r="AH118" s="117"/>
      <c r="AI118" s="117"/>
      <c r="AJ118" s="117"/>
      <c r="AK118" s="117"/>
      <c r="AL118" s="117"/>
      <c r="AM118" s="117"/>
      <c r="AN118" s="117"/>
      <c r="AO118" s="117"/>
      <c r="AP118" s="117"/>
      <c r="AQ118" s="117"/>
      <c r="AR118" s="117"/>
      <c r="AS118" s="117"/>
    </row>
    <row r="119" spans="7:45" hidden="1" x14ac:dyDescent="0.25">
      <c r="G119" s="117"/>
      <c r="H119" s="117"/>
      <c r="I119" s="117"/>
      <c r="J119" s="117"/>
      <c r="K119" s="117"/>
      <c r="L119" s="117"/>
      <c r="M119" s="117"/>
      <c r="N119" s="117"/>
      <c r="O119" s="117"/>
      <c r="P119" s="117"/>
      <c r="Q119" s="117"/>
      <c r="R119" s="117"/>
      <c r="S119" s="117"/>
      <c r="T119" s="117"/>
      <c r="U119" s="117"/>
      <c r="V119" s="117"/>
      <c r="W119" s="117"/>
      <c r="X119" s="117"/>
      <c r="Y119" s="117"/>
      <c r="Z119" s="117"/>
      <c r="AA119" s="117"/>
      <c r="AB119" s="117"/>
      <c r="AC119" s="117"/>
      <c r="AD119" s="117"/>
      <c r="AE119" s="117"/>
      <c r="AF119" s="117"/>
      <c r="AG119" s="117"/>
      <c r="AH119" s="117"/>
      <c r="AI119" s="117"/>
      <c r="AJ119" s="117"/>
      <c r="AK119" s="117"/>
      <c r="AL119" s="117"/>
      <c r="AM119" s="117"/>
      <c r="AN119" s="117"/>
      <c r="AO119" s="117"/>
      <c r="AP119" s="117"/>
      <c r="AQ119" s="117"/>
      <c r="AR119" s="117"/>
      <c r="AS119" s="117"/>
    </row>
    <row r="120" spans="7:45" hidden="1" x14ac:dyDescent="0.25">
      <c r="G120" s="117"/>
      <c r="H120" s="117"/>
      <c r="I120" s="117"/>
      <c r="J120" s="117"/>
      <c r="K120" s="117"/>
      <c r="L120" s="117"/>
      <c r="M120" s="117"/>
      <c r="N120" s="117"/>
      <c r="O120" s="117"/>
      <c r="P120" s="117"/>
      <c r="Q120" s="117"/>
      <c r="R120" s="117"/>
      <c r="S120" s="117"/>
      <c r="T120" s="117"/>
      <c r="U120" s="117"/>
      <c r="V120" s="117"/>
      <c r="W120" s="117"/>
      <c r="X120" s="117"/>
      <c r="Y120" s="117"/>
      <c r="Z120" s="117"/>
      <c r="AA120" s="117"/>
      <c r="AB120" s="117"/>
      <c r="AC120" s="117"/>
      <c r="AD120" s="117"/>
      <c r="AE120" s="117"/>
      <c r="AF120" s="117"/>
      <c r="AG120" s="117"/>
      <c r="AH120" s="117"/>
      <c r="AI120" s="117"/>
      <c r="AJ120" s="117"/>
      <c r="AK120" s="117"/>
      <c r="AL120" s="117"/>
      <c r="AM120" s="117"/>
      <c r="AN120" s="117"/>
      <c r="AO120" s="117"/>
      <c r="AP120" s="117"/>
      <c r="AQ120" s="117"/>
      <c r="AR120" s="117"/>
      <c r="AS120" s="117"/>
    </row>
    <row r="121" spans="7:45" hidden="1" x14ac:dyDescent="0.25">
      <c r="G121" s="117"/>
      <c r="H121" s="117"/>
      <c r="I121" s="117"/>
      <c r="J121" s="117"/>
      <c r="K121" s="117"/>
      <c r="L121" s="117"/>
      <c r="M121" s="117"/>
      <c r="N121" s="117"/>
      <c r="O121" s="117"/>
      <c r="P121" s="117"/>
      <c r="Q121" s="117"/>
      <c r="R121" s="117"/>
      <c r="S121" s="117"/>
      <c r="T121" s="117"/>
      <c r="U121" s="117"/>
      <c r="V121" s="117"/>
      <c r="W121" s="117"/>
      <c r="X121" s="117"/>
      <c r="Y121" s="117"/>
      <c r="Z121" s="117"/>
      <c r="AA121" s="117"/>
      <c r="AB121" s="117"/>
      <c r="AC121" s="117"/>
      <c r="AD121" s="117"/>
      <c r="AE121" s="117"/>
      <c r="AF121" s="117"/>
      <c r="AG121" s="117"/>
      <c r="AH121" s="117"/>
      <c r="AI121" s="117"/>
      <c r="AJ121" s="117"/>
      <c r="AK121" s="117"/>
      <c r="AL121" s="117"/>
      <c r="AM121" s="117"/>
      <c r="AN121" s="117"/>
      <c r="AO121" s="117"/>
      <c r="AP121" s="117"/>
      <c r="AQ121" s="117"/>
      <c r="AR121" s="117"/>
      <c r="AS121" s="117"/>
    </row>
    <row r="122" spans="7:45" hidden="1" x14ac:dyDescent="0.25">
      <c r="G122" s="117"/>
      <c r="H122" s="117"/>
      <c r="I122" s="117"/>
      <c r="J122" s="117"/>
      <c r="K122" s="117"/>
      <c r="L122" s="117"/>
      <c r="M122" s="117"/>
      <c r="N122" s="117"/>
      <c r="O122" s="117"/>
      <c r="P122" s="117"/>
      <c r="Q122" s="117"/>
      <c r="R122" s="117"/>
      <c r="S122" s="117"/>
      <c r="T122" s="117"/>
      <c r="U122" s="117"/>
      <c r="V122" s="117"/>
      <c r="W122" s="117"/>
      <c r="X122" s="117"/>
      <c r="Y122" s="117"/>
      <c r="Z122" s="117"/>
      <c r="AA122" s="117"/>
      <c r="AB122" s="117"/>
      <c r="AC122" s="117"/>
      <c r="AD122" s="117"/>
      <c r="AE122" s="117"/>
      <c r="AF122" s="117"/>
      <c r="AG122" s="117"/>
      <c r="AH122" s="117"/>
      <c r="AI122" s="117"/>
      <c r="AJ122" s="117"/>
      <c r="AK122" s="117"/>
      <c r="AL122" s="117"/>
      <c r="AM122" s="117"/>
      <c r="AN122" s="117"/>
      <c r="AO122" s="117"/>
      <c r="AP122" s="117"/>
      <c r="AQ122" s="117"/>
      <c r="AR122" s="117"/>
      <c r="AS122" s="117"/>
    </row>
    <row r="123" spans="7:45" hidden="1" x14ac:dyDescent="0.25">
      <c r="G123" s="117"/>
      <c r="H123" s="117"/>
      <c r="I123" s="117"/>
      <c r="J123" s="117"/>
      <c r="K123" s="117"/>
      <c r="L123" s="117"/>
      <c r="M123" s="117"/>
      <c r="N123" s="117"/>
      <c r="O123" s="117"/>
      <c r="P123" s="117"/>
      <c r="Q123" s="117"/>
      <c r="R123" s="117"/>
      <c r="S123" s="117"/>
      <c r="T123" s="117"/>
      <c r="U123" s="117"/>
      <c r="V123" s="117"/>
      <c r="W123" s="117"/>
      <c r="X123" s="117"/>
      <c r="Y123" s="117"/>
      <c r="Z123" s="117"/>
      <c r="AA123" s="117"/>
      <c r="AB123" s="117"/>
      <c r="AC123" s="117"/>
      <c r="AD123" s="117"/>
      <c r="AE123" s="117"/>
      <c r="AF123" s="117"/>
      <c r="AG123" s="117"/>
      <c r="AH123" s="117"/>
      <c r="AI123" s="117"/>
      <c r="AJ123" s="117"/>
      <c r="AK123" s="117"/>
      <c r="AL123" s="117"/>
      <c r="AM123" s="117"/>
      <c r="AN123" s="117"/>
      <c r="AO123" s="117"/>
      <c r="AP123" s="117"/>
      <c r="AQ123" s="117"/>
      <c r="AR123" s="117"/>
      <c r="AS123" s="117"/>
    </row>
    <row r="124" spans="7:45" hidden="1" x14ac:dyDescent="0.25">
      <c r="G124" s="155"/>
      <c r="H124" s="155"/>
      <c r="I124" s="155"/>
      <c r="J124" s="155"/>
      <c r="K124" s="155"/>
      <c r="L124" s="155"/>
      <c r="M124" s="155"/>
      <c r="N124" s="155"/>
      <c r="O124" s="155"/>
      <c r="P124" s="155"/>
      <c r="Q124" s="155"/>
      <c r="R124" s="155"/>
      <c r="S124" s="155"/>
      <c r="T124" s="155"/>
      <c r="U124" s="155"/>
      <c r="V124" s="155"/>
      <c r="W124" s="155"/>
      <c r="X124" s="155"/>
      <c r="Y124" s="155"/>
      <c r="Z124" s="155"/>
      <c r="AA124" s="152"/>
      <c r="AB124" s="152"/>
      <c r="AC124" s="152"/>
      <c r="AD124" s="152"/>
      <c r="AE124" s="152"/>
      <c r="AF124" s="152"/>
      <c r="AG124" s="152"/>
      <c r="AH124" s="152"/>
      <c r="AI124" s="152"/>
      <c r="AJ124" s="152"/>
      <c r="AK124" s="152"/>
      <c r="AL124" s="152"/>
      <c r="AM124" s="152"/>
      <c r="AN124" s="152"/>
      <c r="AO124" s="152"/>
      <c r="AP124" s="152"/>
      <c r="AQ124" s="152"/>
      <c r="AR124" s="152"/>
      <c r="AS124" s="152"/>
    </row>
    <row r="125" spans="7:45" hidden="1" x14ac:dyDescent="0.25">
      <c r="G125" s="155"/>
      <c r="H125" s="1250">
        <f>G76+H12</f>
        <v>328138690.97541481</v>
      </c>
      <c r="I125" s="155"/>
      <c r="J125" s="155"/>
      <c r="K125" s="155"/>
      <c r="L125" s="155"/>
      <c r="M125" s="155"/>
      <c r="N125" s="155"/>
      <c r="O125" s="155"/>
      <c r="P125" s="155"/>
      <c r="Q125" s="155"/>
      <c r="R125" s="155"/>
      <c r="S125" s="155"/>
      <c r="T125" s="155"/>
      <c r="U125" s="155"/>
      <c r="V125" s="155"/>
      <c r="W125" s="155"/>
      <c r="X125" s="155"/>
      <c r="Y125" s="155"/>
      <c r="Z125" s="155"/>
      <c r="AA125" s="152"/>
      <c r="AB125" s="152"/>
      <c r="AC125" s="152"/>
      <c r="AD125" s="152"/>
      <c r="AE125" s="152"/>
      <c r="AF125" s="152"/>
      <c r="AG125" s="152"/>
      <c r="AH125" s="152"/>
      <c r="AI125" s="152"/>
      <c r="AJ125" s="152"/>
      <c r="AK125" s="152"/>
      <c r="AL125" s="152"/>
      <c r="AM125" s="152"/>
      <c r="AN125" s="152"/>
      <c r="AO125" s="152"/>
      <c r="AP125" s="152"/>
      <c r="AQ125" s="152"/>
      <c r="AR125" s="152"/>
      <c r="AS125" s="152"/>
    </row>
    <row r="126" spans="7:45" hidden="1" x14ac:dyDescent="0.25">
      <c r="G126" s="155"/>
      <c r="H126" s="155"/>
      <c r="I126" s="155"/>
      <c r="J126" s="155"/>
      <c r="K126" s="155"/>
      <c r="L126" s="155"/>
      <c r="M126" s="155"/>
      <c r="N126" s="155"/>
      <c r="O126" s="155"/>
      <c r="P126" s="155"/>
      <c r="Q126" s="155"/>
      <c r="R126" s="155"/>
      <c r="S126" s="155"/>
      <c r="T126" s="155"/>
      <c r="U126" s="155"/>
      <c r="V126" s="155"/>
      <c r="W126" s="155"/>
      <c r="X126" s="155"/>
      <c r="Y126" s="155"/>
      <c r="Z126" s="155"/>
      <c r="AA126" s="152"/>
      <c r="AB126" s="152"/>
      <c r="AC126" s="152"/>
      <c r="AD126" s="152"/>
      <c r="AE126" s="152"/>
      <c r="AF126" s="152"/>
      <c r="AG126" s="152"/>
      <c r="AH126" s="152"/>
      <c r="AI126" s="152"/>
      <c r="AJ126" s="152"/>
      <c r="AK126" s="152"/>
      <c r="AL126" s="152"/>
      <c r="AM126" s="152"/>
      <c r="AN126" s="152"/>
      <c r="AO126" s="152"/>
      <c r="AP126" s="152"/>
      <c r="AQ126" s="152"/>
      <c r="AR126" s="152"/>
      <c r="AS126" s="152"/>
    </row>
    <row r="127" spans="7:45" hidden="1" x14ac:dyDescent="0.25">
      <c r="G127" s="155"/>
      <c r="H127" s="155"/>
      <c r="I127" s="155"/>
      <c r="J127" s="1250">
        <v>16524140.510000005</v>
      </c>
      <c r="K127" s="155">
        <v>12691352.16</v>
      </c>
      <c r="L127" s="155">
        <f>K127*0.302</f>
        <v>3832788.3523200001</v>
      </c>
      <c r="M127" s="155"/>
      <c r="N127" s="155"/>
      <c r="O127" s="155"/>
      <c r="P127" s="155">
        <f>K127+L127</f>
        <v>16524140.512320001</v>
      </c>
      <c r="Q127" s="155"/>
      <c r="R127" s="155"/>
      <c r="S127" s="155"/>
      <c r="T127" s="155"/>
      <c r="U127" s="155"/>
      <c r="V127" s="155"/>
      <c r="W127" s="155"/>
      <c r="X127" s="155"/>
      <c r="Y127" s="155"/>
      <c r="Z127" s="155"/>
      <c r="AA127" s="152"/>
      <c r="AB127" s="152"/>
      <c r="AC127" s="152"/>
      <c r="AD127" s="152"/>
      <c r="AE127" s="152"/>
      <c r="AF127" s="152"/>
      <c r="AG127" s="152"/>
      <c r="AH127" s="152"/>
      <c r="AI127" s="152"/>
      <c r="AJ127" s="152"/>
      <c r="AK127" s="152"/>
      <c r="AL127" s="152"/>
      <c r="AM127" s="152"/>
      <c r="AN127" s="152"/>
      <c r="AO127" s="152"/>
      <c r="AP127" s="152"/>
      <c r="AQ127" s="152"/>
      <c r="AR127" s="152"/>
      <c r="AS127" s="152"/>
    </row>
    <row r="128" spans="7:45" hidden="1" x14ac:dyDescent="0.25">
      <c r="G128" s="155"/>
      <c r="H128" s="155"/>
      <c r="I128" s="155"/>
      <c r="J128" s="1250">
        <f>J127-J129</f>
        <v>11533850.075980004</v>
      </c>
      <c r="K128" s="155">
        <f>J128*1.302</f>
        <v>15017072.798925966</v>
      </c>
      <c r="L128" s="155"/>
      <c r="M128" s="155"/>
      <c r="N128" s="155"/>
      <c r="O128" s="155"/>
      <c r="P128" s="155"/>
      <c r="Q128" s="155"/>
      <c r="R128" s="155"/>
      <c r="S128" s="155"/>
      <c r="T128" s="155"/>
      <c r="U128" s="155"/>
      <c r="V128" s="155"/>
      <c r="W128" s="155"/>
      <c r="X128" s="155"/>
      <c r="Y128" s="155"/>
      <c r="Z128" s="155"/>
      <c r="AA128" s="152"/>
      <c r="AB128" s="152"/>
      <c r="AC128" s="152"/>
      <c r="AD128" s="152"/>
      <c r="AE128" s="152"/>
      <c r="AF128" s="152"/>
      <c r="AG128" s="152"/>
      <c r="AH128" s="152"/>
      <c r="AI128" s="152"/>
      <c r="AJ128" s="152"/>
      <c r="AK128" s="152"/>
      <c r="AL128" s="152"/>
      <c r="AM128" s="152"/>
      <c r="AN128" s="152"/>
      <c r="AO128" s="152"/>
      <c r="AP128" s="152"/>
      <c r="AQ128" s="152"/>
      <c r="AR128" s="152"/>
      <c r="AS128" s="152"/>
    </row>
    <row r="129" spans="10:10" hidden="1" x14ac:dyDescent="0.25">
      <c r="J129" s="155">
        <f>J127*0.302</f>
        <v>4990290.4340200014</v>
      </c>
    </row>
    <row r="130" spans="10:10" hidden="1" x14ac:dyDescent="0.25">
      <c r="J130" s="155"/>
    </row>
    <row r="131" spans="10:10" hidden="1" x14ac:dyDescent="0.25">
      <c r="J131" s="155"/>
    </row>
    <row r="132" spans="10:10" hidden="1" x14ac:dyDescent="0.25">
      <c r="J132" s="155"/>
    </row>
    <row r="133" spans="10:10" hidden="1" x14ac:dyDescent="0.25">
      <c r="J133" s="155"/>
    </row>
    <row r="134" spans="10:10" hidden="1" x14ac:dyDescent="0.25">
      <c r="J134" s="155"/>
    </row>
    <row r="135" spans="10:10" hidden="1" x14ac:dyDescent="0.25">
      <c r="J135" s="155"/>
    </row>
    <row r="136" spans="10:10" hidden="1" x14ac:dyDescent="0.25">
      <c r="J136" s="155"/>
    </row>
    <row r="137" spans="10:10" hidden="1" x14ac:dyDescent="0.25">
      <c r="J137" s="155"/>
    </row>
    <row r="138" spans="10:10" hidden="1" x14ac:dyDescent="0.25">
      <c r="J138" s="155"/>
    </row>
    <row r="139" spans="10:10" hidden="1" x14ac:dyDescent="0.25">
      <c r="J139" s="155"/>
    </row>
    <row r="140" spans="10:10" hidden="1" x14ac:dyDescent="0.25">
      <c r="J140" s="155"/>
    </row>
    <row r="141" spans="10:10" hidden="1" x14ac:dyDescent="0.25">
      <c r="J141" s="155"/>
    </row>
    <row r="142" spans="10:10" hidden="1" x14ac:dyDescent="0.25">
      <c r="J142" s="155"/>
    </row>
    <row r="143" spans="10:10" hidden="1" x14ac:dyDescent="0.25">
      <c r="J143" s="155"/>
    </row>
    <row r="144" spans="10:10" hidden="1" x14ac:dyDescent="0.25">
      <c r="J144" s="155"/>
    </row>
    <row r="145" hidden="1" x14ac:dyDescent="0.25"/>
    <row r="146" hidden="1" x14ac:dyDescent="0.25"/>
    <row r="147" hidden="1" x14ac:dyDescent="0.25"/>
    <row r="148" hidden="1" x14ac:dyDescent="0.25"/>
    <row r="149" hidden="1" x14ac:dyDescent="0.25"/>
  </sheetData>
  <mergeCells count="53">
    <mergeCell ref="C57:C59"/>
    <mergeCell ref="A61:A62"/>
    <mergeCell ref="A63:A64"/>
    <mergeCell ref="B63:B64"/>
    <mergeCell ref="A66:A67"/>
    <mergeCell ref="B66:B67"/>
    <mergeCell ref="A57:A60"/>
    <mergeCell ref="A32:A33"/>
    <mergeCell ref="B37:B41"/>
    <mergeCell ref="B43:B45"/>
    <mergeCell ref="B46:B47"/>
    <mergeCell ref="A53:A56"/>
    <mergeCell ref="C53:C55"/>
    <mergeCell ref="BS9:BT9"/>
    <mergeCell ref="BU9:BV9"/>
    <mergeCell ref="CC9:CD9"/>
    <mergeCell ref="CE9:CF9"/>
    <mergeCell ref="AT9:AT10"/>
    <mergeCell ref="AU9:AU10"/>
    <mergeCell ref="AV9:BJ9"/>
    <mergeCell ref="AJ9:AJ10"/>
    <mergeCell ref="I9:I10"/>
    <mergeCell ref="J9:W9"/>
    <mergeCell ref="AA9:AA10"/>
    <mergeCell ref="AB9:AB10"/>
    <mergeCell ref="AC9:AC10"/>
    <mergeCell ref="AD9:AD10"/>
    <mergeCell ref="B27:B29"/>
    <mergeCell ref="B30:B33"/>
    <mergeCell ref="AQ9:AQ10"/>
    <mergeCell ref="AR9:AR10"/>
    <mergeCell ref="AS9:AS10"/>
    <mergeCell ref="AK9:AK10"/>
    <mergeCell ref="AL9:AL10"/>
    <mergeCell ref="AM9:AM10"/>
    <mergeCell ref="AN9:AN10"/>
    <mergeCell ref="AO9:AO10"/>
    <mergeCell ref="AP9:AP10"/>
    <mergeCell ref="AE9:AE10"/>
    <mergeCell ref="AF9:AF10"/>
    <mergeCell ref="AG9:AG10"/>
    <mergeCell ref="AH9:AH10"/>
    <mergeCell ref="AI9:AI10"/>
    <mergeCell ref="A7:A10"/>
    <mergeCell ref="B7:B10"/>
    <mergeCell ref="C7:C10"/>
    <mergeCell ref="D7:BJ7"/>
    <mergeCell ref="D8:D10"/>
    <mergeCell ref="E8:E10"/>
    <mergeCell ref="F8:F10"/>
    <mergeCell ref="G8:BJ8"/>
    <mergeCell ref="G9:G10"/>
    <mergeCell ref="H9:H10"/>
  </mergeCells>
  <pageMargins left="0" right="0" top="0.31496062992125984" bottom="0.15748031496062992" header="0.19685039370078741" footer="0.15748031496062992"/>
  <pageSetup paperSize="9" scale="33" fitToWidth="0" orientation="landscape" r:id="rId1"/>
  <rowBreaks count="1" manualBreakCount="1">
    <brk id="36" max="38" man="1"/>
  </rowBreaks>
  <legacy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50"/>
    <pageSetUpPr fitToPage="1"/>
  </sheetPr>
  <dimension ref="A1:BW122"/>
  <sheetViews>
    <sheetView showZeros="0" zoomScale="70" zoomScaleNormal="70" zoomScaleSheetLayoutView="100" workbookViewId="0">
      <pane xSplit="3" ySplit="10" topLeftCell="E62" activePane="bottomRight" state="frozen"/>
      <selection pane="topRight" activeCell="D1" sqref="D1"/>
      <selection pane="bottomLeft" activeCell="A10" sqref="A10"/>
      <selection pane="bottomRight" activeCell="E76" sqref="E76"/>
    </sheetView>
  </sheetViews>
  <sheetFormatPr defaultColWidth="9.140625" defaultRowHeight="18.75" x14ac:dyDescent="0.3"/>
  <cols>
    <col min="1" max="1" width="45" style="117" customWidth="1"/>
    <col min="2" max="2" width="9" style="117" customWidth="1"/>
    <col min="3" max="3" width="17.85546875" style="124" customWidth="1"/>
    <col min="4" max="4" width="18.42578125" style="117" hidden="1" customWidth="1"/>
    <col min="5" max="5" width="18.42578125" style="117" customWidth="1"/>
    <col min="6" max="6" width="18.42578125" style="117" hidden="1" customWidth="1"/>
    <col min="7" max="7" width="18.85546875" style="155" hidden="1" customWidth="1"/>
    <col min="8" max="8" width="18.85546875" style="155" customWidth="1"/>
    <col min="9" max="9" width="18.85546875" style="155" hidden="1" customWidth="1"/>
    <col min="10" max="10" width="18.85546875" style="155" customWidth="1"/>
    <col min="11" max="11" width="18.28515625" style="155" hidden="1" customWidth="1"/>
    <col min="12" max="12" width="18.28515625" style="155" customWidth="1"/>
    <col min="13" max="14" width="18.28515625" style="155" hidden="1" customWidth="1"/>
    <col min="15" max="15" width="18.28515625" style="155" customWidth="1"/>
    <col min="16" max="16" width="18.28515625" style="155" hidden="1" customWidth="1"/>
    <col min="17" max="17" width="20.28515625" style="152" hidden="1" customWidth="1"/>
    <col min="18" max="18" width="24.140625" style="152" customWidth="1"/>
    <col min="19" max="19" width="24.140625" style="152" hidden="1" customWidth="1"/>
    <col min="20" max="20" width="20.28515625" style="152" customWidth="1"/>
    <col min="21" max="21" width="20.28515625" style="152" hidden="1" customWidth="1"/>
    <col min="22" max="22" width="20.28515625" style="152" customWidth="1"/>
    <col min="23" max="24" width="20.28515625" style="152" hidden="1" customWidth="1"/>
    <col min="25" max="25" width="20.28515625" style="152" customWidth="1"/>
    <col min="26" max="27" width="20.28515625" style="152" hidden="1" customWidth="1"/>
    <col min="28" max="28" width="20.28515625" style="152" customWidth="1"/>
    <col min="29" max="30" width="20.28515625" style="152" hidden="1" customWidth="1"/>
    <col min="31" max="31" width="20.28515625" style="152" customWidth="1"/>
    <col min="32" max="33" width="20.28515625" style="152" hidden="1" customWidth="1"/>
    <col min="34" max="34" width="20.28515625" style="152" customWidth="1"/>
    <col min="35" max="35" width="20.28515625" style="152" hidden="1" customWidth="1"/>
    <col min="36" max="36" width="16.7109375" style="117" hidden="1" customWidth="1"/>
    <col min="37" max="37" width="16.7109375" style="125" customWidth="1"/>
    <col min="38" max="38" width="18.7109375" style="125" hidden="1" customWidth="1"/>
    <col min="39" max="39" width="23.5703125" style="125" customWidth="1"/>
    <col min="40" max="40" width="17.42578125" style="125" hidden="1" customWidth="1"/>
    <col min="41" max="41" width="17.5703125" style="117" hidden="1" customWidth="1"/>
    <col min="42" max="42" width="17.5703125" style="117" customWidth="1"/>
    <col min="43" max="44" width="17.5703125" style="117" hidden="1" customWidth="1"/>
    <col min="45" max="45" width="17.5703125" style="117" customWidth="1"/>
    <col min="46" max="46" width="17.5703125" style="117" hidden="1" customWidth="1"/>
    <col min="47" max="48" width="18" style="117" hidden="1" customWidth="1"/>
    <col min="49" max="49" width="18" style="117" customWidth="1"/>
    <col min="50" max="50" width="18" style="117" hidden="1" customWidth="1"/>
    <col min="51" max="51" width="9.5703125" style="117" hidden="1" customWidth="1"/>
    <col min="52" max="52" width="22.42578125" style="117" hidden="1" customWidth="1"/>
    <col min="53" max="53" width="17.140625" style="117" hidden="1" customWidth="1"/>
    <col min="54" max="54" width="15.140625" style="117" hidden="1" customWidth="1"/>
    <col min="55" max="55" width="18.140625" style="117" hidden="1" customWidth="1"/>
    <col min="56" max="56" width="18.85546875" style="117" hidden="1" customWidth="1"/>
    <col min="57" max="57" width="19.85546875" style="117" hidden="1" customWidth="1"/>
    <col min="58" max="58" width="15.140625" style="117" hidden="1" customWidth="1"/>
    <col min="59" max="59" width="22.85546875" style="117" hidden="1" customWidth="1"/>
    <col min="60" max="60" width="20.28515625" style="117" hidden="1" customWidth="1"/>
    <col min="61" max="62" width="21" style="117" hidden="1" customWidth="1"/>
    <col min="63" max="64" width="15.140625" style="117" hidden="1" customWidth="1"/>
    <col min="65" max="67" width="22" style="531" hidden="1" customWidth="1"/>
    <col min="68" max="68" width="21.140625" style="531" hidden="1" customWidth="1"/>
    <col min="69" max="69" width="21.140625" style="602" hidden="1" customWidth="1"/>
    <col min="70" max="70" width="20" style="117" hidden="1" customWidth="1"/>
    <col min="71" max="71" width="18" style="117" hidden="1" customWidth="1"/>
    <col min="72" max="72" width="21.7109375" style="117" hidden="1" customWidth="1"/>
    <col min="73" max="73" width="14.42578125" style="117" hidden="1" customWidth="1"/>
    <col min="74" max="74" width="13.5703125" style="117" hidden="1" customWidth="1"/>
    <col min="75" max="75" width="15" style="117" hidden="1" customWidth="1"/>
    <col min="76" max="77" width="0" style="117" hidden="1" customWidth="1"/>
    <col min="78" max="16384" width="9.140625" style="117"/>
  </cols>
  <sheetData>
    <row r="1" spans="1:75" x14ac:dyDescent="0.3">
      <c r="A1" s="123" t="s">
        <v>131</v>
      </c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1"/>
      <c r="R1" s="111"/>
      <c r="S1" s="111"/>
      <c r="T1" s="111"/>
      <c r="U1" s="111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</row>
    <row r="2" spans="1:75" x14ac:dyDescent="0.3">
      <c r="A2" s="126" t="s">
        <v>132</v>
      </c>
      <c r="G2" s="117"/>
      <c r="H2" s="117"/>
      <c r="I2" s="117"/>
      <c r="J2" s="117"/>
      <c r="K2" s="117"/>
      <c r="L2" s="117"/>
      <c r="M2" s="117"/>
      <c r="N2" s="117"/>
      <c r="O2" s="117"/>
      <c r="P2" s="117"/>
      <c r="Q2" s="111"/>
      <c r="R2" s="111"/>
      <c r="S2" s="111"/>
      <c r="T2" s="111"/>
      <c r="U2" s="111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Z2" s="127" t="s">
        <v>240</v>
      </c>
      <c r="BA2" s="127" t="s">
        <v>241</v>
      </c>
    </row>
    <row r="3" spans="1:75" ht="19.5" thickBot="1" x14ac:dyDescent="0.35">
      <c r="A3" s="126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1"/>
      <c r="R3" s="111"/>
      <c r="S3" s="111"/>
      <c r="T3" s="111"/>
      <c r="U3" s="111"/>
      <c r="V3" s="117"/>
      <c r="W3" s="117"/>
      <c r="X3" s="117"/>
      <c r="Y3" s="117"/>
      <c r="Z3" s="117"/>
      <c r="AA3" s="117"/>
      <c r="AB3" s="117"/>
      <c r="AC3" s="117"/>
      <c r="AD3" s="117"/>
      <c r="AE3" s="117"/>
      <c r="AF3" s="117"/>
      <c r="AG3" s="117"/>
      <c r="AH3" s="117"/>
      <c r="AI3" s="117"/>
      <c r="AZ3" s="1055"/>
      <c r="BA3" s="1055"/>
    </row>
    <row r="4" spans="1:75" ht="19.5" hidden="1" thickBot="1" x14ac:dyDescent="0.35">
      <c r="A4" s="126"/>
      <c r="E4" s="111">
        <f>E23-E11+E76</f>
        <v>419446106.56974959</v>
      </c>
      <c r="F4" s="111"/>
      <c r="G4" s="117"/>
      <c r="H4" s="111">
        <f>'расчет норматив'!J32</f>
        <v>218669599.31117821</v>
      </c>
      <c r="I4" s="111">
        <f>H11-H23</f>
        <v>-21072590.980986059</v>
      </c>
      <c r="J4" s="117"/>
      <c r="K4" s="117"/>
      <c r="L4" s="111">
        <f>'расчет норматив'!Z6+'ПФХД 2019 с разбивкой  (3)'!L75</f>
        <v>73111481.367397636</v>
      </c>
      <c r="M4" s="117"/>
      <c r="N4" s="117"/>
      <c r="O4" s="117" t="b">
        <f>O11='расчет норматив'!AA6</f>
        <v>1</v>
      </c>
      <c r="P4" s="117"/>
      <c r="Q4" s="111">
        <f>Q11-Q23</f>
        <v>-390807107.31000018</v>
      </c>
      <c r="R4" s="111">
        <f>Q4+Q75</f>
        <v>203001361.2099998</v>
      </c>
      <c r="S4" s="111"/>
      <c r="T4" s="111"/>
      <c r="U4" s="111"/>
      <c r="V4" s="128"/>
      <c r="W4" s="128"/>
      <c r="X4" s="117"/>
      <c r="Y4" s="128"/>
      <c r="Z4" s="128"/>
      <c r="AA4" s="117"/>
      <c r="AB4" s="117"/>
      <c r="AC4" s="117"/>
      <c r="AD4" s="117"/>
      <c r="AE4" s="117"/>
      <c r="AF4" s="117"/>
      <c r="AG4" s="117"/>
      <c r="AH4" s="117"/>
      <c r="AI4" s="117"/>
      <c r="AO4" s="111"/>
      <c r="AP4" s="111"/>
      <c r="AQ4" s="111"/>
    </row>
    <row r="5" spans="1:75" ht="19.5" hidden="1" thickBot="1" x14ac:dyDescent="0.35">
      <c r="A5" s="129"/>
      <c r="G5" s="117"/>
      <c r="H5" s="117"/>
      <c r="I5" s="117"/>
      <c r="J5" s="117"/>
      <c r="K5" s="117"/>
      <c r="L5" s="117"/>
      <c r="M5" s="111">
        <f>K11+N11</f>
        <v>113643500</v>
      </c>
      <c r="N5" s="117">
        <f>M5/2906.41</f>
        <v>39100.987128450564</v>
      </c>
      <c r="O5" s="111">
        <f>L11+O11</f>
        <v>113643500.00331473</v>
      </c>
      <c r="P5" s="117"/>
      <c r="Q5" s="117"/>
      <c r="R5" s="117"/>
      <c r="S5" s="117"/>
      <c r="T5" s="117"/>
      <c r="U5" s="117"/>
      <c r="V5" s="117"/>
      <c r="W5" s="117"/>
      <c r="X5" s="117"/>
      <c r="Y5" s="117"/>
      <c r="Z5" s="117"/>
      <c r="AA5" s="117"/>
      <c r="AB5" s="117"/>
      <c r="AC5" s="117"/>
      <c r="AD5" s="117"/>
      <c r="AE5" s="117"/>
      <c r="AF5" s="117"/>
      <c r="AG5" s="117"/>
      <c r="AH5" s="117"/>
      <c r="AI5" s="117"/>
      <c r="AO5" s="111"/>
      <c r="AP5" s="111"/>
      <c r="AQ5" s="111"/>
    </row>
    <row r="6" spans="1:75" ht="19.5" customHeight="1" thickBot="1" x14ac:dyDescent="0.35">
      <c r="A6" s="1453" t="s">
        <v>88</v>
      </c>
      <c r="B6" s="1439" t="s">
        <v>133</v>
      </c>
      <c r="C6" s="1440" t="s">
        <v>134</v>
      </c>
      <c r="D6" s="1460" t="s">
        <v>135</v>
      </c>
      <c r="E6" s="1461"/>
      <c r="F6" s="1461"/>
      <c r="G6" s="1461"/>
      <c r="H6" s="1461"/>
      <c r="I6" s="1461"/>
      <c r="J6" s="1461"/>
      <c r="K6" s="1461"/>
      <c r="L6" s="1461"/>
      <c r="M6" s="1461"/>
      <c r="N6" s="1461"/>
      <c r="O6" s="1461"/>
      <c r="P6" s="1461"/>
      <c r="Q6" s="1461"/>
      <c r="R6" s="1461"/>
      <c r="S6" s="1461"/>
      <c r="T6" s="1461"/>
      <c r="U6" s="1461"/>
      <c r="V6" s="1461"/>
      <c r="W6" s="1461"/>
      <c r="X6" s="1461"/>
      <c r="Y6" s="1461"/>
      <c r="Z6" s="1461"/>
      <c r="AA6" s="1461"/>
      <c r="AB6" s="1461"/>
      <c r="AC6" s="1461"/>
      <c r="AD6" s="1461"/>
      <c r="AE6" s="1461"/>
      <c r="AF6" s="1461"/>
      <c r="AG6" s="1461"/>
      <c r="AH6" s="1461"/>
      <c r="AI6" s="1461"/>
      <c r="AJ6" s="1461"/>
      <c r="AK6" s="1461"/>
      <c r="AL6" s="1461"/>
      <c r="AM6" s="1461"/>
      <c r="AN6" s="1461"/>
      <c r="AO6" s="1461"/>
      <c r="AP6" s="1461"/>
      <c r="AQ6" s="1461"/>
      <c r="AR6" s="1461"/>
      <c r="AS6" s="1461"/>
      <c r="AT6" s="1461"/>
      <c r="AU6" s="1461"/>
      <c r="AV6" s="1461"/>
      <c r="AW6" s="1461"/>
      <c r="AX6" s="1462"/>
    </row>
    <row r="7" spans="1:75" ht="15.75" customHeight="1" thickBot="1" x14ac:dyDescent="0.35">
      <c r="A7" s="1454"/>
      <c r="B7" s="1383"/>
      <c r="C7" s="1441"/>
      <c r="D7" s="1442" t="s">
        <v>136</v>
      </c>
      <c r="E7" s="1439" t="s">
        <v>402</v>
      </c>
      <c r="F7" s="1440" t="s">
        <v>395</v>
      </c>
      <c r="G7" s="1460" t="s">
        <v>137</v>
      </c>
      <c r="H7" s="1461"/>
      <c r="I7" s="1461"/>
      <c r="J7" s="1461"/>
      <c r="K7" s="1461"/>
      <c r="L7" s="1461"/>
      <c r="M7" s="1461"/>
      <c r="N7" s="1461"/>
      <c r="O7" s="1461"/>
      <c r="P7" s="1461"/>
      <c r="Q7" s="1461"/>
      <c r="R7" s="1461"/>
      <c r="S7" s="1461"/>
      <c r="T7" s="1461"/>
      <c r="U7" s="1461"/>
      <c r="V7" s="1461"/>
      <c r="W7" s="1461"/>
      <c r="X7" s="1461"/>
      <c r="Y7" s="1461"/>
      <c r="Z7" s="1461"/>
      <c r="AA7" s="1461"/>
      <c r="AB7" s="1461"/>
      <c r="AC7" s="1461"/>
      <c r="AD7" s="1461"/>
      <c r="AE7" s="1461"/>
      <c r="AF7" s="1461"/>
      <c r="AG7" s="1461"/>
      <c r="AH7" s="1461"/>
      <c r="AI7" s="1461"/>
      <c r="AJ7" s="1461"/>
      <c r="AK7" s="1461"/>
      <c r="AL7" s="1461"/>
      <c r="AM7" s="1461"/>
      <c r="AN7" s="1461"/>
      <c r="AO7" s="1461"/>
      <c r="AP7" s="1461"/>
      <c r="AQ7" s="1461"/>
      <c r="AR7" s="1461"/>
      <c r="AS7" s="1461"/>
      <c r="AT7" s="1461"/>
      <c r="AU7" s="1461"/>
      <c r="AV7" s="1461"/>
      <c r="AW7" s="1461"/>
      <c r="AX7" s="1462"/>
    </row>
    <row r="8" spans="1:75" ht="96" customHeight="1" thickBot="1" x14ac:dyDescent="0.35">
      <c r="A8" s="1454"/>
      <c r="B8" s="1383"/>
      <c r="C8" s="1441"/>
      <c r="D8" s="1443"/>
      <c r="E8" s="1383"/>
      <c r="F8" s="1441"/>
      <c r="G8" s="1427" t="s">
        <v>138</v>
      </c>
      <c r="H8" s="1434" t="s">
        <v>397</v>
      </c>
      <c r="I8" s="1437" t="s">
        <v>395</v>
      </c>
      <c r="J8" s="1433" t="s">
        <v>363</v>
      </c>
      <c r="K8" s="1433"/>
      <c r="L8" s="1433"/>
      <c r="M8" s="1433"/>
      <c r="N8" s="1433"/>
      <c r="O8" s="1433"/>
      <c r="P8" s="1433"/>
      <c r="Q8" s="1448" t="s">
        <v>140</v>
      </c>
      <c r="R8" s="1449" t="s">
        <v>403</v>
      </c>
      <c r="S8" s="1469" t="s">
        <v>395</v>
      </c>
      <c r="T8" s="1431" t="s">
        <v>360</v>
      </c>
      <c r="U8" s="1425" t="s">
        <v>359</v>
      </c>
      <c r="V8" s="1449" t="s">
        <v>405</v>
      </c>
      <c r="W8" s="1451" t="s">
        <v>395</v>
      </c>
      <c r="X8" s="1455" t="s">
        <v>253</v>
      </c>
      <c r="Y8" s="1449" t="s">
        <v>965</v>
      </c>
      <c r="Z8" s="1451" t="s">
        <v>966</v>
      </c>
      <c r="AA8" s="1425" t="s">
        <v>142</v>
      </c>
      <c r="AB8" s="1449" t="s">
        <v>404</v>
      </c>
      <c r="AC8" s="1451" t="s">
        <v>395</v>
      </c>
      <c r="AD8" s="1448" t="s">
        <v>488</v>
      </c>
      <c r="AE8" s="1449" t="s">
        <v>489</v>
      </c>
      <c r="AF8" s="1451" t="s">
        <v>395</v>
      </c>
      <c r="AG8" s="1448" t="s">
        <v>490</v>
      </c>
      <c r="AH8" s="1449" t="s">
        <v>645</v>
      </c>
      <c r="AI8" s="1451" t="s">
        <v>395</v>
      </c>
      <c r="AJ8" s="1465" t="s">
        <v>143</v>
      </c>
      <c r="AK8" s="1467" t="s">
        <v>144</v>
      </c>
      <c r="AL8" s="1457" t="s">
        <v>145</v>
      </c>
      <c r="AM8" s="1458"/>
      <c r="AN8" s="1458"/>
      <c r="AO8" s="1458"/>
      <c r="AP8" s="1458"/>
      <c r="AQ8" s="1458"/>
      <c r="AR8" s="1458"/>
      <c r="AS8" s="1458"/>
      <c r="AT8" s="1458"/>
      <c r="AU8" s="1458"/>
      <c r="AV8" s="1458"/>
      <c r="AW8" s="1458"/>
      <c r="AX8" s="1459"/>
      <c r="BG8" s="1463" t="s">
        <v>506</v>
      </c>
      <c r="BH8" s="1464"/>
      <c r="BI8" s="1463" t="s">
        <v>197</v>
      </c>
      <c r="BJ8" s="1464"/>
      <c r="BQ8" s="1463" t="s">
        <v>506</v>
      </c>
      <c r="BR8" s="1464"/>
      <c r="BS8" s="1463" t="s">
        <v>197</v>
      </c>
      <c r="BT8" s="1464"/>
    </row>
    <row r="9" spans="1:75" ht="114.75" customHeight="1" x14ac:dyDescent="0.3">
      <c r="A9" s="1454"/>
      <c r="B9" s="1383"/>
      <c r="C9" s="1441"/>
      <c r="D9" s="1443"/>
      <c r="E9" s="1383"/>
      <c r="F9" s="1441"/>
      <c r="G9" s="1428"/>
      <c r="H9" s="1435"/>
      <c r="I9" s="1438"/>
      <c r="J9" s="885" t="s">
        <v>235</v>
      </c>
      <c r="K9" s="311" t="s">
        <v>365</v>
      </c>
      <c r="L9" s="289" t="s">
        <v>398</v>
      </c>
      <c r="M9" s="290" t="s">
        <v>395</v>
      </c>
      <c r="N9" s="288" t="s">
        <v>366</v>
      </c>
      <c r="O9" s="311" t="s">
        <v>399</v>
      </c>
      <c r="P9" s="363" t="s">
        <v>396</v>
      </c>
      <c r="Q9" s="1430"/>
      <c r="R9" s="1426"/>
      <c r="S9" s="1470"/>
      <c r="T9" s="1432"/>
      <c r="U9" s="1426"/>
      <c r="V9" s="1450"/>
      <c r="W9" s="1452"/>
      <c r="X9" s="1456"/>
      <c r="Y9" s="1450"/>
      <c r="Z9" s="1452"/>
      <c r="AA9" s="1426"/>
      <c r="AB9" s="1450"/>
      <c r="AC9" s="1452"/>
      <c r="AD9" s="1430"/>
      <c r="AE9" s="1450"/>
      <c r="AF9" s="1452"/>
      <c r="AG9" s="1430"/>
      <c r="AH9" s="1450"/>
      <c r="AI9" s="1452"/>
      <c r="AJ9" s="1466"/>
      <c r="AK9" s="1468"/>
      <c r="AL9" s="329" t="s">
        <v>364</v>
      </c>
      <c r="AM9" s="330" t="s">
        <v>406</v>
      </c>
      <c r="AN9" s="1011" t="s">
        <v>395</v>
      </c>
      <c r="AO9" s="329" t="s">
        <v>139</v>
      </c>
      <c r="AP9" s="330" t="s">
        <v>401</v>
      </c>
      <c r="AQ9" s="1015" t="s">
        <v>395</v>
      </c>
      <c r="AR9" s="389" t="s">
        <v>146</v>
      </c>
      <c r="AS9" s="330" t="s">
        <v>400</v>
      </c>
      <c r="AT9" s="331" t="s">
        <v>395</v>
      </c>
      <c r="AU9" s="537" t="s">
        <v>147</v>
      </c>
      <c r="AV9" s="389" t="s">
        <v>915</v>
      </c>
      <c r="AW9" s="330" t="s">
        <v>916</v>
      </c>
      <c r="AX9" s="331" t="s">
        <v>395</v>
      </c>
      <c r="BC9" s="608" t="s">
        <v>507</v>
      </c>
      <c r="BD9" s="627" t="s">
        <v>508</v>
      </c>
      <c r="BE9" s="627" t="s">
        <v>395</v>
      </c>
      <c r="BF9" s="627" t="s">
        <v>509</v>
      </c>
      <c r="BG9" s="612" t="s">
        <v>505</v>
      </c>
      <c r="BH9" s="613" t="s">
        <v>395</v>
      </c>
      <c r="BI9" s="612" t="s">
        <v>505</v>
      </c>
      <c r="BJ9" s="613" t="s">
        <v>395</v>
      </c>
      <c r="BM9" s="608" t="s">
        <v>507</v>
      </c>
      <c r="BN9" s="627" t="s">
        <v>508</v>
      </c>
      <c r="BO9" s="627" t="s">
        <v>395</v>
      </c>
      <c r="BP9" s="627" t="s">
        <v>509</v>
      </c>
      <c r="BQ9" s="612" t="s">
        <v>505</v>
      </c>
      <c r="BR9" s="613" t="s">
        <v>395</v>
      </c>
      <c r="BS9" s="612" t="s">
        <v>505</v>
      </c>
      <c r="BT9" s="613" t="s">
        <v>395</v>
      </c>
    </row>
    <row r="10" spans="1:75" x14ac:dyDescent="0.3">
      <c r="A10" s="408">
        <v>1</v>
      </c>
      <c r="B10" s="1052">
        <v>2</v>
      </c>
      <c r="C10" s="1054">
        <v>3</v>
      </c>
      <c r="D10" s="429">
        <v>4</v>
      </c>
      <c r="E10" s="1052"/>
      <c r="F10" s="409"/>
      <c r="G10" s="282">
        <v>5</v>
      </c>
      <c r="H10" s="156"/>
      <c r="I10" s="666"/>
      <c r="J10" s="886"/>
      <c r="K10" s="282"/>
      <c r="L10" s="156"/>
      <c r="M10" s="292"/>
      <c r="N10" s="291"/>
      <c r="O10" s="282"/>
      <c r="P10" s="364"/>
      <c r="Q10" s="275">
        <v>6</v>
      </c>
      <c r="R10" s="306"/>
      <c r="S10" s="414"/>
      <c r="T10" s="524"/>
      <c r="U10" s="522"/>
      <c r="V10" s="385"/>
      <c r="W10" s="387"/>
      <c r="X10" s="378"/>
      <c r="Y10" s="385"/>
      <c r="Z10" s="387"/>
      <c r="AA10" s="522"/>
      <c r="AB10" s="385"/>
      <c r="AC10" s="387"/>
      <c r="AD10" s="386"/>
      <c r="AE10" s="385"/>
      <c r="AF10" s="387"/>
      <c r="AG10" s="386"/>
      <c r="AH10" s="385"/>
      <c r="AI10" s="387"/>
      <c r="AJ10" s="421">
        <v>7</v>
      </c>
      <c r="AK10" s="391">
        <v>8</v>
      </c>
      <c r="AL10" s="403">
        <v>9</v>
      </c>
      <c r="AM10" s="405"/>
      <c r="AN10" s="1012"/>
      <c r="AO10" s="1016"/>
      <c r="AP10" s="350"/>
      <c r="AQ10" s="1017"/>
      <c r="AR10" s="322"/>
      <c r="AS10" s="160"/>
      <c r="AT10" s="333"/>
      <c r="AU10" s="538">
        <v>10</v>
      </c>
      <c r="AV10" s="322"/>
      <c r="AW10" s="160"/>
      <c r="AX10" s="333"/>
      <c r="BG10" s="612"/>
      <c r="BH10" s="614"/>
      <c r="BI10" s="625"/>
      <c r="BJ10" s="614"/>
      <c r="BQ10" s="612"/>
      <c r="BR10" s="614"/>
      <c r="BS10" s="625"/>
      <c r="BT10" s="614"/>
    </row>
    <row r="11" spans="1:75" s="115" customFormat="1" x14ac:dyDescent="0.3">
      <c r="A11" s="435" t="s">
        <v>148</v>
      </c>
      <c r="B11" s="1053">
        <v>100</v>
      </c>
      <c r="C11" s="436" t="s">
        <v>149</v>
      </c>
      <c r="D11" s="430">
        <f>D14+D20+D21</f>
        <v>1880172104.5917001</v>
      </c>
      <c r="E11" s="59">
        <f>H11+R11+AM11+AK11</f>
        <v>1880172104.5750148</v>
      </c>
      <c r="F11" s="410">
        <f>E11-D11</f>
        <v>-1.6685247421264648E-2</v>
      </c>
      <c r="G11" s="293">
        <f>SUM(G14)</f>
        <v>218669600</v>
      </c>
      <c r="H11" s="157">
        <f>H14</f>
        <v>218669600.00331473</v>
      </c>
      <c r="I11" s="667">
        <f>H11-G11</f>
        <v>3.3147335052490234E-3</v>
      </c>
      <c r="J11" s="882">
        <f>SUM(J14)</f>
        <v>105026100</v>
      </c>
      <c r="K11" s="283">
        <v>68563030.888212264</v>
      </c>
      <c r="L11" s="157">
        <f>H11-J11-O11</f>
        <v>68563030.900000006</v>
      </c>
      <c r="M11" s="294">
        <f>L11-K11</f>
        <v>1.1787742376327515E-2</v>
      </c>
      <c r="N11" s="293">
        <v>45080469.111787736</v>
      </c>
      <c r="O11" s="283">
        <f>SUM(O14)</f>
        <v>45080469.103314735</v>
      </c>
      <c r="P11" s="365">
        <f>O11-N11</f>
        <v>-8.4730014204978943E-3</v>
      </c>
      <c r="Q11" s="276">
        <v>1270135000</v>
      </c>
      <c r="R11" s="307">
        <f>R20</f>
        <v>1270135000</v>
      </c>
      <c r="S11" s="415">
        <f>R11-Q11</f>
        <v>0</v>
      </c>
      <c r="T11" s="525">
        <f t="shared" ref="T11:AH11" si="0">T20</f>
        <v>0</v>
      </c>
      <c r="U11" s="307">
        <v>1216891000</v>
      </c>
      <c r="V11" s="153">
        <f>V20</f>
        <v>1216891000.01</v>
      </c>
      <c r="W11" s="357">
        <f>V11-U11</f>
        <v>9.9999904632568359E-3</v>
      </c>
      <c r="X11" s="379">
        <f>X20</f>
        <v>22131000</v>
      </c>
      <c r="Y11" s="153">
        <f>Y20</f>
        <v>22131000</v>
      </c>
      <c r="Z11" s="357">
        <f>Z20</f>
        <v>0</v>
      </c>
      <c r="AA11" s="307">
        <v>6878578.4699999997</v>
      </c>
      <c r="AB11" s="153">
        <f t="shared" si="0"/>
        <v>6878578.4699999997</v>
      </c>
      <c r="AC11" s="357">
        <f>AB11-AA11</f>
        <v>0</v>
      </c>
      <c r="AD11" s="153">
        <v>15071900</v>
      </c>
      <c r="AE11" s="153">
        <f>AE20</f>
        <v>15071900</v>
      </c>
      <c r="AF11" s="357">
        <f>AE11-AD11</f>
        <v>0</v>
      </c>
      <c r="AG11" s="153">
        <v>9162521.5199999996</v>
      </c>
      <c r="AH11" s="153">
        <f t="shared" si="0"/>
        <v>9162521.5199999996</v>
      </c>
      <c r="AI11" s="357">
        <f>AH11-AG11</f>
        <v>0</v>
      </c>
      <c r="AJ11" s="422">
        <v>0</v>
      </c>
      <c r="AK11" s="392">
        <f>AK13+AK14</f>
        <v>1908800</v>
      </c>
      <c r="AL11" s="334">
        <v>389458704.59170002</v>
      </c>
      <c r="AM11" s="347">
        <f>AP11+AS11+AW11</f>
        <v>389458704.57170004</v>
      </c>
      <c r="AN11" s="1013">
        <f>AM11-AL11</f>
        <v>-1.9999980926513672E-2</v>
      </c>
      <c r="AO11" s="334">
        <v>305985633.47170001</v>
      </c>
      <c r="AP11" s="161">
        <f>AP14+AP21</f>
        <v>321604870.63170004</v>
      </c>
      <c r="AQ11" s="406">
        <f>AP11-AO11</f>
        <v>15619237.160000026</v>
      </c>
      <c r="AR11" s="161">
        <f>AR14+AR21+AR22</f>
        <v>83473071.120000005</v>
      </c>
      <c r="AS11" s="161">
        <f>AS14+AS21+AS22</f>
        <v>55582036.509999998</v>
      </c>
      <c r="AT11" s="335">
        <f>AS11-AR11</f>
        <v>-27891034.610000007</v>
      </c>
      <c r="AU11" s="539">
        <v>0</v>
      </c>
      <c r="AV11" s="323"/>
      <c r="AW11" s="161">
        <f>AW14+AW21+AW22</f>
        <v>12271797.43</v>
      </c>
      <c r="AX11" s="335">
        <f>AW11-AV11</f>
        <v>12271797.43</v>
      </c>
      <c r="AZ11" s="131">
        <v>343352551.449</v>
      </c>
      <c r="BA11" s="131">
        <v>275145687.99900001</v>
      </c>
      <c r="BB11" s="609">
        <v>68206863.450000003</v>
      </c>
      <c r="BC11" s="634"/>
      <c r="BD11" s="634"/>
      <c r="BE11" s="634"/>
      <c r="BF11" s="634"/>
      <c r="BG11" s="615"/>
      <c r="BH11" s="616">
        <f>AF11-BG11</f>
        <v>0</v>
      </c>
      <c r="BI11" s="615">
        <f>BI15+BI21+BI22</f>
        <v>68215561.770000011</v>
      </c>
      <c r="BJ11" s="626">
        <f>AI11-BI11</f>
        <v>-68215561.770000011</v>
      </c>
      <c r="BK11" s="634"/>
      <c r="BL11" s="634"/>
      <c r="BM11" s="628">
        <f>AL11</f>
        <v>389458704.59170002</v>
      </c>
      <c r="BN11" s="628">
        <v>344453050.41000003</v>
      </c>
      <c r="BO11" s="628">
        <f>BM11-BN11</f>
        <v>45005654.181699991</v>
      </c>
      <c r="BP11" s="629">
        <f>BN11</f>
        <v>344453050.41000003</v>
      </c>
      <c r="BQ11" s="615">
        <v>251139175</v>
      </c>
      <c r="BR11" s="616">
        <f>AP11-BQ11</f>
        <v>70465695.631700039</v>
      </c>
      <c r="BS11" s="615">
        <f>BS15+BS21+BS22</f>
        <v>68215561.770000011</v>
      </c>
      <c r="BT11" s="626">
        <f>AS11-BS11</f>
        <v>-12633525.260000013</v>
      </c>
      <c r="BU11" s="135">
        <v>1076466.1000000001</v>
      </c>
      <c r="BV11" s="135">
        <v>146019.47000000626</v>
      </c>
      <c r="BW11" s="135">
        <f>BU11+BV11</f>
        <v>1222485.5700000064</v>
      </c>
    </row>
    <row r="12" spans="1:75" x14ac:dyDescent="0.3">
      <c r="A12" s="437" t="s">
        <v>137</v>
      </c>
      <c r="B12" s="133"/>
      <c r="C12" s="438"/>
      <c r="D12" s="431"/>
      <c r="E12" s="59">
        <f>H12+R12+AL12+AK12</f>
        <v>0</v>
      </c>
      <c r="F12" s="410">
        <f t="shared" ref="F12:F75" si="1">E12-D12</f>
        <v>0</v>
      </c>
      <c r="G12" s="284"/>
      <c r="H12" s="159"/>
      <c r="I12" s="668"/>
      <c r="J12" s="979"/>
      <c r="K12" s="284"/>
      <c r="L12" s="159"/>
      <c r="M12" s="296"/>
      <c r="N12" s="295"/>
      <c r="O12" s="284"/>
      <c r="P12" s="366"/>
      <c r="Q12" s="277"/>
      <c r="R12" s="308"/>
      <c r="S12" s="416"/>
      <c r="T12" s="526"/>
      <c r="U12" s="308"/>
      <c r="V12" s="154"/>
      <c r="W12" s="357">
        <f t="shared" ref="W12:W75" si="2">V12-U12</f>
        <v>0</v>
      </c>
      <c r="X12" s="380"/>
      <c r="Y12" s="153">
        <f t="shared" ref="Y12:Y19" si="3">X12-W12</f>
        <v>0</v>
      </c>
      <c r="Z12" s="357">
        <f t="shared" ref="Z12:Z19" si="4">X12-W12</f>
        <v>0</v>
      </c>
      <c r="AA12" s="308"/>
      <c r="AB12" s="154"/>
      <c r="AC12" s="358"/>
      <c r="AD12" s="277"/>
      <c r="AE12" s="154"/>
      <c r="AF12" s="358"/>
      <c r="AG12" s="277"/>
      <c r="AH12" s="154"/>
      <c r="AI12" s="358"/>
      <c r="AJ12" s="423"/>
      <c r="AK12" s="393"/>
      <c r="AL12" s="334"/>
      <c r="AM12" s="347"/>
      <c r="AN12" s="1013">
        <f t="shared" ref="AN12:AN74" si="5">AM12-AL12</f>
        <v>0</v>
      </c>
      <c r="AO12" s="336"/>
      <c r="AP12" s="260"/>
      <c r="AQ12" s="1018"/>
      <c r="AR12" s="325"/>
      <c r="AS12" s="260"/>
      <c r="AT12" s="337"/>
      <c r="AU12" s="540"/>
      <c r="AV12" s="325"/>
      <c r="AW12" s="260"/>
      <c r="AX12" s="337"/>
      <c r="BG12" s="617"/>
      <c r="BH12" s="614"/>
      <c r="BI12" s="625"/>
      <c r="BJ12" s="614"/>
      <c r="BM12" s="628"/>
      <c r="BN12" s="628"/>
      <c r="BQ12" s="617">
        <f>AP11-BQ11</f>
        <v>70465695.631700039</v>
      </c>
      <c r="BR12" s="614"/>
      <c r="BS12" s="625"/>
      <c r="BT12" s="614"/>
      <c r="BU12" s="111">
        <f>BS11+BW11</f>
        <v>69438047.340000018</v>
      </c>
    </row>
    <row r="13" spans="1:75" x14ac:dyDescent="0.3">
      <c r="A13" s="437" t="s">
        <v>150</v>
      </c>
      <c r="B13" s="1052">
        <v>110</v>
      </c>
      <c r="C13" s="438"/>
      <c r="D13" s="431"/>
      <c r="E13" s="59">
        <f>H13+R13+AL13+AK13</f>
        <v>0</v>
      </c>
      <c r="F13" s="410">
        <f t="shared" si="1"/>
        <v>0</v>
      </c>
      <c r="G13" s="285"/>
      <c r="H13" s="158"/>
      <c r="I13" s="669"/>
      <c r="J13" s="881"/>
      <c r="K13" s="285"/>
      <c r="L13" s="158"/>
      <c r="M13" s="298"/>
      <c r="N13" s="297"/>
      <c r="O13" s="285"/>
      <c r="P13" s="367"/>
      <c r="Q13" s="278"/>
      <c r="R13" s="309"/>
      <c r="S13" s="417"/>
      <c r="T13" s="527"/>
      <c r="U13" s="309"/>
      <c r="V13" s="261"/>
      <c r="W13" s="357">
        <f t="shared" si="2"/>
        <v>0</v>
      </c>
      <c r="X13" s="381"/>
      <c r="Y13" s="153">
        <f t="shared" si="3"/>
        <v>0</v>
      </c>
      <c r="Z13" s="357">
        <f t="shared" si="4"/>
        <v>0</v>
      </c>
      <c r="AA13" s="309"/>
      <c r="AB13" s="261"/>
      <c r="AC13" s="359"/>
      <c r="AD13" s="278"/>
      <c r="AE13" s="261"/>
      <c r="AF13" s="359"/>
      <c r="AG13" s="278"/>
      <c r="AH13" s="261"/>
      <c r="AI13" s="359"/>
      <c r="AJ13" s="424"/>
      <c r="AK13" s="393"/>
      <c r="AL13" s="334"/>
      <c r="AM13" s="347"/>
      <c r="AN13" s="1013">
        <f t="shared" si="5"/>
        <v>0</v>
      </c>
      <c r="AO13" s="336"/>
      <c r="AP13" s="260"/>
      <c r="AQ13" s="1018"/>
      <c r="AR13" s="325"/>
      <c r="AS13" s="260"/>
      <c r="AT13" s="337"/>
      <c r="AU13" s="541"/>
      <c r="AV13" s="325"/>
      <c r="AW13" s="260"/>
      <c r="AX13" s="337"/>
      <c r="AZ13" s="111"/>
      <c r="BA13" s="111">
        <f>BA11-AO11</f>
        <v>-30839945.4727</v>
      </c>
      <c r="BB13" s="111">
        <f>BB11-AR11</f>
        <v>-15266207.670000002</v>
      </c>
      <c r="BC13" s="111"/>
      <c r="BD13" s="111"/>
      <c r="BE13" s="111"/>
      <c r="BF13" s="111"/>
      <c r="BG13" s="615"/>
      <c r="BH13" s="614"/>
      <c r="BI13" s="625"/>
      <c r="BJ13" s="614"/>
      <c r="BK13" s="111"/>
      <c r="BL13" s="111"/>
      <c r="BM13" s="628"/>
      <c r="BN13" s="628"/>
      <c r="BO13" s="533"/>
      <c r="BP13" s="533"/>
      <c r="BQ13" s="615"/>
      <c r="BR13" s="614"/>
      <c r="BS13" s="625"/>
      <c r="BT13" s="614"/>
    </row>
    <row r="14" spans="1:75" x14ac:dyDescent="0.3">
      <c r="A14" s="437" t="s">
        <v>151</v>
      </c>
      <c r="B14" s="1052">
        <v>120</v>
      </c>
      <c r="C14" s="438"/>
      <c r="D14" s="431">
        <v>575137879.08170009</v>
      </c>
      <c r="E14" s="64">
        <f>H14+R14+AM14+AK14</f>
        <v>575137879.06501484</v>
      </c>
      <c r="F14" s="411">
        <f t="shared" si="1"/>
        <v>-1.6685247421264648E-2</v>
      </c>
      <c r="G14" s="159">
        <v>218669600</v>
      </c>
      <c r="H14" s="159">
        <f>J14+L14+O14</f>
        <v>218669600.00331473</v>
      </c>
      <c r="I14" s="668">
        <f>H14-G14</f>
        <v>3.3147335052490234E-3</v>
      </c>
      <c r="J14" s="881">
        <f>J15</f>
        <v>105026100</v>
      </c>
      <c r="K14" s="284">
        <v>68563030.888212264</v>
      </c>
      <c r="L14" s="159">
        <v>68563030.900000006</v>
      </c>
      <c r="M14" s="298">
        <f>L14-K14</f>
        <v>1.1787742376327515E-2</v>
      </c>
      <c r="N14" s="285">
        <v>45080469.111787736</v>
      </c>
      <c r="O14" s="285">
        <f>O15</f>
        <v>45080469.103314735</v>
      </c>
      <c r="P14" s="367">
        <f>O14-N14</f>
        <v>-8.4730014204978943E-3</v>
      </c>
      <c r="Q14" s="277"/>
      <c r="R14" s="308"/>
      <c r="S14" s="416"/>
      <c r="T14" s="526"/>
      <c r="U14" s="308"/>
      <c r="V14" s="154"/>
      <c r="W14" s="357">
        <f t="shared" si="2"/>
        <v>0</v>
      </c>
      <c r="X14" s="380"/>
      <c r="Y14" s="153">
        <f t="shared" si="3"/>
        <v>0</v>
      </c>
      <c r="Z14" s="357">
        <f t="shared" si="4"/>
        <v>0</v>
      </c>
      <c r="AA14" s="308"/>
      <c r="AB14" s="154"/>
      <c r="AC14" s="358"/>
      <c r="AD14" s="277"/>
      <c r="AE14" s="154"/>
      <c r="AF14" s="358"/>
      <c r="AG14" s="277"/>
      <c r="AH14" s="154"/>
      <c r="AI14" s="358"/>
      <c r="AJ14" s="423"/>
      <c r="AK14" s="393">
        <f>SUM(AK15:AK17)</f>
        <v>1908800</v>
      </c>
      <c r="AL14" s="334">
        <v>354559479.08170003</v>
      </c>
      <c r="AM14" s="347">
        <f>AP14+AS14+AW14</f>
        <v>354559479.06170005</v>
      </c>
      <c r="AN14" s="1013">
        <f t="shared" si="5"/>
        <v>-1.9999980926513672E-2</v>
      </c>
      <c r="AO14" s="338">
        <v>291362580.01170003</v>
      </c>
      <c r="AP14" s="162">
        <f>AP15+AP17+0.01-0.01</f>
        <v>306981817.17170006</v>
      </c>
      <c r="AQ14" s="1019">
        <f>AP14-AO14</f>
        <v>15619237.160000026</v>
      </c>
      <c r="AR14" s="324">
        <v>63196899.07</v>
      </c>
      <c r="AS14" s="162">
        <f>AS15</f>
        <v>44423842.689999998</v>
      </c>
      <c r="AT14" s="339">
        <f>AS14-AR14</f>
        <v>-18773056.380000003</v>
      </c>
      <c r="AU14" s="541"/>
      <c r="AV14" s="324"/>
      <c r="AW14" s="162">
        <f>AW15</f>
        <v>3153819.2</v>
      </c>
      <c r="AX14" s="339">
        <f>AW14-AV14</f>
        <v>3153819.2</v>
      </c>
      <c r="BG14" s="618"/>
      <c r="BH14" s="614"/>
      <c r="BI14" s="625"/>
      <c r="BJ14" s="614"/>
      <c r="BM14" s="628"/>
      <c r="BN14" s="628"/>
      <c r="BQ14" s="618">
        <f>13676010.29-8000000</f>
        <v>5676010.2899999991</v>
      </c>
      <c r="BR14" s="614"/>
      <c r="BS14" s="625"/>
      <c r="BT14" s="614"/>
    </row>
    <row r="15" spans="1:75" x14ac:dyDescent="0.3">
      <c r="A15" s="437" t="s">
        <v>152</v>
      </c>
      <c r="B15" s="133"/>
      <c r="C15" s="438"/>
      <c r="D15" s="431">
        <v>558934308.77170002</v>
      </c>
      <c r="E15" s="64">
        <f>H15+R15+AM15+AK15</f>
        <v>558934308.76501477</v>
      </c>
      <c r="F15" s="411">
        <f t="shared" si="1"/>
        <v>-6.6852569580078125E-3</v>
      </c>
      <c r="G15" s="159">
        <v>218669600</v>
      </c>
      <c r="H15" s="159">
        <f>J15+L15+O15</f>
        <v>218669600.00331473</v>
      </c>
      <c r="I15" s="668">
        <f>H15-G15</f>
        <v>3.3147335052490234E-3</v>
      </c>
      <c r="J15" s="979">
        <f>42610100+6071200+19709100+1786600+10488200+12868200+1833500+5952100+539600+3167500</f>
        <v>105026100</v>
      </c>
      <c r="K15" s="284">
        <v>68563030.892986074</v>
      </c>
      <c r="L15" s="159">
        <v>68563030.900000006</v>
      </c>
      <c r="M15" s="296">
        <f>L15-K15</f>
        <v>7.0139318704605103E-3</v>
      </c>
      <c r="N15" s="284">
        <v>45080469.111787736</v>
      </c>
      <c r="O15" s="284">
        <f>'расчет норматив'!AA6</f>
        <v>45080469.103314735</v>
      </c>
      <c r="P15" s="366">
        <f>O15-N15</f>
        <v>-8.4730014204978943E-3</v>
      </c>
      <c r="Q15" s="277"/>
      <c r="R15" s="308"/>
      <c r="S15" s="416"/>
      <c r="T15" s="526"/>
      <c r="U15" s="308"/>
      <c r="V15" s="154"/>
      <c r="W15" s="357">
        <f t="shared" si="2"/>
        <v>0</v>
      </c>
      <c r="X15" s="380"/>
      <c r="Y15" s="153">
        <f t="shared" si="3"/>
        <v>0</v>
      </c>
      <c r="Z15" s="357">
        <f t="shared" si="4"/>
        <v>0</v>
      </c>
      <c r="AA15" s="308"/>
      <c r="AB15" s="154"/>
      <c r="AC15" s="358"/>
      <c r="AD15" s="277"/>
      <c r="AE15" s="154"/>
      <c r="AF15" s="358"/>
      <c r="AG15" s="277"/>
      <c r="AH15" s="154"/>
      <c r="AI15" s="358"/>
      <c r="AJ15" s="423"/>
      <c r="AK15" s="394">
        <v>1908800</v>
      </c>
      <c r="AL15" s="334">
        <v>338355908.77170002</v>
      </c>
      <c r="AM15" s="347">
        <f>AP15+AS15+AW15</f>
        <v>338355908.76170003</v>
      </c>
      <c r="AN15" s="1013">
        <f t="shared" si="5"/>
        <v>-9.9999904632568359E-3</v>
      </c>
      <c r="AO15" s="338">
        <v>275159009.70170003</v>
      </c>
      <c r="AP15" s="162">
        <f>AL15-AS15-AW15-0.01</f>
        <v>290778246.87170005</v>
      </c>
      <c r="AQ15" s="1019">
        <f>AP15-AO15</f>
        <v>15619237.170000017</v>
      </c>
      <c r="AR15" s="324">
        <v>63196899.07</v>
      </c>
      <c r="AS15" s="162">
        <v>44423842.689999998</v>
      </c>
      <c r="AT15" s="339">
        <f>AS15-AR15</f>
        <v>-18773056.380000003</v>
      </c>
      <c r="AU15" s="541"/>
      <c r="AV15" s="324"/>
      <c r="AW15" s="162">
        <v>3153819.2</v>
      </c>
      <c r="AX15" s="339">
        <f>AW15-AV15</f>
        <v>3153819.2</v>
      </c>
      <c r="BG15" s="618"/>
      <c r="BH15" s="614"/>
      <c r="BI15" s="618">
        <v>67613872.370000005</v>
      </c>
      <c r="BJ15" s="614"/>
      <c r="BM15" s="628"/>
      <c r="BN15" s="628"/>
      <c r="BQ15" s="618">
        <f>5100000</f>
        <v>5100000</v>
      </c>
      <c r="BR15" s="614"/>
      <c r="BS15" s="618">
        <v>67613872.370000005</v>
      </c>
      <c r="BT15" s="614"/>
    </row>
    <row r="16" spans="1:75" x14ac:dyDescent="0.3">
      <c r="A16" s="437" t="s">
        <v>153</v>
      </c>
      <c r="B16" s="133"/>
      <c r="C16" s="438"/>
      <c r="D16" s="431">
        <v>0</v>
      </c>
      <c r="E16" s="64">
        <f>H16+R16+AL16+AK16</f>
        <v>0</v>
      </c>
      <c r="F16" s="410">
        <f t="shared" si="1"/>
        <v>0</v>
      </c>
      <c r="G16" s="284"/>
      <c r="H16" s="159"/>
      <c r="I16" s="668">
        <f t="shared" ref="I16:I22" si="6">H16-G16</f>
        <v>0</v>
      </c>
      <c r="J16" s="979"/>
      <c r="K16" s="284"/>
      <c r="L16" s="159"/>
      <c r="M16" s="296"/>
      <c r="N16" s="295"/>
      <c r="O16" s="284"/>
      <c r="P16" s="366"/>
      <c r="Q16" s="277"/>
      <c r="R16" s="308"/>
      <c r="S16" s="416"/>
      <c r="T16" s="526"/>
      <c r="U16" s="308"/>
      <c r="V16" s="154"/>
      <c r="W16" s="357">
        <f t="shared" si="2"/>
        <v>0</v>
      </c>
      <c r="X16" s="380"/>
      <c r="Y16" s="153">
        <f t="shared" si="3"/>
        <v>0</v>
      </c>
      <c r="Z16" s="357">
        <f t="shared" si="4"/>
        <v>0</v>
      </c>
      <c r="AA16" s="308"/>
      <c r="AB16" s="154"/>
      <c r="AC16" s="358"/>
      <c r="AD16" s="277"/>
      <c r="AE16" s="154"/>
      <c r="AF16" s="358"/>
      <c r="AG16" s="277"/>
      <c r="AH16" s="154"/>
      <c r="AI16" s="358"/>
      <c r="AJ16" s="423"/>
      <c r="AK16" s="394"/>
      <c r="AL16" s="334">
        <v>0</v>
      </c>
      <c r="AM16" s="347">
        <f t="shared" ref="AM16:AM74" si="7">AP16+AS16</f>
        <v>0</v>
      </c>
      <c r="AN16" s="1013">
        <f t="shared" si="5"/>
        <v>0</v>
      </c>
      <c r="AO16" s="336"/>
      <c r="AP16" s="260"/>
      <c r="AQ16" s="1018"/>
      <c r="AR16" s="325"/>
      <c r="AS16" s="260"/>
      <c r="AT16" s="337"/>
      <c r="AU16" s="541"/>
      <c r="AV16" s="325"/>
      <c r="AW16" s="260"/>
      <c r="AX16" s="337"/>
      <c r="BG16" s="619"/>
      <c r="BH16" s="614"/>
      <c r="BI16" s="625"/>
      <c r="BJ16" s="614"/>
      <c r="BM16" s="628"/>
      <c r="BN16" s="628"/>
      <c r="BQ16" s="619">
        <f>SUM(BQ14:BQ15)</f>
        <v>10776010.289999999</v>
      </c>
      <c r="BR16" s="614"/>
      <c r="BS16" s="625"/>
      <c r="BT16" s="614"/>
    </row>
    <row r="17" spans="1:72" x14ac:dyDescent="0.3">
      <c r="A17" s="437" t="s">
        <v>154</v>
      </c>
      <c r="B17" s="133"/>
      <c r="C17" s="438"/>
      <c r="D17" s="431">
        <v>16203570.300000001</v>
      </c>
      <c r="E17" s="64">
        <f>H17+R17+AM17+AK17</f>
        <v>16203570.300000001</v>
      </c>
      <c r="F17" s="410">
        <f t="shared" si="1"/>
        <v>0</v>
      </c>
      <c r="G17" s="284"/>
      <c r="H17" s="159"/>
      <c r="I17" s="668">
        <f t="shared" si="6"/>
        <v>0</v>
      </c>
      <c r="J17" s="979"/>
      <c r="K17" s="284"/>
      <c r="L17" s="159"/>
      <c r="M17" s="296"/>
      <c r="N17" s="295"/>
      <c r="O17" s="284"/>
      <c r="P17" s="366"/>
      <c r="Q17" s="277"/>
      <c r="R17" s="308"/>
      <c r="S17" s="416"/>
      <c r="T17" s="526"/>
      <c r="U17" s="308"/>
      <c r="V17" s="154"/>
      <c r="W17" s="357">
        <f t="shared" si="2"/>
        <v>0</v>
      </c>
      <c r="X17" s="380"/>
      <c r="Y17" s="153">
        <f t="shared" si="3"/>
        <v>0</v>
      </c>
      <c r="Z17" s="357">
        <f t="shared" si="4"/>
        <v>0</v>
      </c>
      <c r="AA17" s="308"/>
      <c r="AB17" s="154"/>
      <c r="AC17" s="358"/>
      <c r="AD17" s="277"/>
      <c r="AE17" s="154"/>
      <c r="AF17" s="358"/>
      <c r="AG17" s="277"/>
      <c r="AH17" s="154"/>
      <c r="AI17" s="358"/>
      <c r="AJ17" s="423"/>
      <c r="AK17" s="393"/>
      <c r="AL17" s="334">
        <v>16203570.300000001</v>
      </c>
      <c r="AM17" s="347">
        <f>AP17+AS17+AW17</f>
        <v>16203570.300000001</v>
      </c>
      <c r="AN17" s="1013">
        <f t="shared" si="5"/>
        <v>0</v>
      </c>
      <c r="AO17" s="338">
        <v>16203570.300000001</v>
      </c>
      <c r="AP17" s="162">
        <f>AL17-AS17-AW17</f>
        <v>16203570.300000001</v>
      </c>
      <c r="AQ17" s="1019">
        <f>AP17-AO17</f>
        <v>0</v>
      </c>
      <c r="AR17" s="324"/>
      <c r="AS17" s="162"/>
      <c r="AT17" s="339"/>
      <c r="AU17" s="541"/>
      <c r="AV17" s="324"/>
      <c r="AW17" s="162"/>
      <c r="AX17" s="339"/>
      <c r="BG17" s="618"/>
      <c r="BH17" s="614"/>
      <c r="BI17" s="625"/>
      <c r="BJ17" s="614"/>
      <c r="BM17" s="628"/>
      <c r="BN17" s="628"/>
      <c r="BQ17" s="618">
        <f>BQ12-BQ16</f>
        <v>59689685.34170004</v>
      </c>
      <c r="BR17" s="614"/>
      <c r="BS17" s="625"/>
      <c r="BT17" s="614"/>
    </row>
    <row r="18" spans="1:72" ht="31.5" x14ac:dyDescent="0.3">
      <c r="A18" s="437" t="s">
        <v>155</v>
      </c>
      <c r="B18" s="1052">
        <v>130</v>
      </c>
      <c r="C18" s="438"/>
      <c r="D18" s="431">
        <v>0</v>
      </c>
      <c r="E18" s="59">
        <f>H18+R18+AL18+AK18</f>
        <v>0</v>
      </c>
      <c r="F18" s="410">
        <f t="shared" si="1"/>
        <v>0</v>
      </c>
      <c r="G18" s="285"/>
      <c r="H18" s="158"/>
      <c r="I18" s="668">
        <f t="shared" si="6"/>
        <v>0</v>
      </c>
      <c r="J18" s="881"/>
      <c r="K18" s="285"/>
      <c r="L18" s="158"/>
      <c r="M18" s="298"/>
      <c r="N18" s="297"/>
      <c r="O18" s="285"/>
      <c r="P18" s="367"/>
      <c r="Q18" s="279"/>
      <c r="R18" s="310"/>
      <c r="S18" s="418"/>
      <c r="T18" s="528"/>
      <c r="U18" s="310"/>
      <c r="V18" s="63"/>
      <c r="W18" s="357">
        <f t="shared" si="2"/>
        <v>0</v>
      </c>
      <c r="X18" s="382"/>
      <c r="Y18" s="153">
        <f t="shared" si="3"/>
        <v>0</v>
      </c>
      <c r="Z18" s="357">
        <f t="shared" si="4"/>
        <v>0</v>
      </c>
      <c r="AA18" s="310"/>
      <c r="AB18" s="63"/>
      <c r="AC18" s="360"/>
      <c r="AD18" s="279"/>
      <c r="AE18" s="63"/>
      <c r="AF18" s="360"/>
      <c r="AG18" s="279"/>
      <c r="AH18" s="63"/>
      <c r="AI18" s="360"/>
      <c r="AJ18" s="425"/>
      <c r="AK18" s="395"/>
      <c r="AL18" s="334">
        <v>0</v>
      </c>
      <c r="AM18" s="347">
        <f t="shared" si="7"/>
        <v>0</v>
      </c>
      <c r="AN18" s="1013">
        <f t="shared" si="5"/>
        <v>0</v>
      </c>
      <c r="AO18" s="336"/>
      <c r="AP18" s="260"/>
      <c r="AQ18" s="1018"/>
      <c r="AR18" s="325"/>
      <c r="AS18" s="260"/>
      <c r="AT18" s="337"/>
      <c r="AU18" s="540" t="s">
        <v>149</v>
      </c>
      <c r="AV18" s="325"/>
      <c r="AW18" s="260"/>
      <c r="AX18" s="337"/>
      <c r="BG18" s="617"/>
      <c r="BH18" s="614"/>
      <c r="BI18" s="625"/>
      <c r="BJ18" s="614"/>
      <c r="BM18" s="628"/>
      <c r="BN18" s="628"/>
      <c r="BQ18" s="617"/>
      <c r="BR18" s="614"/>
      <c r="BS18" s="625"/>
      <c r="BT18" s="614"/>
    </row>
    <row r="19" spans="1:72" ht="63.75" customHeight="1" x14ac:dyDescent="0.3">
      <c r="A19" s="437" t="s">
        <v>156</v>
      </c>
      <c r="B19" s="1052">
        <v>140</v>
      </c>
      <c r="C19" s="438"/>
      <c r="D19" s="431">
        <v>0</v>
      </c>
      <c r="E19" s="59">
        <f>H19+R19+AL19+AK19</f>
        <v>0</v>
      </c>
      <c r="F19" s="410">
        <f t="shared" si="1"/>
        <v>0</v>
      </c>
      <c r="G19" s="285"/>
      <c r="H19" s="158"/>
      <c r="I19" s="668">
        <f t="shared" si="6"/>
        <v>0</v>
      </c>
      <c r="J19" s="881"/>
      <c r="K19" s="285"/>
      <c r="L19" s="158"/>
      <c r="M19" s="298"/>
      <c r="N19" s="297"/>
      <c r="O19" s="285"/>
      <c r="P19" s="367"/>
      <c r="Q19" s="279"/>
      <c r="R19" s="310"/>
      <c r="S19" s="418"/>
      <c r="T19" s="528"/>
      <c r="U19" s="310"/>
      <c r="V19" s="63"/>
      <c r="W19" s="357">
        <f t="shared" si="2"/>
        <v>0</v>
      </c>
      <c r="X19" s="382"/>
      <c r="Y19" s="153">
        <f t="shared" si="3"/>
        <v>0</v>
      </c>
      <c r="Z19" s="357">
        <f t="shared" si="4"/>
        <v>0</v>
      </c>
      <c r="AA19" s="310"/>
      <c r="AB19" s="63"/>
      <c r="AC19" s="360"/>
      <c r="AD19" s="279"/>
      <c r="AE19" s="63"/>
      <c r="AF19" s="360"/>
      <c r="AG19" s="279"/>
      <c r="AH19" s="63"/>
      <c r="AI19" s="360"/>
      <c r="AJ19" s="425"/>
      <c r="AK19" s="395"/>
      <c r="AL19" s="334">
        <v>0</v>
      </c>
      <c r="AM19" s="347">
        <f t="shared" si="7"/>
        <v>0</v>
      </c>
      <c r="AN19" s="1013">
        <f t="shared" si="5"/>
        <v>0</v>
      </c>
      <c r="AO19" s="336"/>
      <c r="AP19" s="260"/>
      <c r="AQ19" s="1018"/>
      <c r="AR19" s="325"/>
      <c r="AS19" s="260"/>
      <c r="AT19" s="337"/>
      <c r="AU19" s="540" t="s">
        <v>149</v>
      </c>
      <c r="AV19" s="325"/>
      <c r="AW19" s="260"/>
      <c r="AX19" s="337"/>
      <c r="BG19" s="617"/>
      <c r="BH19" s="614"/>
      <c r="BI19" s="625"/>
      <c r="BJ19" s="614"/>
      <c r="BM19" s="628"/>
      <c r="BN19" s="628"/>
      <c r="BQ19" s="617"/>
      <c r="BR19" s="614"/>
      <c r="BS19" s="625"/>
      <c r="BT19" s="614"/>
    </row>
    <row r="20" spans="1:72" ht="38.25" customHeight="1" x14ac:dyDescent="0.3">
      <c r="A20" s="437" t="s">
        <v>157</v>
      </c>
      <c r="B20" s="1052">
        <v>150</v>
      </c>
      <c r="C20" s="438"/>
      <c r="D20" s="431">
        <v>1270135000</v>
      </c>
      <c r="E20" s="64">
        <f>H20+R20+AM20+AK20</f>
        <v>1270135000</v>
      </c>
      <c r="F20" s="411">
        <f t="shared" si="1"/>
        <v>0</v>
      </c>
      <c r="G20" s="285"/>
      <c r="H20" s="158"/>
      <c r="I20" s="668">
        <f t="shared" si="6"/>
        <v>0</v>
      </c>
      <c r="J20" s="881"/>
      <c r="K20" s="285"/>
      <c r="L20" s="158"/>
      <c r="M20" s="298"/>
      <c r="N20" s="297"/>
      <c r="O20" s="285"/>
      <c r="P20" s="367"/>
      <c r="Q20" s="279">
        <v>1270135000</v>
      </c>
      <c r="R20" s="310">
        <f>T20+V20+X20+AB20+AE20+AH20</f>
        <v>1270135000</v>
      </c>
      <c r="S20" s="418">
        <f>R20-Q20</f>
        <v>0</v>
      </c>
      <c r="T20" s="528"/>
      <c r="U20" s="310">
        <v>1216891000</v>
      </c>
      <c r="V20" s="63">
        <f>1270135000-X20-AB20-AE20-AH20</f>
        <v>1216891000.01</v>
      </c>
      <c r="W20" s="360">
        <f t="shared" si="2"/>
        <v>9.9999904632568359E-3</v>
      </c>
      <c r="X20" s="382">
        <v>22131000</v>
      </c>
      <c r="Y20" s="63">
        <f>X20-Z20</f>
        <v>22131000</v>
      </c>
      <c r="Z20" s="360"/>
      <c r="AA20" s="310">
        <v>6878578.4699999997</v>
      </c>
      <c r="AB20" s="63">
        <f>AB23</f>
        <v>6878578.4699999997</v>
      </c>
      <c r="AC20" s="360">
        <f>AB20-AA20</f>
        <v>0</v>
      </c>
      <c r="AD20" s="63">
        <v>15071900</v>
      </c>
      <c r="AE20" s="63">
        <f>AE23</f>
        <v>15071900</v>
      </c>
      <c r="AF20" s="360">
        <f>AE20-AD20</f>
        <v>0</v>
      </c>
      <c r="AG20" s="63">
        <v>9162521.5199999996</v>
      </c>
      <c r="AH20" s="63">
        <v>9162521.5199999996</v>
      </c>
      <c r="AI20" s="360">
        <f>AH20-AG20</f>
        <v>0</v>
      </c>
      <c r="AJ20" s="426"/>
      <c r="AK20" s="395"/>
      <c r="AL20" s="334">
        <v>0</v>
      </c>
      <c r="AM20" s="347">
        <f t="shared" si="7"/>
        <v>0</v>
      </c>
      <c r="AN20" s="1013">
        <f t="shared" si="5"/>
        <v>0</v>
      </c>
      <c r="AO20" s="338"/>
      <c r="AP20" s="162"/>
      <c r="AQ20" s="1019"/>
      <c r="AR20" s="324"/>
      <c r="AS20" s="162"/>
      <c r="AT20" s="339"/>
      <c r="AU20" s="540" t="s">
        <v>149</v>
      </c>
      <c r="AV20" s="324"/>
      <c r="AW20" s="162"/>
      <c r="AX20" s="339"/>
      <c r="BG20" s="617"/>
      <c r="BH20" s="614"/>
      <c r="BI20" s="625"/>
      <c r="BJ20" s="614"/>
      <c r="BM20" s="628"/>
      <c r="BN20" s="628"/>
      <c r="BQ20" s="617"/>
      <c r="BR20" s="614"/>
      <c r="BS20" s="625"/>
      <c r="BT20" s="614"/>
    </row>
    <row r="21" spans="1:72" ht="19.5" customHeight="1" x14ac:dyDescent="0.3">
      <c r="A21" s="437" t="s">
        <v>158</v>
      </c>
      <c r="B21" s="1052">
        <v>160</v>
      </c>
      <c r="C21" s="438"/>
      <c r="D21" s="431">
        <v>34899225.510000005</v>
      </c>
      <c r="E21" s="64">
        <f>H21+R21+AM21+AK21</f>
        <v>34899225.510000005</v>
      </c>
      <c r="F21" s="411">
        <f t="shared" si="1"/>
        <v>0</v>
      </c>
      <c r="G21" s="285"/>
      <c r="H21" s="158"/>
      <c r="I21" s="668">
        <f t="shared" si="6"/>
        <v>0</v>
      </c>
      <c r="J21" s="881"/>
      <c r="K21" s="285"/>
      <c r="L21" s="158"/>
      <c r="M21" s="298"/>
      <c r="N21" s="297"/>
      <c r="O21" s="285"/>
      <c r="P21" s="367"/>
      <c r="Q21" s="279"/>
      <c r="R21" s="310"/>
      <c r="S21" s="418"/>
      <c r="T21" s="528"/>
      <c r="U21" s="310"/>
      <c r="V21" s="63"/>
      <c r="W21" s="357"/>
      <c r="X21" s="382"/>
      <c r="Y21" s="153">
        <f>X21-W21</f>
        <v>0</v>
      </c>
      <c r="Z21" s="357">
        <f>X21-W21</f>
        <v>0</v>
      </c>
      <c r="AA21" s="310"/>
      <c r="AB21" s="63"/>
      <c r="AC21" s="360"/>
      <c r="AD21" s="279"/>
      <c r="AE21" s="63"/>
      <c r="AF21" s="360"/>
      <c r="AG21" s="279"/>
      <c r="AH21" s="63"/>
      <c r="AI21" s="360"/>
      <c r="AJ21" s="425"/>
      <c r="AK21" s="395"/>
      <c r="AL21" s="334">
        <v>34899225.510000005</v>
      </c>
      <c r="AM21" s="347">
        <f>AP21+AS21+AW21</f>
        <v>34899225.510000005</v>
      </c>
      <c r="AN21" s="1013">
        <f t="shared" si="5"/>
        <v>0</v>
      </c>
      <c r="AO21" s="338">
        <v>14623053.460000001</v>
      </c>
      <c r="AP21" s="162">
        <f>AL21-AS21-AW21</f>
        <v>14623053.460000005</v>
      </c>
      <c r="AQ21" s="1019">
        <f>AP21-AO21</f>
        <v>0</v>
      </c>
      <c r="AR21" s="324">
        <v>20276172.050000001</v>
      </c>
      <c r="AS21" s="162">
        <v>11158193.82</v>
      </c>
      <c r="AT21" s="339">
        <f>AS21-AR21</f>
        <v>-9117978.2300000004</v>
      </c>
      <c r="AU21" s="542"/>
      <c r="AV21" s="324"/>
      <c r="AW21" s="162">
        <v>9117978.2300000004</v>
      </c>
      <c r="AX21" s="339">
        <f>AW21-AV21</f>
        <v>9117978.2300000004</v>
      </c>
      <c r="BG21" s="617"/>
      <c r="BH21" s="614"/>
      <c r="BI21" s="618">
        <v>106376.9</v>
      </c>
      <c r="BJ21" s="614"/>
      <c r="BM21" s="628"/>
      <c r="BN21" s="628"/>
      <c r="BQ21" s="617"/>
      <c r="BR21" s="614"/>
      <c r="BS21" s="618">
        <v>106376.9</v>
      </c>
      <c r="BT21" s="614"/>
    </row>
    <row r="22" spans="1:72" ht="22.5" customHeight="1" x14ac:dyDescent="0.3">
      <c r="A22" s="437" t="s">
        <v>159</v>
      </c>
      <c r="B22" s="1052">
        <v>180</v>
      </c>
      <c r="C22" s="1054" t="s">
        <v>149</v>
      </c>
      <c r="D22" s="64">
        <f>G22+Q22+AL22+AJ22</f>
        <v>0</v>
      </c>
      <c r="E22" s="64">
        <f>H22+R22+AM22+AK22</f>
        <v>0</v>
      </c>
      <c r="F22" s="411">
        <f t="shared" si="1"/>
        <v>0</v>
      </c>
      <c r="G22" s="284"/>
      <c r="H22" s="159"/>
      <c r="I22" s="668">
        <f t="shared" si="6"/>
        <v>0</v>
      </c>
      <c r="J22" s="979"/>
      <c r="K22" s="284"/>
      <c r="L22" s="159"/>
      <c r="M22" s="296"/>
      <c r="N22" s="295"/>
      <c r="O22" s="284"/>
      <c r="P22" s="366"/>
      <c r="Q22" s="277"/>
      <c r="R22" s="308"/>
      <c r="S22" s="416"/>
      <c r="T22" s="526"/>
      <c r="U22" s="308"/>
      <c r="V22" s="154"/>
      <c r="W22" s="357">
        <f t="shared" si="2"/>
        <v>0</v>
      </c>
      <c r="X22" s="380"/>
      <c r="Y22" s="153">
        <f>X22-W22</f>
        <v>0</v>
      </c>
      <c r="Z22" s="357">
        <f>X22-W22</f>
        <v>0</v>
      </c>
      <c r="AA22" s="308"/>
      <c r="AB22" s="154"/>
      <c r="AC22" s="358"/>
      <c r="AD22" s="277"/>
      <c r="AE22" s="154"/>
      <c r="AF22" s="358"/>
      <c r="AG22" s="277"/>
      <c r="AH22" s="154"/>
      <c r="AI22" s="358"/>
      <c r="AJ22" s="423"/>
      <c r="AK22" s="393"/>
      <c r="AL22" s="334">
        <v>0</v>
      </c>
      <c r="AM22" s="347">
        <f t="shared" si="7"/>
        <v>0</v>
      </c>
      <c r="AN22" s="1013">
        <f t="shared" si="5"/>
        <v>0</v>
      </c>
      <c r="AO22" s="336"/>
      <c r="AP22" s="260"/>
      <c r="AQ22" s="1018"/>
      <c r="AR22" s="324"/>
      <c r="AS22" s="162"/>
      <c r="AT22" s="339">
        <f>AS22-AR22</f>
        <v>0</v>
      </c>
      <c r="AU22" s="543" t="s">
        <v>149</v>
      </c>
      <c r="AV22" s="324"/>
      <c r="AW22" s="162"/>
      <c r="AX22" s="339">
        <f>AW22-AV22</f>
        <v>0</v>
      </c>
      <c r="BG22" s="617"/>
      <c r="BH22" s="614"/>
      <c r="BI22" s="618">
        <v>495312.5</v>
      </c>
      <c r="BJ22" s="614"/>
      <c r="BM22" s="628"/>
      <c r="BN22" s="628"/>
      <c r="BP22" s="533">
        <f>BM23-BP23</f>
        <v>62451857.668063521</v>
      </c>
      <c r="BQ22" s="617"/>
      <c r="BR22" s="614"/>
      <c r="BS22" s="618">
        <v>495312.5</v>
      </c>
      <c r="BT22" s="614"/>
    </row>
    <row r="23" spans="1:72" s="115" customFormat="1" x14ac:dyDescent="0.3">
      <c r="A23" s="435" t="s">
        <v>160</v>
      </c>
      <c r="B23" s="1053">
        <v>200</v>
      </c>
      <c r="C23" s="436" t="s">
        <v>149</v>
      </c>
      <c r="D23" s="1010">
        <f>D24+D45+D33</f>
        <v>2302231642.3292375</v>
      </c>
      <c r="E23" s="1057">
        <f>H23+R23+AM23+AK23</f>
        <v>2299618211.1447644</v>
      </c>
      <c r="F23" s="410">
        <f t="shared" si="1"/>
        <v>-2613431.1844730377</v>
      </c>
      <c r="G23" s="293">
        <f>G24+G29+G33+G42+G45+G67+G71</f>
        <v>239742190.98477376</v>
      </c>
      <c r="H23" s="157">
        <f>H24+H36+H45</f>
        <v>239742190.98430079</v>
      </c>
      <c r="I23" s="667">
        <f>H23-G23</f>
        <v>-4.7296285629272461E-4</v>
      </c>
      <c r="J23" s="882">
        <f>J24+J33+J45</f>
        <v>121550240.5065745</v>
      </c>
      <c r="K23" s="283">
        <v>73111481.366411567</v>
      </c>
      <c r="L23" s="157">
        <f>L24+L29+L33+L42+L45+L67+L71</f>
        <v>73111481.374411568</v>
      </c>
      <c r="M23" s="294">
        <f>L23-K23</f>
        <v>8.0000013113021851E-3</v>
      </c>
      <c r="N23" s="293">
        <v>45080469.111787736</v>
      </c>
      <c r="O23" s="283">
        <f>O24+O29+O33+O42+O45+O67+O71</f>
        <v>45080469.103314735</v>
      </c>
      <c r="P23" s="365">
        <f>O23-N23</f>
        <v>-8.4730014204978943E-3</v>
      </c>
      <c r="Q23" s="276">
        <v>1660942107.3100002</v>
      </c>
      <c r="R23" s="307">
        <f>R24+R29+R41+R42+R67+R45+R33</f>
        <v>1658328676.1500001</v>
      </c>
      <c r="S23" s="415">
        <f>R23-Q23</f>
        <v>-2613431.1600000858</v>
      </c>
      <c r="T23" s="525">
        <f>T24+T33+T45</f>
        <v>388193676.14999998</v>
      </c>
      <c r="U23" s="307">
        <f>U24+U33+U45</f>
        <v>1216891000</v>
      </c>
      <c r="V23" s="153">
        <f>V24+V33+V45</f>
        <v>1216891000.01</v>
      </c>
      <c r="W23" s="357">
        <f t="shared" si="2"/>
        <v>9.9999904632568359E-3</v>
      </c>
      <c r="X23" s="379">
        <f>X24+X29+X41+X42+X67+X45+X33</f>
        <v>27319510.329999998</v>
      </c>
      <c r="Y23" s="153">
        <f>Y24+Y29+Y41+Y42+Y67+Y45+Y33</f>
        <v>22131000</v>
      </c>
      <c r="Z23" s="357">
        <f>Z24+Z29+Z41+Z42+Z67+Z45+Z33</f>
        <v>0</v>
      </c>
      <c r="AA23" s="307">
        <v>6878578.4699999997</v>
      </c>
      <c r="AB23" s="153">
        <f t="shared" ref="AB23:AE23" si="8">AB24+AB29+AB41+AB42+AB67+AB45+AB33</f>
        <v>6878578.4699999997</v>
      </c>
      <c r="AC23" s="357">
        <f>AB23-AA23</f>
        <v>0</v>
      </c>
      <c r="AD23" s="153">
        <v>15071900</v>
      </c>
      <c r="AE23" s="153">
        <f t="shared" si="8"/>
        <v>15071900</v>
      </c>
      <c r="AF23" s="357">
        <f>AE23-AD23</f>
        <v>0</v>
      </c>
      <c r="AG23" s="153">
        <v>9162521.5199999996</v>
      </c>
      <c r="AH23" s="153">
        <f t="shared" ref="AH23" si="9">AH24+AH29+AH41+AH42+AH67+AH45+AH33</f>
        <v>9162521.5199999996</v>
      </c>
      <c r="AI23" s="357">
        <f>AH23-AG23</f>
        <v>0</v>
      </c>
      <c r="AJ23" s="422">
        <f>AJ24+AJ29+AJ36+AJ41+AJ42+AJ67+AJ45</f>
        <v>0</v>
      </c>
      <c r="AK23" s="396">
        <f>AK24+AK29+AK41+AK42+AK45+AK67+AK33</f>
        <v>1908800</v>
      </c>
      <c r="AL23" s="334">
        <v>399638544.03446358</v>
      </c>
      <c r="AM23" s="347">
        <f>AP23+AS23+AW23</f>
        <v>399638544.01046354</v>
      </c>
      <c r="AN23" s="1013">
        <f t="shared" si="5"/>
        <v>-2.4000048637390137E-2</v>
      </c>
      <c r="AO23" s="334">
        <v>315793818.92446357</v>
      </c>
      <c r="AP23" s="161">
        <f>AP24+AP29+AP41+AP42+AP67+AP45+AP33</f>
        <v>331413056.08046353</v>
      </c>
      <c r="AQ23" s="406">
        <f>AP23-AO23</f>
        <v>15619237.155999959</v>
      </c>
      <c r="AR23" s="161">
        <f>AR24+AR29+AR41+AR42+AR45+AR67+AR33</f>
        <v>83844725.109999999</v>
      </c>
      <c r="AS23" s="161">
        <f>AS24+AS29+AS41+AS42+AS45+AS67+AS33</f>
        <v>55953690.5</v>
      </c>
      <c r="AT23" s="335">
        <f>AS23-AR23</f>
        <v>-27891034.609999999</v>
      </c>
      <c r="AU23" s="539">
        <f>AU24+AU29+AU36+AU41+AU42+AU67+AU45</f>
        <v>0</v>
      </c>
      <c r="AV23" s="323"/>
      <c r="AW23" s="161">
        <f>AW24+AW29+AW41+AW42+AW45+AW67+AW33</f>
        <v>12271797.430000002</v>
      </c>
      <c r="AX23" s="335">
        <f>AW23-AV23</f>
        <v>12271797.430000002</v>
      </c>
      <c r="AZ23" s="969">
        <v>315793818.93169999</v>
      </c>
      <c r="BA23" s="135">
        <f>AZ23-AP23</f>
        <v>-15619237.148763537</v>
      </c>
      <c r="BG23" s="334">
        <f>BG24+BG29+BG41+BG42+BG45+BG67+BG33</f>
        <v>0</v>
      </c>
      <c r="BH23" s="539">
        <f>BH24+BH29+BH41+BH42+BH45+BH67+BH33</f>
        <v>15071900</v>
      </c>
      <c r="BI23" s="334">
        <f t="shared" ref="BI23:BJ23" si="10">BI24+BI29+BI41+BI42+BI45+BI67+BI33</f>
        <v>69438047.340000004</v>
      </c>
      <c r="BJ23" s="539">
        <f t="shared" si="10"/>
        <v>-60275525.819999993</v>
      </c>
      <c r="BM23" s="628">
        <f>AL23</f>
        <v>399638544.03446358</v>
      </c>
      <c r="BN23" s="628">
        <f t="shared" ref="BN23:BN74" si="11">BQ23+BS23</f>
        <v>331661665.28999996</v>
      </c>
      <c r="BO23" s="535">
        <f>BM23-BN23</f>
        <v>67976878.744463623</v>
      </c>
      <c r="BP23" s="334">
        <f>BP24+BP29+BP41+BP42+BP45+BP67+BP33</f>
        <v>337186686.36640006</v>
      </c>
      <c r="BQ23" s="334">
        <f>BQ24+BQ29+BQ41+BQ42+BQ45+BQ67+BQ33</f>
        <v>262223617.94999999</v>
      </c>
      <c r="BR23" s="539">
        <f>BR24+BR29+BR41+BR42+BR45+BR67+BR33</f>
        <v>53570200.97446353</v>
      </c>
      <c r="BS23" s="334">
        <f t="shared" ref="BS23:BT23" si="12">BS24+BS29+BS41+BS42+BS45+BS67+BS33</f>
        <v>69438047.340000004</v>
      </c>
      <c r="BT23" s="539">
        <f t="shared" si="12"/>
        <v>14406677.770000001</v>
      </c>
    </row>
    <row r="24" spans="1:72" s="115" customFormat="1" ht="18.75" customHeight="1" x14ac:dyDescent="0.3">
      <c r="A24" s="435" t="s">
        <v>161</v>
      </c>
      <c r="B24" s="1053">
        <v>210</v>
      </c>
      <c r="C24" s="436">
        <v>110</v>
      </c>
      <c r="D24" s="430">
        <f>D26+D27+D28</f>
        <v>423878802.28609848</v>
      </c>
      <c r="E24" s="1057">
        <f>H24+R24+AM24+AK24</f>
        <v>424149150.21430081</v>
      </c>
      <c r="F24" s="410">
        <f t="shared" si="1"/>
        <v>270347.92820233107</v>
      </c>
      <c r="G24" s="293">
        <f>G26+G27+G28</f>
        <v>187885462.61477378</v>
      </c>
      <c r="H24" s="157">
        <f>H26+H27+H28</f>
        <v>187885462.61430082</v>
      </c>
      <c r="I24" s="667">
        <f>H24-G24</f>
        <v>-4.7296285629272461E-4</v>
      </c>
      <c r="J24" s="882">
        <f>J26+J27+J28</f>
        <v>121550240.5065745</v>
      </c>
      <c r="K24" s="283">
        <v>40250801.519726306</v>
      </c>
      <c r="L24" s="157">
        <f>L26+L27+L28</f>
        <v>40250801.527726308</v>
      </c>
      <c r="M24" s="294">
        <f>L24-K24</f>
        <v>8.0000013113021851E-3</v>
      </c>
      <c r="N24" s="293">
        <v>26084420.588472996</v>
      </c>
      <c r="O24" s="283">
        <f>O26+O27+O28</f>
        <v>26084420.579999998</v>
      </c>
      <c r="P24" s="365">
        <f>O24-N24</f>
        <v>-8.4729976952075958E-3</v>
      </c>
      <c r="Q24" s="276">
        <v>24940779.411324892</v>
      </c>
      <c r="R24" s="307">
        <f>R26+R27+R28</f>
        <v>24940779.41</v>
      </c>
      <c r="S24" s="415">
        <f>R24-Q24</f>
        <v>-1.3248920440673828E-3</v>
      </c>
      <c r="T24" s="525">
        <f>T26+T27</f>
        <v>0</v>
      </c>
      <c r="U24" s="307">
        <v>0</v>
      </c>
      <c r="V24" s="153">
        <f>V26+V27+V28</f>
        <v>0</v>
      </c>
      <c r="W24" s="357">
        <f t="shared" si="2"/>
        <v>0</v>
      </c>
      <c r="X24" s="379">
        <f>X26+X27+X28</f>
        <v>11760515.671324892</v>
      </c>
      <c r="Y24" s="153">
        <f>Y26+Y27+Y28</f>
        <v>9868879.4100000001</v>
      </c>
      <c r="Z24" s="357">
        <f>Z26+Z27+Z28</f>
        <v>0</v>
      </c>
      <c r="AA24" s="307">
        <v>0</v>
      </c>
      <c r="AB24" s="153">
        <f>AB26+AB27</f>
        <v>0</v>
      </c>
      <c r="AC24" s="357">
        <f>AB24-AA24</f>
        <v>0</v>
      </c>
      <c r="AD24" s="153">
        <v>15071900</v>
      </c>
      <c r="AE24" s="153">
        <f>AE26+AE27</f>
        <v>15071900</v>
      </c>
      <c r="AF24" s="357">
        <f>AE24-AD24</f>
        <v>0</v>
      </c>
      <c r="AG24" s="153">
        <v>0</v>
      </c>
      <c r="AH24" s="153">
        <f>AH26+AH27</f>
        <v>0</v>
      </c>
      <c r="AI24" s="357">
        <f>AH24-AG24</f>
        <v>0</v>
      </c>
      <c r="AJ24" s="422">
        <f>AJ26+AJ27+AJ28</f>
        <v>0</v>
      </c>
      <c r="AK24" s="396">
        <f>AK26+AK27+AK28</f>
        <v>1858800</v>
      </c>
      <c r="AL24" s="334">
        <v>209193760.26000002</v>
      </c>
      <c r="AM24" s="347">
        <f>AP24+AS24+AW24</f>
        <v>209464108.19</v>
      </c>
      <c r="AN24" s="1013">
        <f t="shared" si="5"/>
        <v>270347.92999997735</v>
      </c>
      <c r="AO24" s="334">
        <f>AO26+AO27+AO28</f>
        <v>160627997.13</v>
      </c>
      <c r="AP24" s="161">
        <f>AP26+AP27+AP28</f>
        <v>170310396.47</v>
      </c>
      <c r="AQ24" s="406">
        <f>AP24-AO24</f>
        <v>9682399.3400000036</v>
      </c>
      <c r="AR24" s="161">
        <f>AR26+AR27+AR28</f>
        <v>48698763.130000003</v>
      </c>
      <c r="AS24" s="161">
        <f>AS26+AS27+AS28</f>
        <v>32053015.510000002</v>
      </c>
      <c r="AT24" s="335">
        <f>AS24-AR24</f>
        <v>-16645747.620000001</v>
      </c>
      <c r="AU24" s="539">
        <f>AU26+AU27+AU28</f>
        <v>0</v>
      </c>
      <c r="AV24" s="323"/>
      <c r="AW24" s="161">
        <f>AW26+AW27+AW28</f>
        <v>7100696.21</v>
      </c>
      <c r="AX24" s="335">
        <f>AW24-AV24</f>
        <v>7100696.21</v>
      </c>
      <c r="BG24" s="334">
        <f>BG26+BG27+BG28</f>
        <v>0</v>
      </c>
      <c r="BH24" s="539">
        <f>BH26+BH27+BH28</f>
        <v>15071900</v>
      </c>
      <c r="BI24" s="334">
        <f t="shared" ref="BI24:BJ24" si="13">BI26+BI27+BI28</f>
        <v>43280242.210000001</v>
      </c>
      <c r="BJ24" s="539">
        <f t="shared" si="13"/>
        <v>-43280242.210000001</v>
      </c>
      <c r="BM24" s="628">
        <f>AL24</f>
        <v>209193760.26000002</v>
      </c>
      <c r="BN24" s="628">
        <f t="shared" si="11"/>
        <v>198794090.73000002</v>
      </c>
      <c r="BO24" s="535">
        <f t="shared" ref="BO24:BO74" si="14">BM24-BN24</f>
        <v>10399669.530000001</v>
      </c>
      <c r="BP24" s="334">
        <f>BP26+BP27+BP28</f>
        <v>206886090.54000002</v>
      </c>
      <c r="BQ24" s="334">
        <f>BQ26+BQ27+BQ28</f>
        <v>155513848.52000001</v>
      </c>
      <c r="BR24" s="539">
        <f>BR26+BR27+BR28</f>
        <v>5114148.609999992</v>
      </c>
      <c r="BS24" s="334">
        <f t="shared" ref="BS24:BT24" si="15">BS26+BS27+BS28</f>
        <v>43280242.210000001</v>
      </c>
      <c r="BT24" s="539">
        <f t="shared" si="15"/>
        <v>5418520.9199999999</v>
      </c>
    </row>
    <row r="25" spans="1:72" x14ac:dyDescent="0.3">
      <c r="A25" s="437" t="s">
        <v>92</v>
      </c>
      <c r="B25" s="133"/>
      <c r="C25" s="438"/>
      <c r="D25" s="431"/>
      <c r="E25" s="59">
        <f>H25+R25+AL25+AK25</f>
        <v>0</v>
      </c>
      <c r="F25" s="410">
        <f t="shared" si="1"/>
        <v>0</v>
      </c>
      <c r="G25" s="285"/>
      <c r="H25" s="158"/>
      <c r="I25" s="667">
        <f t="shared" ref="I25:I75" si="16">H25-G25</f>
        <v>0</v>
      </c>
      <c r="J25" s="881"/>
      <c r="K25" s="285"/>
      <c r="L25" s="158"/>
      <c r="M25" s="298"/>
      <c r="N25" s="297"/>
      <c r="O25" s="285"/>
      <c r="P25" s="367"/>
      <c r="Q25" s="279"/>
      <c r="R25" s="310"/>
      <c r="S25" s="418"/>
      <c r="T25" s="528"/>
      <c r="U25" s="310"/>
      <c r="V25" s="63"/>
      <c r="W25" s="357">
        <f t="shared" si="2"/>
        <v>0</v>
      </c>
      <c r="X25" s="382"/>
      <c r="Y25" s="153">
        <f>X25-W25</f>
        <v>0</v>
      </c>
      <c r="Z25" s="357">
        <f>X25-W25</f>
        <v>0</v>
      </c>
      <c r="AA25" s="310"/>
      <c r="AB25" s="63"/>
      <c r="AC25" s="360"/>
      <c r="AD25" s="279"/>
      <c r="AE25" s="63"/>
      <c r="AF25" s="360"/>
      <c r="AG25" s="279"/>
      <c r="AH25" s="63"/>
      <c r="AI25" s="360"/>
      <c r="AJ25" s="425"/>
      <c r="AK25" s="395"/>
      <c r="AL25" s="334">
        <v>0</v>
      </c>
      <c r="AM25" s="347">
        <f t="shared" ref="AM25:AM73" si="17">AP25+AS25+AW25</f>
        <v>0</v>
      </c>
      <c r="AN25" s="1013">
        <f t="shared" si="5"/>
        <v>0</v>
      </c>
      <c r="AO25" s="338"/>
      <c r="AP25" s="162"/>
      <c r="AQ25" s="1019"/>
      <c r="AR25" s="324"/>
      <c r="AS25" s="162"/>
      <c r="AT25" s="339"/>
      <c r="AU25" s="540"/>
      <c r="AV25" s="324"/>
      <c r="AW25" s="162"/>
      <c r="AX25" s="339"/>
      <c r="BG25" s="617"/>
      <c r="BH25" s="614"/>
      <c r="BI25" s="625"/>
      <c r="BJ25" s="614"/>
      <c r="BM25" s="628">
        <f t="shared" ref="BM25:BM76" si="18">AL25</f>
        <v>0</v>
      </c>
      <c r="BN25" s="628">
        <f t="shared" si="11"/>
        <v>0</v>
      </c>
      <c r="BO25" s="535">
        <f t="shared" si="14"/>
        <v>0</v>
      </c>
      <c r="BP25" s="533"/>
      <c r="BQ25" s="617"/>
      <c r="BR25" s="614"/>
      <c r="BS25" s="625"/>
      <c r="BT25" s="614"/>
    </row>
    <row r="26" spans="1:72" ht="18.75" customHeight="1" x14ac:dyDescent="0.3">
      <c r="A26" s="437" t="s">
        <v>162</v>
      </c>
      <c r="B26" s="1385">
        <v>211</v>
      </c>
      <c r="C26" s="1054">
        <v>111</v>
      </c>
      <c r="D26" s="431">
        <v>324309100.467448</v>
      </c>
      <c r="E26" s="64">
        <f>H26+R26+AM26+AK26</f>
        <v>324309100.46754539</v>
      </c>
      <c r="F26" s="411">
        <f t="shared" si="1"/>
        <v>9.7393989562988281E-5</v>
      </c>
      <c r="G26" s="285">
        <v>143436558.52657449</v>
      </c>
      <c r="H26" s="158">
        <f>J26+L26+O26</f>
        <v>143436558.5261015</v>
      </c>
      <c r="I26" s="667">
        <f t="shared" si="16"/>
        <v>-4.729926586151123E-4</v>
      </c>
      <c r="J26" s="881">
        <f>'расчет норматив'!AB10+'ПФХД 2019 с разбивкой  (3)'!L100</f>
        <v>93378135.336574495</v>
      </c>
      <c r="K26" s="285">
        <v>30201086.86802119</v>
      </c>
      <c r="L26" s="158">
        <f>'расчет норматив'!Z10+0.008</f>
        <v>30201086.876021191</v>
      </c>
      <c r="M26" s="298">
        <f>L26-K26</f>
        <v>8.0000013113021851E-3</v>
      </c>
      <c r="N26" s="285">
        <v>19857336.321978807</v>
      </c>
      <c r="O26" s="285">
        <f>'расчет норматив'!AA10</f>
        <v>19857336.31350581</v>
      </c>
      <c r="P26" s="367">
        <f>O26-N26</f>
        <v>-8.4729976952075958E-3</v>
      </c>
      <c r="Q26" s="279">
        <v>19155752.180873699</v>
      </c>
      <c r="R26" s="310">
        <f>T26+V26+Y26+AB26+AE26+AH26</f>
        <v>19155752.181443933</v>
      </c>
      <c r="S26" s="418">
        <f>R26-Q26</f>
        <v>5.7023391127586365E-4</v>
      </c>
      <c r="T26" s="528"/>
      <c r="U26" s="310"/>
      <c r="V26" s="63"/>
      <c r="W26" s="357">
        <f t="shared" si="2"/>
        <v>0</v>
      </c>
      <c r="X26" s="382">
        <f>'расчет норматив'!AG10+'расчет норматив'!AH10+'расчет норматив'!AI10</f>
        <v>8686783.9894297663</v>
      </c>
      <c r="Y26" s="63">
        <v>7579792.1200000001</v>
      </c>
      <c r="Z26" s="360"/>
      <c r="AA26" s="310"/>
      <c r="AB26" s="63"/>
      <c r="AC26" s="360">
        <f>AB26-AA26</f>
        <v>0</v>
      </c>
      <c r="AD26" s="63">
        <v>11575960.061443932</v>
      </c>
      <c r="AE26" s="63">
        <f>15071900/1.302</f>
        <v>11575960.061443932</v>
      </c>
      <c r="AF26" s="360">
        <f>AE26-AD26</f>
        <v>0</v>
      </c>
      <c r="AG26" s="279"/>
      <c r="AH26" s="63"/>
      <c r="AI26" s="360">
        <f>AH26-AG26</f>
        <v>0</v>
      </c>
      <c r="AJ26" s="425"/>
      <c r="AK26" s="395">
        <v>1427649.77</v>
      </c>
      <c r="AL26" s="334">
        <v>160289139.99000001</v>
      </c>
      <c r="AM26" s="347">
        <f t="shared" si="17"/>
        <v>160289139.99000001</v>
      </c>
      <c r="AN26" s="1013">
        <f t="shared" si="5"/>
        <v>0</v>
      </c>
      <c r="AO26" s="338">
        <v>123237324.98999999</v>
      </c>
      <c r="AP26" s="162">
        <f>AL26-AS26-AW26</f>
        <v>130433900.66</v>
      </c>
      <c r="AQ26" s="1019">
        <f>AP26-AO26</f>
        <v>7196575.6700000018</v>
      </c>
      <c r="AR26" s="324">
        <v>37051815</v>
      </c>
      <c r="AS26" s="162">
        <v>24449679.02</v>
      </c>
      <c r="AT26" s="339">
        <f>AS26-AR26</f>
        <v>-12602135.98</v>
      </c>
      <c r="AU26" s="540"/>
      <c r="AV26" s="324"/>
      <c r="AW26" s="162">
        <v>5405560.3099999996</v>
      </c>
      <c r="AX26" s="339">
        <f>AW26-AV26</f>
        <v>5405560.3099999996</v>
      </c>
      <c r="BG26" s="617"/>
      <c r="BH26" s="621">
        <f>AE26-BG26</f>
        <v>11575960.061443932</v>
      </c>
      <c r="BI26" s="617">
        <v>33573582.210000001</v>
      </c>
      <c r="BJ26" s="621">
        <f>AH26-BI26</f>
        <v>-33573582.210000001</v>
      </c>
      <c r="BM26" s="629">
        <f t="shared" si="18"/>
        <v>160289139.99000001</v>
      </c>
      <c r="BN26" s="629">
        <f t="shared" si="11"/>
        <v>151333957.74000001</v>
      </c>
      <c r="BO26" s="533">
        <f t="shared" si="14"/>
        <v>8955182.25</v>
      </c>
      <c r="BP26" s="533">
        <f>BM26</f>
        <v>160289139.99000001</v>
      </c>
      <c r="BQ26" s="617">
        <v>117760375.53</v>
      </c>
      <c r="BR26" s="621">
        <f>AO26-BQ26</f>
        <v>5476949.4599999934</v>
      </c>
      <c r="BS26" s="617">
        <v>33573582.210000001</v>
      </c>
      <c r="BT26" s="621">
        <f>AR26-BS26</f>
        <v>3478232.7899999991</v>
      </c>
    </row>
    <row r="27" spans="1:72" ht="18.75" customHeight="1" x14ac:dyDescent="0.3">
      <c r="A27" s="437" t="s">
        <v>163</v>
      </c>
      <c r="B27" s="1385"/>
      <c r="C27" s="1054">
        <v>119</v>
      </c>
      <c r="D27" s="431">
        <v>98547733.4738767</v>
      </c>
      <c r="E27" s="64">
        <f>H27+R27+AM27+AK27</f>
        <v>98547733.47198157</v>
      </c>
      <c r="F27" s="411">
        <f t="shared" si="1"/>
        <v>-1.8951296806335449E-3</v>
      </c>
      <c r="G27" s="285">
        <v>43924235.743425503</v>
      </c>
      <c r="H27" s="158">
        <f>J27+L27+O27</f>
        <v>43924235.743425503</v>
      </c>
      <c r="I27" s="669">
        <f t="shared" si="16"/>
        <v>0</v>
      </c>
      <c r="J27" s="881">
        <f>'расчет норматив'!AB11+'ПФХД 2019 с разбивкой  (3)'!M101</f>
        <v>28172105.169999998</v>
      </c>
      <c r="K27" s="285">
        <v>9701799.1509962641</v>
      </c>
      <c r="L27" s="158">
        <f>'расчет норматив'!Z11+N101</f>
        <v>9701799.1509962641</v>
      </c>
      <c r="M27" s="298">
        <f>L27-K27</f>
        <v>0</v>
      </c>
      <c r="N27" s="285">
        <v>6050331.4224292375</v>
      </c>
      <c r="O27" s="285">
        <f>'расчет норматив'!AA11</f>
        <v>6050331.4224292375</v>
      </c>
      <c r="P27" s="367">
        <f>O27-N27</f>
        <v>0</v>
      </c>
      <c r="Q27" s="279">
        <v>5785027.2304511927</v>
      </c>
      <c r="R27" s="310">
        <f>T27+V27+Y27+AB27+AE27+AH27</f>
        <v>5785027.2285560677</v>
      </c>
      <c r="S27" s="418">
        <f>R27-Q27</f>
        <v>-1.8951250240206718E-3</v>
      </c>
      <c r="T27" s="528"/>
      <c r="U27" s="310"/>
      <c r="V27" s="63"/>
      <c r="W27" s="357">
        <f t="shared" si="2"/>
        <v>0</v>
      </c>
      <c r="X27" s="382">
        <f>'расчет норматив'!AG11+'расчет норматив'!AH11+'расчет норматив'!AI11</f>
        <v>3073731.6818951252</v>
      </c>
      <c r="Y27" s="63">
        <v>2289087.29</v>
      </c>
      <c r="Z27" s="360"/>
      <c r="AA27" s="310"/>
      <c r="AB27" s="63"/>
      <c r="AC27" s="360">
        <f>AB27-AA27</f>
        <v>0</v>
      </c>
      <c r="AD27" s="63">
        <v>3495939.9385560676</v>
      </c>
      <c r="AE27" s="63">
        <f>15071900-AE26</f>
        <v>3495939.9385560676</v>
      </c>
      <c r="AF27" s="360">
        <f>AE27-AD27</f>
        <v>0</v>
      </c>
      <c r="AG27" s="279"/>
      <c r="AH27" s="63"/>
      <c r="AI27" s="360">
        <f>AH27-AG27</f>
        <v>0</v>
      </c>
      <c r="AJ27" s="425"/>
      <c r="AK27" s="395">
        <v>431150.23</v>
      </c>
      <c r="AL27" s="334">
        <v>48407320.270000003</v>
      </c>
      <c r="AM27" s="347">
        <f t="shared" si="17"/>
        <v>48407320.270000003</v>
      </c>
      <c r="AN27" s="1013">
        <f t="shared" si="5"/>
        <v>0</v>
      </c>
      <c r="AO27" s="338">
        <v>37217672.140000001</v>
      </c>
      <c r="AP27" s="162">
        <f>AL27-AS27-AW27</f>
        <v>39376495.810000002</v>
      </c>
      <c r="AQ27" s="1019">
        <f>AP27-AO27</f>
        <v>2158823.6700000018</v>
      </c>
      <c r="AR27" s="324">
        <v>11189648.130000001</v>
      </c>
      <c r="AS27" s="162">
        <v>7383804.1900000004</v>
      </c>
      <c r="AT27" s="339">
        <f>AS27-AR27</f>
        <v>-3805843.9400000004</v>
      </c>
      <c r="AU27" s="540"/>
      <c r="AV27" s="324"/>
      <c r="AW27" s="162">
        <v>1647020.27</v>
      </c>
      <c r="AX27" s="339">
        <f>AW27-AV27</f>
        <v>1647020.27</v>
      </c>
      <c r="BG27" s="617"/>
      <c r="BH27" s="621">
        <f>AE27-BG27</f>
        <v>3495939.9385560676</v>
      </c>
      <c r="BI27" s="617">
        <v>9464700.4900000002</v>
      </c>
      <c r="BJ27" s="621">
        <f t="shared" ref="BJ27:BJ28" si="19">AH27-BI27</f>
        <v>-9464700.4900000002</v>
      </c>
      <c r="BM27" s="629">
        <f t="shared" si="18"/>
        <v>48407320.270000003</v>
      </c>
      <c r="BN27" s="629">
        <f t="shared" si="11"/>
        <v>46099650.550000004</v>
      </c>
      <c r="BO27" s="533">
        <f t="shared" si="14"/>
        <v>2307669.7199999988</v>
      </c>
      <c r="BP27" s="533">
        <f>BN27</f>
        <v>46099650.550000004</v>
      </c>
      <c r="BQ27" s="617">
        <f>36338408.06+96542+200000</f>
        <v>36634950.060000002</v>
      </c>
      <c r="BR27" s="621">
        <f>AO27-BQ27</f>
        <v>582722.07999999821</v>
      </c>
      <c r="BS27" s="617">
        <v>9464700.4900000002</v>
      </c>
      <c r="BT27" s="621">
        <f t="shared" ref="BT27:BT28" si="20">AR27-BS27</f>
        <v>1724947.6400000006</v>
      </c>
    </row>
    <row r="28" spans="1:72" ht="39.75" customHeight="1" x14ac:dyDescent="0.3">
      <c r="A28" s="437" t="s">
        <v>164</v>
      </c>
      <c r="B28" s="1385"/>
      <c r="C28" s="1054">
        <v>112</v>
      </c>
      <c r="D28" s="431">
        <v>1021968.3447737963</v>
      </c>
      <c r="E28" s="64">
        <f>H28+R28+AM28+AK28</f>
        <v>1292316.2747737963</v>
      </c>
      <c r="F28" s="410">
        <f t="shared" si="1"/>
        <v>270347.93000000005</v>
      </c>
      <c r="G28" s="285">
        <v>524668.34477379627</v>
      </c>
      <c r="H28" s="158">
        <f>J28+L28+O28</f>
        <v>524668.34477379627</v>
      </c>
      <c r="I28" s="669">
        <f t="shared" si="16"/>
        <v>0</v>
      </c>
      <c r="J28" s="881"/>
      <c r="K28" s="285">
        <v>347915.50070884667</v>
      </c>
      <c r="L28" s="158">
        <f>'расчет норматив'!Z12+L102</f>
        <v>347915.50070884667</v>
      </c>
      <c r="M28" s="298">
        <f>L28-K28</f>
        <v>0</v>
      </c>
      <c r="N28" s="285">
        <v>176752.84406494963</v>
      </c>
      <c r="O28" s="285">
        <f>'расчет норматив'!AA12</f>
        <v>176752.84406494963</v>
      </c>
      <c r="P28" s="367">
        <f>O28-N28</f>
        <v>0</v>
      </c>
      <c r="Q28" s="279"/>
      <c r="R28" s="310"/>
      <c r="S28" s="418"/>
      <c r="T28" s="528"/>
      <c r="U28" s="310"/>
      <c r="V28" s="63"/>
      <c r="W28" s="357"/>
      <c r="X28" s="382"/>
      <c r="Y28" s="153"/>
      <c r="Z28" s="357"/>
      <c r="AA28" s="310"/>
      <c r="AB28" s="63"/>
      <c r="AC28" s="360"/>
      <c r="AD28" s="279"/>
      <c r="AE28" s="63"/>
      <c r="AF28" s="360"/>
      <c r="AG28" s="279"/>
      <c r="AH28" s="63"/>
      <c r="AI28" s="360"/>
      <c r="AJ28" s="425"/>
      <c r="AK28" s="395"/>
      <c r="AL28" s="334">
        <v>497300</v>
      </c>
      <c r="AM28" s="347">
        <f t="shared" si="17"/>
        <v>767647.93</v>
      </c>
      <c r="AN28" s="1013">
        <f t="shared" si="5"/>
        <v>270347.93000000005</v>
      </c>
      <c r="AO28" s="338">
        <v>173000</v>
      </c>
      <c r="AP28" s="162">
        <v>500000</v>
      </c>
      <c r="AQ28" s="1019">
        <f>AP28-AO28</f>
        <v>327000</v>
      </c>
      <c r="AR28" s="324">
        <v>457300</v>
      </c>
      <c r="AS28" s="162">
        <v>219532.3</v>
      </c>
      <c r="AT28" s="339">
        <f>AS28-AR28</f>
        <v>-237767.7</v>
      </c>
      <c r="AU28" s="540"/>
      <c r="AV28" s="324"/>
      <c r="AW28" s="162">
        <v>48115.63</v>
      </c>
      <c r="AX28" s="339">
        <f>AW28-AV28</f>
        <v>48115.63</v>
      </c>
      <c r="BG28" s="617"/>
      <c r="BH28" s="621">
        <f>AE28-BG28</f>
        <v>0</v>
      </c>
      <c r="BI28" s="617">
        <v>241959.51</v>
      </c>
      <c r="BJ28" s="621">
        <f t="shared" si="19"/>
        <v>-241959.51</v>
      </c>
      <c r="BM28" s="629">
        <f t="shared" si="18"/>
        <v>497300</v>
      </c>
      <c r="BN28" s="629">
        <f t="shared" si="11"/>
        <v>1360482.44</v>
      </c>
      <c r="BO28" s="533">
        <f t="shared" si="14"/>
        <v>-863182.44</v>
      </c>
      <c r="BP28" s="533">
        <f>BM28</f>
        <v>497300</v>
      </c>
      <c r="BQ28" s="617">
        <v>1118522.93</v>
      </c>
      <c r="BR28" s="621">
        <f>AO28-BQ28</f>
        <v>-945522.92999999993</v>
      </c>
      <c r="BS28" s="617">
        <v>241959.51</v>
      </c>
      <c r="BT28" s="621">
        <f t="shared" si="20"/>
        <v>215340.49</v>
      </c>
    </row>
    <row r="29" spans="1:72" s="115" customFormat="1" ht="31.5" x14ac:dyDescent="0.3">
      <c r="A29" s="435" t="s">
        <v>165</v>
      </c>
      <c r="B29" s="1385">
        <v>220</v>
      </c>
      <c r="C29" s="436">
        <v>300</v>
      </c>
      <c r="D29" s="430">
        <v>0</v>
      </c>
      <c r="E29" s="59">
        <f>H29+R29+AL29+AK29</f>
        <v>0</v>
      </c>
      <c r="F29" s="410">
        <f t="shared" si="1"/>
        <v>0</v>
      </c>
      <c r="G29" s="283">
        <f>G31+G32</f>
        <v>0</v>
      </c>
      <c r="H29" s="157"/>
      <c r="I29" s="669">
        <f t="shared" si="16"/>
        <v>0</v>
      </c>
      <c r="J29" s="882"/>
      <c r="K29" s="283"/>
      <c r="L29" s="157"/>
      <c r="M29" s="294"/>
      <c r="N29" s="293"/>
      <c r="O29" s="283"/>
      <c r="P29" s="365"/>
      <c r="Q29" s="276"/>
      <c r="R29" s="307"/>
      <c r="S29" s="415"/>
      <c r="T29" s="525"/>
      <c r="U29" s="307">
        <v>0</v>
      </c>
      <c r="V29" s="153">
        <v>0</v>
      </c>
      <c r="W29" s="357">
        <f t="shared" si="2"/>
        <v>0</v>
      </c>
      <c r="X29" s="379">
        <v>0</v>
      </c>
      <c r="Y29" s="153">
        <f>X29-W29</f>
        <v>0</v>
      </c>
      <c r="Z29" s="357">
        <f>X29-W29</f>
        <v>0</v>
      </c>
      <c r="AA29" s="307"/>
      <c r="AB29" s="153"/>
      <c r="AC29" s="357"/>
      <c r="AD29" s="276"/>
      <c r="AE29" s="153"/>
      <c r="AF29" s="357"/>
      <c r="AG29" s="276"/>
      <c r="AH29" s="153"/>
      <c r="AI29" s="357"/>
      <c r="AJ29" s="422">
        <f>AJ31+AJ32</f>
        <v>0</v>
      </c>
      <c r="AK29" s="396">
        <v>0</v>
      </c>
      <c r="AL29" s="334">
        <v>0</v>
      </c>
      <c r="AM29" s="347">
        <f t="shared" si="17"/>
        <v>0</v>
      </c>
      <c r="AN29" s="1013">
        <f t="shared" si="5"/>
        <v>0</v>
      </c>
      <c r="AO29" s="334"/>
      <c r="AP29" s="161"/>
      <c r="AQ29" s="406"/>
      <c r="AR29" s="323"/>
      <c r="AS29" s="161"/>
      <c r="AT29" s="335"/>
      <c r="AU29" s="539">
        <f>AU31+AU32</f>
        <v>0</v>
      </c>
      <c r="AV29" s="323"/>
      <c r="AW29" s="161"/>
      <c r="AX29" s="335"/>
      <c r="BG29" s="617"/>
      <c r="BH29" s="621">
        <f>AF29-BG29</f>
        <v>0</v>
      </c>
      <c r="BI29" s="617"/>
      <c r="BJ29" s="621"/>
      <c r="BM29" s="628">
        <f t="shared" si="18"/>
        <v>0</v>
      </c>
      <c r="BN29" s="628">
        <f t="shared" si="11"/>
        <v>0</v>
      </c>
      <c r="BO29" s="535">
        <f t="shared" si="14"/>
        <v>0</v>
      </c>
      <c r="BP29" s="533"/>
      <c r="BQ29" s="617"/>
      <c r="BR29" s="621">
        <f>AP29-BQ29</f>
        <v>0</v>
      </c>
      <c r="BS29" s="617"/>
      <c r="BT29" s="621"/>
    </row>
    <row r="30" spans="1:72" x14ac:dyDescent="0.3">
      <c r="A30" s="437" t="s">
        <v>92</v>
      </c>
      <c r="B30" s="1385"/>
      <c r="C30" s="438"/>
      <c r="D30" s="431"/>
      <c r="E30" s="59">
        <f>H30+R30+AL30+AK30</f>
        <v>0</v>
      </c>
      <c r="F30" s="410">
        <f t="shared" si="1"/>
        <v>0</v>
      </c>
      <c r="G30" s="285"/>
      <c r="H30" s="158"/>
      <c r="I30" s="669">
        <f t="shared" si="16"/>
        <v>0</v>
      </c>
      <c r="J30" s="881"/>
      <c r="K30" s="285"/>
      <c r="L30" s="158"/>
      <c r="M30" s="298"/>
      <c r="N30" s="297"/>
      <c r="O30" s="285"/>
      <c r="P30" s="367"/>
      <c r="Q30" s="279"/>
      <c r="R30" s="310"/>
      <c r="S30" s="418"/>
      <c r="T30" s="528"/>
      <c r="U30" s="310"/>
      <c r="V30" s="63"/>
      <c r="W30" s="357">
        <f t="shared" si="2"/>
        <v>0</v>
      </c>
      <c r="X30" s="382"/>
      <c r="Y30" s="153">
        <f>X30-W30</f>
        <v>0</v>
      </c>
      <c r="Z30" s="357">
        <f>X30-W30</f>
        <v>0</v>
      </c>
      <c r="AA30" s="310"/>
      <c r="AB30" s="63"/>
      <c r="AC30" s="360"/>
      <c r="AD30" s="279"/>
      <c r="AE30" s="63"/>
      <c r="AF30" s="360"/>
      <c r="AG30" s="279"/>
      <c r="AH30" s="63"/>
      <c r="AI30" s="360"/>
      <c r="AJ30" s="425"/>
      <c r="AK30" s="395"/>
      <c r="AL30" s="334">
        <v>0</v>
      </c>
      <c r="AM30" s="347">
        <f t="shared" si="17"/>
        <v>0</v>
      </c>
      <c r="AN30" s="1013">
        <f t="shared" si="5"/>
        <v>0</v>
      </c>
      <c r="AO30" s="338"/>
      <c r="AP30" s="162"/>
      <c r="AQ30" s="1019"/>
      <c r="AR30" s="324"/>
      <c r="AS30" s="162"/>
      <c r="AT30" s="339"/>
      <c r="AU30" s="540"/>
      <c r="AV30" s="324"/>
      <c r="AW30" s="162"/>
      <c r="AX30" s="339"/>
      <c r="BG30" s="617"/>
      <c r="BH30" s="621">
        <f>AF30-BG30</f>
        <v>0</v>
      </c>
      <c r="BI30" s="617"/>
      <c r="BJ30" s="621"/>
      <c r="BM30" s="628">
        <f t="shared" si="18"/>
        <v>0</v>
      </c>
      <c r="BN30" s="628">
        <f t="shared" si="11"/>
        <v>0</v>
      </c>
      <c r="BO30" s="535">
        <f t="shared" si="14"/>
        <v>0</v>
      </c>
      <c r="BP30" s="533"/>
      <c r="BQ30" s="617"/>
      <c r="BR30" s="621">
        <f>AP30-BQ30</f>
        <v>0</v>
      </c>
      <c r="BS30" s="617"/>
      <c r="BT30" s="621"/>
    </row>
    <row r="31" spans="1:72" x14ac:dyDescent="0.3">
      <c r="A31" s="1446" t="s">
        <v>166</v>
      </c>
      <c r="B31" s="1385"/>
      <c r="C31" s="1054">
        <v>321</v>
      </c>
      <c r="D31" s="431"/>
      <c r="E31" s="59">
        <f>H31+R31+AL31+AK31</f>
        <v>0</v>
      </c>
      <c r="F31" s="410">
        <f t="shared" si="1"/>
        <v>0</v>
      </c>
      <c r="G31" s="285"/>
      <c r="H31" s="158"/>
      <c r="I31" s="669">
        <f t="shared" si="16"/>
        <v>0</v>
      </c>
      <c r="J31" s="881"/>
      <c r="K31" s="285"/>
      <c r="L31" s="158"/>
      <c r="M31" s="298"/>
      <c r="N31" s="297"/>
      <c r="O31" s="285"/>
      <c r="P31" s="367"/>
      <c r="Q31" s="279"/>
      <c r="R31" s="310"/>
      <c r="S31" s="418"/>
      <c r="T31" s="528"/>
      <c r="U31" s="310"/>
      <c r="V31" s="63"/>
      <c r="W31" s="357">
        <f t="shared" si="2"/>
        <v>0</v>
      </c>
      <c r="X31" s="382"/>
      <c r="Y31" s="153">
        <f>X31-W31</f>
        <v>0</v>
      </c>
      <c r="Z31" s="357">
        <f>X31-W31</f>
        <v>0</v>
      </c>
      <c r="AA31" s="310"/>
      <c r="AB31" s="63"/>
      <c r="AC31" s="360"/>
      <c r="AD31" s="279"/>
      <c r="AE31" s="63"/>
      <c r="AF31" s="360"/>
      <c r="AG31" s="279"/>
      <c r="AH31" s="63"/>
      <c r="AI31" s="360"/>
      <c r="AJ31" s="425"/>
      <c r="AK31" s="395"/>
      <c r="AL31" s="334">
        <v>0</v>
      </c>
      <c r="AM31" s="347">
        <f t="shared" si="17"/>
        <v>0</v>
      </c>
      <c r="AN31" s="1013">
        <f t="shared" si="5"/>
        <v>0</v>
      </c>
      <c r="AO31" s="338"/>
      <c r="AP31" s="162"/>
      <c r="AQ31" s="1019"/>
      <c r="AR31" s="324"/>
      <c r="AS31" s="162"/>
      <c r="AT31" s="339"/>
      <c r="AU31" s="540"/>
      <c r="AV31" s="324"/>
      <c r="AW31" s="162"/>
      <c r="AX31" s="339"/>
      <c r="BG31" s="617"/>
      <c r="BH31" s="621">
        <f>AF31-BG31</f>
        <v>0</v>
      </c>
      <c r="BI31" s="617"/>
      <c r="BJ31" s="621"/>
      <c r="BM31" s="628">
        <f t="shared" si="18"/>
        <v>0</v>
      </c>
      <c r="BN31" s="628">
        <f t="shared" si="11"/>
        <v>0</v>
      </c>
      <c r="BO31" s="535">
        <f t="shared" si="14"/>
        <v>0</v>
      </c>
      <c r="BP31" s="533"/>
      <c r="BQ31" s="617"/>
      <c r="BR31" s="621">
        <f>AP31-BQ31</f>
        <v>0</v>
      </c>
      <c r="BS31" s="617"/>
      <c r="BT31" s="621"/>
    </row>
    <row r="32" spans="1:72" x14ac:dyDescent="0.3">
      <c r="A32" s="1447"/>
      <c r="B32" s="1385"/>
      <c r="C32" s="1054">
        <v>360</v>
      </c>
      <c r="D32" s="431"/>
      <c r="E32" s="59">
        <f>H32+R32+AL32+AK32</f>
        <v>0</v>
      </c>
      <c r="F32" s="410">
        <f t="shared" si="1"/>
        <v>0</v>
      </c>
      <c r="G32" s="285"/>
      <c r="H32" s="158"/>
      <c r="I32" s="669">
        <f t="shared" si="16"/>
        <v>0</v>
      </c>
      <c r="J32" s="881"/>
      <c r="K32" s="285"/>
      <c r="L32" s="158"/>
      <c r="M32" s="298"/>
      <c r="N32" s="297"/>
      <c r="O32" s="285"/>
      <c r="P32" s="367"/>
      <c r="Q32" s="279"/>
      <c r="R32" s="310"/>
      <c r="S32" s="418"/>
      <c r="T32" s="528"/>
      <c r="U32" s="310"/>
      <c r="V32" s="63"/>
      <c r="W32" s="357">
        <f t="shared" si="2"/>
        <v>0</v>
      </c>
      <c r="X32" s="382"/>
      <c r="Y32" s="153">
        <f>X32-W32</f>
        <v>0</v>
      </c>
      <c r="Z32" s="357">
        <f>X32-W32</f>
        <v>0</v>
      </c>
      <c r="AA32" s="310"/>
      <c r="AB32" s="63"/>
      <c r="AC32" s="360"/>
      <c r="AD32" s="279"/>
      <c r="AE32" s="63"/>
      <c r="AF32" s="360"/>
      <c r="AG32" s="279"/>
      <c r="AH32" s="63"/>
      <c r="AI32" s="360"/>
      <c r="AJ32" s="425"/>
      <c r="AK32" s="395"/>
      <c r="AL32" s="334">
        <v>0</v>
      </c>
      <c r="AM32" s="347">
        <f t="shared" si="17"/>
        <v>0</v>
      </c>
      <c r="AN32" s="1013">
        <f t="shared" si="5"/>
        <v>0</v>
      </c>
      <c r="AO32" s="338"/>
      <c r="AP32" s="162"/>
      <c r="AQ32" s="1019"/>
      <c r="AR32" s="324"/>
      <c r="AS32" s="162"/>
      <c r="AT32" s="339"/>
      <c r="AU32" s="540"/>
      <c r="AV32" s="324"/>
      <c r="AW32" s="162"/>
      <c r="AX32" s="339"/>
      <c r="BG32" s="617"/>
      <c r="BH32" s="621">
        <f>AF32-BG32</f>
        <v>0</v>
      </c>
      <c r="BI32" s="617"/>
      <c r="BJ32" s="621"/>
      <c r="BM32" s="628">
        <f t="shared" si="18"/>
        <v>0</v>
      </c>
      <c r="BN32" s="628">
        <f t="shared" si="11"/>
        <v>0</v>
      </c>
      <c r="BO32" s="535">
        <f t="shared" si="14"/>
        <v>0</v>
      </c>
      <c r="BP32" s="533"/>
      <c r="BQ32" s="617"/>
      <c r="BR32" s="621">
        <f>AP32-BQ32</f>
        <v>0</v>
      </c>
      <c r="BS32" s="617"/>
      <c r="BT32" s="621"/>
    </row>
    <row r="33" spans="1:72" s="115" customFormat="1" x14ac:dyDescent="0.3">
      <c r="A33" s="1035" t="s">
        <v>167</v>
      </c>
      <c r="B33" s="1036"/>
      <c r="C33" s="1037">
        <v>800</v>
      </c>
      <c r="D33" s="430">
        <f>D34+D36</f>
        <v>14420120.90278038</v>
      </c>
      <c r="E33" s="59">
        <f>H33+R33+AM33+AK33</f>
        <v>14420120.899999999</v>
      </c>
      <c r="F33" s="410">
        <f t="shared" si="1"/>
        <v>-2.7803815901279449E-3</v>
      </c>
      <c r="G33" s="157">
        <v>5201007.6000000006</v>
      </c>
      <c r="H33" s="157">
        <f>H34+H36</f>
        <v>5201007.6000000006</v>
      </c>
      <c r="I33" s="669">
        <f t="shared" si="16"/>
        <v>0</v>
      </c>
      <c r="J33" s="882">
        <f>J34+J36</f>
        <v>0</v>
      </c>
      <c r="K33" s="283">
        <v>3687692.4870092645</v>
      </c>
      <c r="L33" s="157">
        <f>L34+L36</f>
        <v>3687692.4870092645</v>
      </c>
      <c r="M33" s="294">
        <f>L33-K33</f>
        <v>0</v>
      </c>
      <c r="N33" s="293">
        <v>1513315.1129907358</v>
      </c>
      <c r="O33" s="283">
        <f>O34+O36</f>
        <v>1513315.1129907358</v>
      </c>
      <c r="P33" s="365">
        <f>O33-N33</f>
        <v>0</v>
      </c>
      <c r="Q33" s="276">
        <v>1914231.9827803806</v>
      </c>
      <c r="R33" s="307">
        <f>R35+R36+R37</f>
        <v>1914231.98</v>
      </c>
      <c r="S33" s="415">
        <f>R33-Q33</f>
        <v>-2.7803806588053703E-3</v>
      </c>
      <c r="T33" s="525">
        <f>T34+T36</f>
        <v>0</v>
      </c>
      <c r="U33" s="307">
        <v>0</v>
      </c>
      <c r="V33" s="153">
        <f t="shared" ref="V33:AU33" si="21">V34+V36</f>
        <v>0</v>
      </c>
      <c r="W33" s="357">
        <f t="shared" si="2"/>
        <v>0</v>
      </c>
      <c r="X33" s="379">
        <f>X34+X36</f>
        <v>1285867.8127803807</v>
      </c>
      <c r="Y33" s="153">
        <f>Y34+Y36</f>
        <v>1258487.81</v>
      </c>
      <c r="Z33" s="357">
        <f>Z34+Z36</f>
        <v>0</v>
      </c>
      <c r="AA33" s="307">
        <v>655744.17000000004</v>
      </c>
      <c r="AB33" s="153">
        <f t="shared" si="21"/>
        <v>655744.17000000004</v>
      </c>
      <c r="AC33" s="357">
        <f>AB33-AA33</f>
        <v>0</v>
      </c>
      <c r="AD33" s="276"/>
      <c r="AE33" s="153"/>
      <c r="AF33" s="357"/>
      <c r="AG33" s="276"/>
      <c r="AH33" s="153"/>
      <c r="AI33" s="357"/>
      <c r="AJ33" s="422">
        <f t="shared" si="21"/>
        <v>0</v>
      </c>
      <c r="AK33" s="396">
        <f t="shared" si="21"/>
        <v>0</v>
      </c>
      <c r="AL33" s="334">
        <v>7304881.3199999994</v>
      </c>
      <c r="AM33" s="347">
        <f t="shared" si="17"/>
        <v>7304881.3199999994</v>
      </c>
      <c r="AN33" s="1013">
        <f t="shared" si="5"/>
        <v>0</v>
      </c>
      <c r="AO33" s="334">
        <f>AO34+AO36</f>
        <v>6146265.0599999996</v>
      </c>
      <c r="AP33" s="161">
        <f>AP34+AP36</f>
        <v>5729310.8399999999</v>
      </c>
      <c r="AQ33" s="406">
        <f>AP33-AO33</f>
        <v>-416954.21999999974</v>
      </c>
      <c r="AR33" s="161">
        <f t="shared" si="21"/>
        <v>1025616.26</v>
      </c>
      <c r="AS33" s="161">
        <f t="shared" si="21"/>
        <v>1163616.26</v>
      </c>
      <c r="AT33" s="335">
        <f>AS33-AR33</f>
        <v>138000</v>
      </c>
      <c r="AU33" s="539">
        <f t="shared" si="21"/>
        <v>0</v>
      </c>
      <c r="AV33" s="323"/>
      <c r="AW33" s="161">
        <f t="shared" ref="AW33" si="22">AW34+AW36</f>
        <v>411954.22</v>
      </c>
      <c r="AX33" s="335">
        <f>AW33-AV33</f>
        <v>411954.22</v>
      </c>
      <c r="BG33" s="334">
        <f>BG34+BG36</f>
        <v>0</v>
      </c>
      <c r="BH33" s="539">
        <f t="shared" ref="BH33:BJ33" si="23">BH34+BH36</f>
        <v>0</v>
      </c>
      <c r="BI33" s="334">
        <f t="shared" si="23"/>
        <v>508251.94</v>
      </c>
      <c r="BJ33" s="539">
        <f t="shared" si="23"/>
        <v>-508251.94</v>
      </c>
      <c r="BM33" s="628">
        <f t="shared" si="18"/>
        <v>7304881.3199999994</v>
      </c>
      <c r="BN33" s="628">
        <f t="shared" si="11"/>
        <v>5603626.8600000003</v>
      </c>
      <c r="BO33" s="535">
        <f t="shared" si="14"/>
        <v>1701254.459999999</v>
      </c>
      <c r="BP33" s="334">
        <f>BP34+BP36</f>
        <v>6011062.4199999999</v>
      </c>
      <c r="BQ33" s="334">
        <f>BQ34+BQ36</f>
        <v>5095374.92</v>
      </c>
      <c r="BR33" s="539">
        <f t="shared" ref="BR33:BT33" si="24">BR34+BR36</f>
        <v>1050890.1399999997</v>
      </c>
      <c r="BS33" s="334">
        <f t="shared" si="24"/>
        <v>508251.94</v>
      </c>
      <c r="BT33" s="539">
        <f t="shared" si="24"/>
        <v>517364.32</v>
      </c>
    </row>
    <row r="34" spans="1:72" s="115" customFormat="1" x14ac:dyDescent="0.3">
      <c r="A34" s="1035" t="s">
        <v>168</v>
      </c>
      <c r="B34" s="1036"/>
      <c r="C34" s="1037">
        <v>830</v>
      </c>
      <c r="D34" s="59">
        <v>500000</v>
      </c>
      <c r="E34" s="59">
        <f>H34+R34+AM34+AK34</f>
        <v>500000</v>
      </c>
      <c r="F34" s="410">
        <f t="shared" si="1"/>
        <v>0</v>
      </c>
      <c r="G34" s="283">
        <f>SUM(G35)</f>
        <v>0</v>
      </c>
      <c r="H34" s="157"/>
      <c r="I34" s="669">
        <f t="shared" si="16"/>
        <v>0</v>
      </c>
      <c r="J34" s="882"/>
      <c r="K34" s="283"/>
      <c r="L34" s="157"/>
      <c r="M34" s="294"/>
      <c r="N34" s="293"/>
      <c r="O34" s="283"/>
      <c r="P34" s="365"/>
      <c r="Q34" s="276"/>
      <c r="R34" s="307"/>
      <c r="S34" s="415"/>
      <c r="T34" s="525"/>
      <c r="U34" s="307">
        <v>0</v>
      </c>
      <c r="V34" s="153">
        <f t="shared" ref="V34:AU34" si="25">SUM(V35)</f>
        <v>0</v>
      </c>
      <c r="W34" s="357">
        <f t="shared" si="2"/>
        <v>0</v>
      </c>
      <c r="X34" s="379">
        <f t="shared" si="25"/>
        <v>0</v>
      </c>
      <c r="Y34" s="153">
        <f>X34-W34</f>
        <v>0</v>
      </c>
      <c r="Z34" s="357">
        <f>X34-W34</f>
        <v>0</v>
      </c>
      <c r="AA34" s="307"/>
      <c r="AB34" s="153"/>
      <c r="AC34" s="357"/>
      <c r="AD34" s="276"/>
      <c r="AE34" s="153"/>
      <c r="AF34" s="357"/>
      <c r="AG34" s="276"/>
      <c r="AH34" s="153"/>
      <c r="AI34" s="357"/>
      <c r="AJ34" s="422">
        <f t="shared" si="25"/>
        <v>0</v>
      </c>
      <c r="AK34" s="396">
        <f t="shared" si="25"/>
        <v>0</v>
      </c>
      <c r="AL34" s="334">
        <v>500000</v>
      </c>
      <c r="AM34" s="347">
        <f t="shared" si="17"/>
        <v>500000</v>
      </c>
      <c r="AN34" s="1013">
        <f t="shared" si="5"/>
        <v>0</v>
      </c>
      <c r="AO34" s="334">
        <v>500000</v>
      </c>
      <c r="AP34" s="161">
        <f>AP35</f>
        <v>500000</v>
      </c>
      <c r="AQ34" s="406"/>
      <c r="AR34" s="323"/>
      <c r="AS34" s="161"/>
      <c r="AT34" s="335"/>
      <c r="AU34" s="539">
        <f t="shared" si="25"/>
        <v>0</v>
      </c>
      <c r="AV34" s="323"/>
      <c r="AW34" s="161"/>
      <c r="AX34" s="335"/>
      <c r="AZ34" s="121" t="s">
        <v>237</v>
      </c>
      <c r="BG34" s="617"/>
      <c r="BH34" s="621">
        <f>BH35</f>
        <v>0</v>
      </c>
      <c r="BI34" s="617"/>
      <c r="BJ34" s="621"/>
      <c r="BM34" s="629">
        <f t="shared" si="18"/>
        <v>500000</v>
      </c>
      <c r="BN34" s="629">
        <f t="shared" si="11"/>
        <v>207144.42</v>
      </c>
      <c r="BO34" s="533">
        <f t="shared" si="14"/>
        <v>292855.57999999996</v>
      </c>
      <c r="BP34" s="533">
        <f>BP35</f>
        <v>207144.42</v>
      </c>
      <c r="BQ34" s="617">
        <f>BQ35</f>
        <v>207144.42</v>
      </c>
      <c r="BR34" s="621">
        <f>BR35</f>
        <v>292855.57999999996</v>
      </c>
      <c r="BS34" s="617"/>
      <c r="BT34" s="621"/>
    </row>
    <row r="35" spans="1:72" ht="63" x14ac:dyDescent="0.3">
      <c r="A35" s="1038" t="s">
        <v>169</v>
      </c>
      <c r="B35" s="1039"/>
      <c r="C35" s="1040">
        <v>831</v>
      </c>
      <c r="D35" s="64">
        <v>500000</v>
      </c>
      <c r="E35" s="64">
        <f>H35+R35+AM35+AK35</f>
        <v>500000</v>
      </c>
      <c r="F35" s="411">
        <f t="shared" si="1"/>
        <v>0</v>
      </c>
      <c r="G35" s="285"/>
      <c r="H35" s="158"/>
      <c r="I35" s="669">
        <f t="shared" si="16"/>
        <v>0</v>
      </c>
      <c r="J35" s="881"/>
      <c r="K35" s="285"/>
      <c r="L35" s="158"/>
      <c r="M35" s="298"/>
      <c r="N35" s="297"/>
      <c r="O35" s="285"/>
      <c r="P35" s="367"/>
      <c r="Q35" s="279"/>
      <c r="R35" s="310"/>
      <c r="S35" s="418"/>
      <c r="T35" s="528"/>
      <c r="U35" s="310"/>
      <c r="V35" s="63"/>
      <c r="W35" s="357">
        <f t="shared" si="2"/>
        <v>0</v>
      </c>
      <c r="X35" s="382"/>
      <c r="Y35" s="153">
        <f>X35-W35</f>
        <v>0</v>
      </c>
      <c r="Z35" s="357">
        <f>X35-W35</f>
        <v>0</v>
      </c>
      <c r="AA35" s="310"/>
      <c r="AB35" s="63"/>
      <c r="AC35" s="360"/>
      <c r="AD35" s="279"/>
      <c r="AE35" s="63"/>
      <c r="AF35" s="360"/>
      <c r="AG35" s="279"/>
      <c r="AH35" s="63"/>
      <c r="AI35" s="360"/>
      <c r="AJ35" s="425"/>
      <c r="AK35" s="395"/>
      <c r="AL35" s="334">
        <v>500000</v>
      </c>
      <c r="AM35" s="347">
        <f t="shared" si="17"/>
        <v>500000</v>
      </c>
      <c r="AN35" s="1013">
        <f t="shared" si="5"/>
        <v>0</v>
      </c>
      <c r="AO35" s="338">
        <v>500000</v>
      </c>
      <c r="AP35" s="162">
        <f>AL35-AS35-AW35</f>
        <v>500000</v>
      </c>
      <c r="AQ35" s="1019"/>
      <c r="AR35" s="324"/>
      <c r="AS35" s="162"/>
      <c r="AT35" s="339"/>
      <c r="AU35" s="540"/>
      <c r="AV35" s="324"/>
      <c r="AW35" s="162"/>
      <c r="AX35" s="339"/>
      <c r="AZ35" s="122">
        <v>15000</v>
      </c>
      <c r="BA35" s="121">
        <v>831</v>
      </c>
      <c r="BG35" s="617"/>
      <c r="BH35" s="621">
        <f>AE35-BG35</f>
        <v>0</v>
      </c>
      <c r="BI35" s="617"/>
      <c r="BJ35" s="621"/>
      <c r="BM35" s="629">
        <f t="shared" si="18"/>
        <v>500000</v>
      </c>
      <c r="BN35" s="629">
        <f t="shared" si="11"/>
        <v>207144.42</v>
      </c>
      <c r="BO35" s="533">
        <f t="shared" si="14"/>
        <v>292855.57999999996</v>
      </c>
      <c r="BP35" s="533">
        <f>BN35</f>
        <v>207144.42</v>
      </c>
      <c r="BQ35" s="617">
        <v>207144.42</v>
      </c>
      <c r="BR35" s="621">
        <f>AO35-BQ35</f>
        <v>292855.57999999996</v>
      </c>
      <c r="BS35" s="617"/>
      <c r="BT35" s="621"/>
    </row>
    <row r="36" spans="1:72" s="115" customFormat="1" ht="33" customHeight="1" x14ac:dyDescent="0.3">
      <c r="A36" s="441" t="s">
        <v>170</v>
      </c>
      <c r="B36" s="1424">
        <v>230</v>
      </c>
      <c r="C36" s="436">
        <v>850</v>
      </c>
      <c r="D36" s="430">
        <f>D38+D39+D40</f>
        <v>13920120.90278038</v>
      </c>
      <c r="E36" s="59">
        <f>H36+R36+AM36+AK36</f>
        <v>13920120.899999999</v>
      </c>
      <c r="F36" s="410">
        <f t="shared" si="1"/>
        <v>-2.7803815901279449E-3</v>
      </c>
      <c r="G36" s="157">
        <v>5201007.6000000006</v>
      </c>
      <c r="H36" s="157">
        <f>SUM(H38:H40)</f>
        <v>5201007.6000000006</v>
      </c>
      <c r="I36" s="669">
        <f t="shared" si="16"/>
        <v>0</v>
      </c>
      <c r="J36" s="882">
        <f>SUM(J38:J40)</f>
        <v>0</v>
      </c>
      <c r="K36" s="283">
        <v>3687692.4870092645</v>
      </c>
      <c r="L36" s="157">
        <f>L38+L39+L40</f>
        <v>3687692.4870092645</v>
      </c>
      <c r="M36" s="294">
        <f>L36-K36</f>
        <v>0</v>
      </c>
      <c r="N36" s="293">
        <v>1513315.1129907358</v>
      </c>
      <c r="O36" s="283">
        <f>SUM(O38:O40)</f>
        <v>1513315.1129907358</v>
      </c>
      <c r="P36" s="365">
        <f>O36-N36</f>
        <v>0</v>
      </c>
      <c r="Q36" s="276">
        <v>1914231.9827803806</v>
      </c>
      <c r="R36" s="307">
        <f t="shared" ref="R36:AB36" si="26">R38+R39+R40</f>
        <v>1914231.98</v>
      </c>
      <c r="S36" s="415">
        <f>R36-Q36</f>
        <v>-2.7803806588053703E-3</v>
      </c>
      <c r="T36" s="525">
        <f t="shared" si="26"/>
        <v>0</v>
      </c>
      <c r="U36" s="307">
        <v>0</v>
      </c>
      <c r="V36" s="153">
        <f t="shared" si="26"/>
        <v>0</v>
      </c>
      <c r="W36" s="357">
        <f t="shared" si="2"/>
        <v>0</v>
      </c>
      <c r="X36" s="379">
        <f>X38+X39+X40</f>
        <v>1285867.8127803807</v>
      </c>
      <c r="Y36" s="153">
        <f>Y38+Y39+Y40</f>
        <v>1258487.81</v>
      </c>
      <c r="Z36" s="357">
        <f>Z38+Z39+Z40</f>
        <v>0</v>
      </c>
      <c r="AA36" s="307">
        <v>655744.17000000004</v>
      </c>
      <c r="AB36" s="153">
        <f t="shared" si="26"/>
        <v>655744.17000000004</v>
      </c>
      <c r="AC36" s="357">
        <f>AB36-AA36</f>
        <v>0</v>
      </c>
      <c r="AD36" s="276"/>
      <c r="AE36" s="153"/>
      <c r="AF36" s="357"/>
      <c r="AG36" s="276"/>
      <c r="AH36" s="153"/>
      <c r="AI36" s="357"/>
      <c r="AJ36" s="422">
        <f>AJ38+AJ39+AJ40</f>
        <v>0</v>
      </c>
      <c r="AK36" s="396">
        <f>SUM(AK37:AK40)</f>
        <v>0</v>
      </c>
      <c r="AL36" s="334">
        <v>6804881.3199999994</v>
      </c>
      <c r="AM36" s="347">
        <f t="shared" si="17"/>
        <v>6804881.3199999994</v>
      </c>
      <c r="AN36" s="1013">
        <f t="shared" si="5"/>
        <v>0</v>
      </c>
      <c r="AO36" s="334">
        <f>AO38+AO39+AO40</f>
        <v>5646265.0599999996</v>
      </c>
      <c r="AP36" s="161">
        <f>AP38+AP39+AP40</f>
        <v>5229310.84</v>
      </c>
      <c r="AQ36" s="406">
        <f>AP36-AO36</f>
        <v>-416954.21999999974</v>
      </c>
      <c r="AR36" s="161">
        <f>AR38+AR39+AR40</f>
        <v>1025616.26</v>
      </c>
      <c r="AS36" s="161">
        <f>AS38+AS39+AS40</f>
        <v>1163616.26</v>
      </c>
      <c r="AT36" s="335">
        <f>AS36-AR36</f>
        <v>138000</v>
      </c>
      <c r="AU36" s="539">
        <f>AU38+AU39+AU40</f>
        <v>0</v>
      </c>
      <c r="AV36" s="323"/>
      <c r="AW36" s="161">
        <f>AW38+AW39+AW40</f>
        <v>411954.22</v>
      </c>
      <c r="AX36" s="335">
        <f>AW36-AV36</f>
        <v>411954.22</v>
      </c>
      <c r="BG36" s="334">
        <f>BG38+BG39+BG40</f>
        <v>0</v>
      </c>
      <c r="BH36" s="539">
        <f t="shared" ref="BH36:BJ36" si="27">BH38+BH39+BH40</f>
        <v>0</v>
      </c>
      <c r="BI36" s="334">
        <f t="shared" si="27"/>
        <v>508251.94</v>
      </c>
      <c r="BJ36" s="539">
        <f t="shared" si="27"/>
        <v>-508251.94</v>
      </c>
      <c r="BM36" s="628">
        <f t="shared" si="18"/>
        <v>6804881.3199999994</v>
      </c>
      <c r="BN36" s="628">
        <f t="shared" si="11"/>
        <v>5396482.4400000004</v>
      </c>
      <c r="BO36" s="535">
        <f t="shared" si="14"/>
        <v>1408398.879999999</v>
      </c>
      <c r="BP36" s="334">
        <f>BP38+BP39+BP40</f>
        <v>5803918</v>
      </c>
      <c r="BQ36" s="334">
        <f>BQ38+BQ39+BQ40</f>
        <v>4888230.5</v>
      </c>
      <c r="BR36" s="539">
        <f t="shared" ref="BR36:BT36" si="28">BR38+BR39+BR40</f>
        <v>758034.55999999959</v>
      </c>
      <c r="BS36" s="334">
        <f t="shared" si="28"/>
        <v>508251.94</v>
      </c>
      <c r="BT36" s="539">
        <f t="shared" si="28"/>
        <v>517364.32</v>
      </c>
    </row>
    <row r="37" spans="1:72" x14ac:dyDescent="0.3">
      <c r="A37" s="437" t="s">
        <v>92</v>
      </c>
      <c r="B37" s="1422"/>
      <c r="C37" s="438"/>
      <c r="D37" s="431"/>
      <c r="E37" s="59">
        <f>H37+R37+AL37+AK37</f>
        <v>0</v>
      </c>
      <c r="F37" s="410">
        <f t="shared" si="1"/>
        <v>0</v>
      </c>
      <c r="G37" s="285"/>
      <c r="H37" s="158"/>
      <c r="I37" s="669">
        <f t="shared" si="16"/>
        <v>0</v>
      </c>
      <c r="J37" s="881"/>
      <c r="K37" s="285"/>
      <c r="L37" s="158"/>
      <c r="M37" s="298"/>
      <c r="N37" s="297"/>
      <c r="O37" s="285"/>
      <c r="P37" s="367"/>
      <c r="Q37" s="279"/>
      <c r="R37" s="310"/>
      <c r="S37" s="418"/>
      <c r="T37" s="528"/>
      <c r="U37" s="310"/>
      <c r="V37" s="63"/>
      <c r="W37" s="357">
        <f t="shared" si="2"/>
        <v>0</v>
      </c>
      <c r="X37" s="382"/>
      <c r="Y37" s="153">
        <f>X37-W37</f>
        <v>0</v>
      </c>
      <c r="Z37" s="357">
        <f>X37-W37</f>
        <v>0</v>
      </c>
      <c r="AA37" s="310"/>
      <c r="AB37" s="63"/>
      <c r="AC37" s="360"/>
      <c r="AD37" s="279"/>
      <c r="AE37" s="63"/>
      <c r="AF37" s="360"/>
      <c r="AG37" s="279"/>
      <c r="AH37" s="63"/>
      <c r="AI37" s="360"/>
      <c r="AJ37" s="425"/>
      <c r="AK37" s="395"/>
      <c r="AL37" s="334">
        <v>0</v>
      </c>
      <c r="AM37" s="347">
        <f t="shared" si="17"/>
        <v>0</v>
      </c>
      <c r="AN37" s="1013">
        <f t="shared" si="5"/>
        <v>0</v>
      </c>
      <c r="AO37" s="338"/>
      <c r="AP37" s="162"/>
      <c r="AQ37" s="1019"/>
      <c r="AR37" s="324"/>
      <c r="AS37" s="162"/>
      <c r="AT37" s="339"/>
      <c r="AU37" s="540"/>
      <c r="AV37" s="324"/>
      <c r="AW37" s="162"/>
      <c r="AX37" s="339"/>
      <c r="AZ37" s="121" t="s">
        <v>237</v>
      </c>
      <c r="BA37" s="121" t="s">
        <v>197</v>
      </c>
      <c r="BB37" s="121" t="s">
        <v>237</v>
      </c>
      <c r="BC37" s="121"/>
      <c r="BD37" s="121"/>
      <c r="BE37" s="121"/>
      <c r="BF37" s="121"/>
      <c r="BG37" s="617"/>
      <c r="BH37" s="621">
        <f>AF37-BG37</f>
        <v>0</v>
      </c>
      <c r="BI37" s="617"/>
      <c r="BJ37" s="621"/>
      <c r="BK37" s="121"/>
      <c r="BL37" s="121"/>
      <c r="BM37" s="628">
        <f t="shared" si="18"/>
        <v>0</v>
      </c>
      <c r="BN37" s="628">
        <f t="shared" si="11"/>
        <v>0</v>
      </c>
      <c r="BO37" s="535">
        <f t="shared" si="14"/>
        <v>0</v>
      </c>
      <c r="BP37" s="533"/>
      <c r="BQ37" s="617"/>
      <c r="BR37" s="621">
        <f>AP37-BQ37</f>
        <v>0</v>
      </c>
      <c r="BS37" s="617"/>
      <c r="BT37" s="621"/>
    </row>
    <row r="38" spans="1:72" ht="31.5" x14ac:dyDescent="0.3">
      <c r="A38" s="437" t="s">
        <v>171</v>
      </c>
      <c r="B38" s="1422"/>
      <c r="C38" s="1054">
        <v>851</v>
      </c>
      <c r="D38" s="431">
        <v>12367210.872780379</v>
      </c>
      <c r="E38" s="64">
        <f>H38+R38+AM38+AK38</f>
        <v>12367210.870000001</v>
      </c>
      <c r="F38" s="411">
        <f t="shared" si="1"/>
        <v>-2.7803778648376465E-3</v>
      </c>
      <c r="G38" s="285">
        <v>4890097.57</v>
      </c>
      <c r="H38" s="158">
        <f>J38+L38+O38</f>
        <v>4890097.57</v>
      </c>
      <c r="I38" s="669">
        <f t="shared" si="16"/>
        <v>0</v>
      </c>
      <c r="J38" s="881"/>
      <c r="K38" s="285">
        <v>3376782.4570092647</v>
      </c>
      <c r="L38" s="158">
        <f>'расчет норматив'!Z15+'ПФХД 2019 с разбивкой  (3)'!L111</f>
        <v>3376782.4570092647</v>
      </c>
      <c r="M38" s="298">
        <f>L38-K38</f>
        <v>0</v>
      </c>
      <c r="N38" s="285">
        <v>1513315.1129907358</v>
      </c>
      <c r="O38" s="285">
        <f>'расчет норматив'!AA15</f>
        <v>1513315.1129907358</v>
      </c>
      <c r="P38" s="367">
        <f>O38-N38</f>
        <v>0</v>
      </c>
      <c r="Q38" s="279">
        <v>1914231.9827803806</v>
      </c>
      <c r="R38" s="310">
        <f>T38+V38+Y38+AB38+AE38+AH38</f>
        <v>1914231.98</v>
      </c>
      <c r="S38" s="418">
        <f>R38-Q38</f>
        <v>-2.7803806588053703E-3</v>
      </c>
      <c r="T38" s="528"/>
      <c r="U38" s="310"/>
      <c r="V38" s="63"/>
      <c r="W38" s="357">
        <f t="shared" si="2"/>
        <v>0</v>
      </c>
      <c r="X38" s="379">
        <f>'расчет норматив'!AG15+'расчет норматив'!AH15+'расчет норматив'!AI15</f>
        <v>1285867.8127803807</v>
      </c>
      <c r="Y38" s="153">
        <v>1258487.81</v>
      </c>
      <c r="Z38" s="357"/>
      <c r="AA38" s="310">
        <v>655744.17000000004</v>
      </c>
      <c r="AB38" s="63">
        <v>655744.17000000004</v>
      </c>
      <c r="AC38" s="360">
        <f>AB38-AA38</f>
        <v>0</v>
      </c>
      <c r="AD38" s="279"/>
      <c r="AE38" s="63"/>
      <c r="AF38" s="360"/>
      <c r="AG38" s="279"/>
      <c r="AH38" s="63"/>
      <c r="AI38" s="360"/>
      <c r="AJ38" s="425"/>
      <c r="AK38" s="395"/>
      <c r="AL38" s="334">
        <v>5562881.3199999994</v>
      </c>
      <c r="AM38" s="347">
        <f t="shared" si="17"/>
        <v>5562881.3199999994</v>
      </c>
      <c r="AN38" s="1013">
        <f t="shared" si="5"/>
        <v>0</v>
      </c>
      <c r="AO38" s="338">
        <v>4579265.0599999996</v>
      </c>
      <c r="AP38" s="162">
        <v>4167310.84</v>
      </c>
      <c r="AQ38" s="1019">
        <f>AP38-AO38</f>
        <v>-411954.21999999974</v>
      </c>
      <c r="AR38" s="324">
        <v>983616.26</v>
      </c>
      <c r="AS38" s="162">
        <v>983616.26</v>
      </c>
      <c r="AT38" s="339">
        <f>AS38-AR38</f>
        <v>0</v>
      </c>
      <c r="AU38" s="540"/>
      <c r="AV38" s="324"/>
      <c r="AW38" s="162">
        <v>411954.22</v>
      </c>
      <c r="AX38" s="339">
        <f>AW38-AV38</f>
        <v>411954.22</v>
      </c>
      <c r="AZ38" s="122">
        <v>2116229.66</v>
      </c>
      <c r="BA38" s="122">
        <v>-2116229.66</v>
      </c>
      <c r="BB38" s="610"/>
      <c r="BC38" s="635"/>
      <c r="BD38" s="635"/>
      <c r="BE38" s="635"/>
      <c r="BF38" s="635"/>
      <c r="BG38" s="617"/>
      <c r="BH38" s="621">
        <f>AE38-BG38</f>
        <v>0</v>
      </c>
      <c r="BI38" s="617">
        <v>383344</v>
      </c>
      <c r="BJ38" s="621">
        <f>AH38-BI38</f>
        <v>-383344</v>
      </c>
      <c r="BK38" s="635"/>
      <c r="BL38" s="635"/>
      <c r="BM38" s="629">
        <f t="shared" si="18"/>
        <v>5562881.3199999994</v>
      </c>
      <c r="BN38" s="629">
        <f t="shared" si="11"/>
        <v>4561918</v>
      </c>
      <c r="BO38" s="533">
        <f t="shared" si="14"/>
        <v>1000963.3199999994</v>
      </c>
      <c r="BP38" s="533">
        <f>BN38</f>
        <v>4561918</v>
      </c>
      <c r="BQ38" s="617">
        <v>4178574</v>
      </c>
      <c r="BR38" s="621">
        <f>AO38-BQ38</f>
        <v>400691.05999999959</v>
      </c>
      <c r="BS38" s="617">
        <v>383344</v>
      </c>
      <c r="BT38" s="621">
        <f>AR38-BS38</f>
        <v>600272.26</v>
      </c>
    </row>
    <row r="39" spans="1:72" x14ac:dyDescent="0.3">
      <c r="A39" s="437" t="s">
        <v>172</v>
      </c>
      <c r="B39" s="1422"/>
      <c r="C39" s="1054">
        <v>852</v>
      </c>
      <c r="D39" s="431">
        <v>844267.46</v>
      </c>
      <c r="E39" s="64">
        <f>H39+R39+AM39+AK39</f>
        <v>844267.46</v>
      </c>
      <c r="F39" s="410">
        <f t="shared" si="1"/>
        <v>0</v>
      </c>
      <c r="G39" s="285">
        <v>209267.46000000002</v>
      </c>
      <c r="H39" s="158">
        <f t="shared" ref="H39:H40" si="29">J39+L39+O39</f>
        <v>209267.46000000002</v>
      </c>
      <c r="I39" s="669">
        <f t="shared" si="16"/>
        <v>0</v>
      </c>
      <c r="J39" s="881"/>
      <c r="K39" s="285">
        <v>209267.46000000002</v>
      </c>
      <c r="L39" s="158">
        <f>L112</f>
        <v>209267.46000000002</v>
      </c>
      <c r="M39" s="298">
        <f>L39-K39</f>
        <v>0</v>
      </c>
      <c r="N39" s="297"/>
      <c r="O39" s="285"/>
      <c r="P39" s="367"/>
      <c r="Q39" s="279">
        <v>0</v>
      </c>
      <c r="R39" s="310">
        <f>T39+V39+X39+AB39+AE39+AH39</f>
        <v>0</v>
      </c>
      <c r="S39" s="418">
        <f>R39-Q39</f>
        <v>0</v>
      </c>
      <c r="T39" s="528"/>
      <c r="U39" s="310"/>
      <c r="V39" s="63"/>
      <c r="W39" s="357">
        <f t="shared" si="2"/>
        <v>0</v>
      </c>
      <c r="X39" s="382"/>
      <c r="Y39" s="153">
        <f t="shared" ref="Y39:Y44" si="30">X39-W39</f>
        <v>0</v>
      </c>
      <c r="Z39" s="357">
        <f t="shared" ref="Z39:Z44" si="31">X39-W39</f>
        <v>0</v>
      </c>
      <c r="AA39" s="310"/>
      <c r="AB39" s="63"/>
      <c r="AC39" s="360">
        <f>AB39-AA39</f>
        <v>0</v>
      </c>
      <c r="AD39" s="279"/>
      <c r="AE39" s="63"/>
      <c r="AF39" s="360"/>
      <c r="AG39" s="279"/>
      <c r="AH39" s="63"/>
      <c r="AI39" s="360"/>
      <c r="AJ39" s="425"/>
      <c r="AK39" s="395"/>
      <c r="AL39" s="334">
        <v>635000</v>
      </c>
      <c r="AM39" s="347">
        <f t="shared" si="17"/>
        <v>635000</v>
      </c>
      <c r="AN39" s="1013">
        <f t="shared" si="5"/>
        <v>0</v>
      </c>
      <c r="AO39" s="338">
        <v>485000</v>
      </c>
      <c r="AP39" s="162">
        <v>485000</v>
      </c>
      <c r="AQ39" s="1019">
        <f>AP39-AO39</f>
        <v>0</v>
      </c>
      <c r="AR39" s="324">
        <v>35000</v>
      </c>
      <c r="AS39" s="162">
        <v>150000</v>
      </c>
      <c r="AT39" s="339">
        <f>AS39-AR39</f>
        <v>115000</v>
      </c>
      <c r="AU39" s="540"/>
      <c r="AV39" s="324"/>
      <c r="AW39" s="162"/>
      <c r="AX39" s="339">
        <f>AW39-AV39</f>
        <v>0</v>
      </c>
      <c r="AZ39" s="122">
        <v>-75470.62</v>
      </c>
      <c r="BA39" s="122"/>
      <c r="BB39" s="610">
        <v>-49993.01</v>
      </c>
      <c r="BC39" s="635"/>
      <c r="BD39" s="635"/>
      <c r="BE39" s="635"/>
      <c r="BF39" s="635"/>
      <c r="BG39" s="617"/>
      <c r="BH39" s="621">
        <f t="shared" ref="BH39:BH40" si="32">AE39-BG39</f>
        <v>0</v>
      </c>
      <c r="BI39" s="617">
        <v>27119</v>
      </c>
      <c r="BJ39" s="621">
        <f t="shared" ref="BJ39:BJ40" si="33">AH39-BI39</f>
        <v>-27119</v>
      </c>
      <c r="BK39" s="635"/>
      <c r="BL39" s="635"/>
      <c r="BM39" s="629">
        <f t="shared" si="18"/>
        <v>635000</v>
      </c>
      <c r="BN39" s="629">
        <f t="shared" si="11"/>
        <v>234308.25</v>
      </c>
      <c r="BO39" s="533">
        <f t="shared" si="14"/>
        <v>400691.75</v>
      </c>
      <c r="BP39" s="533">
        <f>BM39</f>
        <v>635000</v>
      </c>
      <c r="BQ39" s="617">
        <f>272189.25-65000</f>
        <v>207189.25</v>
      </c>
      <c r="BR39" s="621">
        <f t="shared" ref="BR39:BR40" si="34">AO39-BQ39</f>
        <v>277810.75</v>
      </c>
      <c r="BS39" s="617">
        <v>27119</v>
      </c>
      <c r="BT39" s="621">
        <f t="shared" ref="BT39:BT40" si="35">AR39-BS39</f>
        <v>7881</v>
      </c>
    </row>
    <row r="40" spans="1:72" ht="18.75" customHeight="1" x14ac:dyDescent="0.3">
      <c r="A40" s="437" t="s">
        <v>173</v>
      </c>
      <c r="B40" s="1423"/>
      <c r="C40" s="1054">
        <v>853</v>
      </c>
      <c r="D40" s="431">
        <v>708642.57</v>
      </c>
      <c r="E40" s="64">
        <f>H40+R40+AM40+AK40</f>
        <v>708642.57</v>
      </c>
      <c r="F40" s="410">
        <f t="shared" si="1"/>
        <v>0</v>
      </c>
      <c r="G40" s="285">
        <v>101642.56999999999</v>
      </c>
      <c r="H40" s="158">
        <f t="shared" si="29"/>
        <v>101642.56999999999</v>
      </c>
      <c r="I40" s="669">
        <f t="shared" si="16"/>
        <v>0</v>
      </c>
      <c r="J40" s="881"/>
      <c r="K40" s="285">
        <v>101642.56999999999</v>
      </c>
      <c r="L40" s="158">
        <f>L113</f>
        <v>101642.56999999999</v>
      </c>
      <c r="M40" s="298">
        <f>L40-K40</f>
        <v>0</v>
      </c>
      <c r="N40" s="297"/>
      <c r="O40" s="285"/>
      <c r="P40" s="367"/>
      <c r="Q40" s="279"/>
      <c r="R40" s="310"/>
      <c r="S40" s="418"/>
      <c r="T40" s="528"/>
      <c r="U40" s="310"/>
      <c r="V40" s="63"/>
      <c r="W40" s="357">
        <f t="shared" si="2"/>
        <v>0</v>
      </c>
      <c r="X40" s="382"/>
      <c r="Y40" s="153">
        <f t="shared" si="30"/>
        <v>0</v>
      </c>
      <c r="Z40" s="357">
        <f t="shared" si="31"/>
        <v>0</v>
      </c>
      <c r="AA40" s="310"/>
      <c r="AB40" s="63"/>
      <c r="AC40" s="360"/>
      <c r="AD40" s="279"/>
      <c r="AE40" s="63"/>
      <c r="AF40" s="360"/>
      <c r="AG40" s="279"/>
      <c r="AH40" s="63"/>
      <c r="AI40" s="360"/>
      <c r="AJ40" s="425"/>
      <c r="AK40" s="395"/>
      <c r="AL40" s="334">
        <v>607000</v>
      </c>
      <c r="AM40" s="347">
        <f t="shared" si="17"/>
        <v>607000</v>
      </c>
      <c r="AN40" s="1013">
        <f t="shared" si="5"/>
        <v>0</v>
      </c>
      <c r="AO40" s="338">
        <v>582000</v>
      </c>
      <c r="AP40" s="162">
        <v>577000</v>
      </c>
      <c r="AQ40" s="1019">
        <f>AP40-AO40</f>
        <v>-5000</v>
      </c>
      <c r="AR40" s="324">
        <v>7000</v>
      </c>
      <c r="AS40" s="162">
        <v>30000</v>
      </c>
      <c r="AT40" s="339">
        <f>AS40-AR40</f>
        <v>23000</v>
      </c>
      <c r="AU40" s="540"/>
      <c r="AV40" s="324"/>
      <c r="AW40" s="162"/>
      <c r="AX40" s="339">
        <f>AW40-AV40</f>
        <v>0</v>
      </c>
      <c r="AZ40" s="122">
        <v>75470.62</v>
      </c>
      <c r="BA40" s="122"/>
      <c r="BB40" s="610">
        <v>49993.01</v>
      </c>
      <c r="BC40" s="635"/>
      <c r="BD40" s="635"/>
      <c r="BE40" s="635"/>
      <c r="BF40" s="635"/>
      <c r="BG40" s="617"/>
      <c r="BH40" s="621">
        <f t="shared" si="32"/>
        <v>0</v>
      </c>
      <c r="BI40" s="617">
        <v>97788.94</v>
      </c>
      <c r="BJ40" s="621">
        <f t="shared" si="33"/>
        <v>-97788.94</v>
      </c>
      <c r="BK40" s="635"/>
      <c r="BL40" s="635"/>
      <c r="BM40" s="629">
        <f t="shared" si="18"/>
        <v>607000</v>
      </c>
      <c r="BN40" s="629">
        <f t="shared" si="11"/>
        <v>600256.18999999994</v>
      </c>
      <c r="BO40" s="533">
        <f t="shared" si="14"/>
        <v>6743.8100000000559</v>
      </c>
      <c r="BP40" s="533">
        <f>BM40</f>
        <v>607000</v>
      </c>
      <c r="BQ40" s="617">
        <f>502467.25</f>
        <v>502467.25</v>
      </c>
      <c r="BR40" s="621">
        <f t="shared" si="34"/>
        <v>79532.75</v>
      </c>
      <c r="BS40" s="617">
        <v>97788.94</v>
      </c>
      <c r="BT40" s="621">
        <f t="shared" si="35"/>
        <v>-90788.94</v>
      </c>
    </row>
    <row r="41" spans="1:72" x14ac:dyDescent="0.3">
      <c r="A41" s="437" t="s">
        <v>174</v>
      </c>
      <c r="B41" s="1052">
        <v>240</v>
      </c>
      <c r="C41" s="1054">
        <v>853</v>
      </c>
      <c r="D41" s="431"/>
      <c r="E41" s="59">
        <f>H41+R41+AL41+AK41</f>
        <v>0</v>
      </c>
      <c r="F41" s="410">
        <f t="shared" si="1"/>
        <v>0</v>
      </c>
      <c r="G41" s="285"/>
      <c r="H41" s="158"/>
      <c r="I41" s="669">
        <f t="shared" si="16"/>
        <v>0</v>
      </c>
      <c r="J41" s="881"/>
      <c r="K41" s="285"/>
      <c r="L41" s="158"/>
      <c r="M41" s="298"/>
      <c r="N41" s="297"/>
      <c r="O41" s="285"/>
      <c r="P41" s="367"/>
      <c r="Q41" s="279"/>
      <c r="R41" s="310"/>
      <c r="S41" s="418"/>
      <c r="T41" s="528"/>
      <c r="U41" s="310"/>
      <c r="V41" s="63"/>
      <c r="W41" s="357">
        <f t="shared" si="2"/>
        <v>0</v>
      </c>
      <c r="X41" s="382"/>
      <c r="Y41" s="153">
        <f t="shared" si="30"/>
        <v>0</v>
      </c>
      <c r="Z41" s="357">
        <f t="shared" si="31"/>
        <v>0</v>
      </c>
      <c r="AA41" s="310"/>
      <c r="AB41" s="63"/>
      <c r="AC41" s="360"/>
      <c r="AD41" s="279"/>
      <c r="AE41" s="63"/>
      <c r="AF41" s="360"/>
      <c r="AG41" s="279"/>
      <c r="AH41" s="63"/>
      <c r="AI41" s="360"/>
      <c r="AJ41" s="425"/>
      <c r="AK41" s="395"/>
      <c r="AL41" s="334">
        <v>0</v>
      </c>
      <c r="AM41" s="347">
        <f t="shared" si="17"/>
        <v>0</v>
      </c>
      <c r="AN41" s="1013">
        <f t="shared" si="5"/>
        <v>0</v>
      </c>
      <c r="AO41" s="338"/>
      <c r="AP41" s="162"/>
      <c r="AQ41" s="1019"/>
      <c r="AR41" s="324"/>
      <c r="AS41" s="162"/>
      <c r="AT41" s="339"/>
      <c r="AU41" s="540"/>
      <c r="AV41" s="324"/>
      <c r="AW41" s="162"/>
      <c r="AX41" s="339"/>
      <c r="BG41" s="617"/>
      <c r="BH41" s="621">
        <f>AF41-BG41</f>
        <v>0</v>
      </c>
      <c r="BI41" s="617"/>
      <c r="BJ41" s="621"/>
      <c r="BM41" s="628">
        <f t="shared" si="18"/>
        <v>0</v>
      </c>
      <c r="BN41" s="628">
        <f t="shared" si="11"/>
        <v>0</v>
      </c>
      <c r="BO41" s="535">
        <f t="shared" si="14"/>
        <v>0</v>
      </c>
      <c r="BP41" s="533"/>
      <c r="BQ41" s="617"/>
      <c r="BR41" s="621">
        <f>AP41-BQ41</f>
        <v>0</v>
      </c>
      <c r="BS41" s="617"/>
      <c r="BT41" s="621"/>
    </row>
    <row r="42" spans="1:72" s="115" customFormat="1" ht="31.5" x14ac:dyDescent="0.3">
      <c r="A42" s="435" t="s">
        <v>175</v>
      </c>
      <c r="B42" s="1387">
        <v>250</v>
      </c>
      <c r="C42" s="442"/>
      <c r="D42" s="430">
        <f>G42+Q42+AK42+AL42</f>
        <v>0</v>
      </c>
      <c r="E42" s="59">
        <f>H42+R42+AL42+AK42</f>
        <v>0</v>
      </c>
      <c r="F42" s="410">
        <f t="shared" si="1"/>
        <v>0</v>
      </c>
      <c r="G42" s="283"/>
      <c r="H42" s="157"/>
      <c r="I42" s="669">
        <f t="shared" si="16"/>
        <v>0</v>
      </c>
      <c r="J42" s="882"/>
      <c r="K42" s="283"/>
      <c r="L42" s="157"/>
      <c r="M42" s="294"/>
      <c r="N42" s="293"/>
      <c r="O42" s="283"/>
      <c r="P42" s="365"/>
      <c r="Q42" s="276"/>
      <c r="R42" s="307"/>
      <c r="S42" s="415"/>
      <c r="T42" s="525"/>
      <c r="U42" s="307">
        <v>0</v>
      </c>
      <c r="V42" s="153">
        <v>0</v>
      </c>
      <c r="W42" s="357">
        <f t="shared" si="2"/>
        <v>0</v>
      </c>
      <c r="X42" s="379">
        <v>0</v>
      </c>
      <c r="Y42" s="153">
        <f t="shared" si="30"/>
        <v>0</v>
      </c>
      <c r="Z42" s="357">
        <f t="shared" si="31"/>
        <v>0</v>
      </c>
      <c r="AA42" s="307"/>
      <c r="AB42" s="153"/>
      <c r="AC42" s="357"/>
      <c r="AD42" s="276"/>
      <c r="AE42" s="153"/>
      <c r="AF42" s="357"/>
      <c r="AG42" s="276"/>
      <c r="AH42" s="153"/>
      <c r="AI42" s="357"/>
      <c r="AJ42" s="422">
        <v>0</v>
      </c>
      <c r="AK42" s="396">
        <v>0</v>
      </c>
      <c r="AL42" s="334">
        <v>0</v>
      </c>
      <c r="AM42" s="347">
        <f t="shared" si="17"/>
        <v>0</v>
      </c>
      <c r="AN42" s="1013">
        <f t="shared" si="5"/>
        <v>0</v>
      </c>
      <c r="AO42" s="334"/>
      <c r="AP42" s="161"/>
      <c r="AQ42" s="406"/>
      <c r="AR42" s="323"/>
      <c r="AS42" s="161"/>
      <c r="AT42" s="335"/>
      <c r="AU42" s="539">
        <f>AU44</f>
        <v>0</v>
      </c>
      <c r="AV42" s="323"/>
      <c r="AW42" s="161"/>
      <c r="AX42" s="335"/>
      <c r="BG42" s="617"/>
      <c r="BH42" s="621">
        <f>AF42-BG42</f>
        <v>0</v>
      </c>
      <c r="BI42" s="617"/>
      <c r="BJ42" s="621"/>
      <c r="BM42" s="628">
        <f t="shared" si="18"/>
        <v>0</v>
      </c>
      <c r="BN42" s="628">
        <f t="shared" si="11"/>
        <v>0</v>
      </c>
      <c r="BO42" s="535">
        <f t="shared" si="14"/>
        <v>0</v>
      </c>
      <c r="BP42" s="533"/>
      <c r="BQ42" s="617"/>
      <c r="BR42" s="621">
        <f>AP42-BQ42</f>
        <v>0</v>
      </c>
      <c r="BS42" s="617"/>
      <c r="BT42" s="621"/>
    </row>
    <row r="43" spans="1:72" s="115" customFormat="1" x14ac:dyDescent="0.3">
      <c r="A43" s="435" t="s">
        <v>92</v>
      </c>
      <c r="B43" s="1387"/>
      <c r="C43" s="442"/>
      <c r="D43" s="430"/>
      <c r="E43" s="59">
        <f>H43+R43+AL43+AK43</f>
        <v>0</v>
      </c>
      <c r="F43" s="410">
        <f t="shared" si="1"/>
        <v>0</v>
      </c>
      <c r="G43" s="283"/>
      <c r="H43" s="157"/>
      <c r="I43" s="669">
        <f t="shared" si="16"/>
        <v>0</v>
      </c>
      <c r="J43" s="882"/>
      <c r="K43" s="283"/>
      <c r="L43" s="157"/>
      <c r="M43" s="294"/>
      <c r="N43" s="293"/>
      <c r="O43" s="283"/>
      <c r="P43" s="365"/>
      <c r="Q43" s="276"/>
      <c r="R43" s="307"/>
      <c r="S43" s="415"/>
      <c r="T43" s="525"/>
      <c r="U43" s="307"/>
      <c r="V43" s="153"/>
      <c r="W43" s="357">
        <f t="shared" si="2"/>
        <v>0</v>
      </c>
      <c r="X43" s="379"/>
      <c r="Y43" s="153">
        <f t="shared" si="30"/>
        <v>0</v>
      </c>
      <c r="Z43" s="357">
        <f t="shared" si="31"/>
        <v>0</v>
      </c>
      <c r="AA43" s="307"/>
      <c r="AB43" s="153"/>
      <c r="AC43" s="357"/>
      <c r="AD43" s="276"/>
      <c r="AE43" s="153"/>
      <c r="AF43" s="357"/>
      <c r="AG43" s="276"/>
      <c r="AH43" s="153"/>
      <c r="AI43" s="357"/>
      <c r="AJ43" s="422"/>
      <c r="AK43" s="396"/>
      <c r="AL43" s="334">
        <v>0</v>
      </c>
      <c r="AM43" s="347">
        <f t="shared" si="17"/>
        <v>0</v>
      </c>
      <c r="AN43" s="1013">
        <f t="shared" si="5"/>
        <v>0</v>
      </c>
      <c r="AO43" s="334"/>
      <c r="AP43" s="161"/>
      <c r="AQ43" s="406"/>
      <c r="AR43" s="323"/>
      <c r="AS43" s="161"/>
      <c r="AT43" s="335"/>
      <c r="AU43" s="539"/>
      <c r="AV43" s="323"/>
      <c r="AW43" s="161"/>
      <c r="AX43" s="335"/>
      <c r="BG43" s="617"/>
      <c r="BH43" s="621">
        <f>AF43-BG43</f>
        <v>0</v>
      </c>
      <c r="BI43" s="617"/>
      <c r="BJ43" s="621"/>
      <c r="BM43" s="628">
        <f t="shared" si="18"/>
        <v>0</v>
      </c>
      <c r="BN43" s="628">
        <f t="shared" si="11"/>
        <v>0</v>
      </c>
      <c r="BO43" s="535">
        <f t="shared" si="14"/>
        <v>0</v>
      </c>
      <c r="BP43" s="533"/>
      <c r="BQ43" s="617"/>
      <c r="BR43" s="621">
        <f>AP43-BQ43</f>
        <v>0</v>
      </c>
      <c r="BS43" s="617"/>
      <c r="BT43" s="621"/>
    </row>
    <row r="44" spans="1:72" s="115" customFormat="1" x14ac:dyDescent="0.3">
      <c r="A44" s="443"/>
      <c r="B44" s="1387"/>
      <c r="C44" s="442"/>
      <c r="D44" s="430"/>
      <c r="E44" s="59">
        <f>H44+R44+AL44+AK44</f>
        <v>0</v>
      </c>
      <c r="F44" s="410">
        <f t="shared" si="1"/>
        <v>0</v>
      </c>
      <c r="G44" s="283"/>
      <c r="H44" s="157"/>
      <c r="I44" s="669">
        <f t="shared" si="16"/>
        <v>0</v>
      </c>
      <c r="J44" s="882"/>
      <c r="K44" s="283"/>
      <c r="L44" s="157"/>
      <c r="M44" s="294"/>
      <c r="N44" s="293"/>
      <c r="O44" s="283"/>
      <c r="P44" s="365"/>
      <c r="Q44" s="276"/>
      <c r="R44" s="307"/>
      <c r="S44" s="415"/>
      <c r="T44" s="525"/>
      <c r="U44" s="307"/>
      <c r="V44" s="153"/>
      <c r="W44" s="357">
        <f t="shared" si="2"/>
        <v>0</v>
      </c>
      <c r="X44" s="379"/>
      <c r="Y44" s="153">
        <f t="shared" si="30"/>
        <v>0</v>
      </c>
      <c r="Z44" s="357">
        <f t="shared" si="31"/>
        <v>0</v>
      </c>
      <c r="AA44" s="307"/>
      <c r="AB44" s="153"/>
      <c r="AC44" s="357"/>
      <c r="AD44" s="276"/>
      <c r="AE44" s="153"/>
      <c r="AF44" s="357"/>
      <c r="AG44" s="276"/>
      <c r="AH44" s="153"/>
      <c r="AI44" s="357"/>
      <c r="AJ44" s="422"/>
      <c r="AK44" s="396"/>
      <c r="AL44" s="334">
        <v>0</v>
      </c>
      <c r="AM44" s="347">
        <f t="shared" si="17"/>
        <v>0</v>
      </c>
      <c r="AN44" s="1013">
        <f t="shared" si="5"/>
        <v>0</v>
      </c>
      <c r="AO44" s="334"/>
      <c r="AP44" s="161"/>
      <c r="AQ44" s="406"/>
      <c r="AR44" s="323"/>
      <c r="AS44" s="161"/>
      <c r="AT44" s="335"/>
      <c r="AU44" s="539"/>
      <c r="AV44" s="323"/>
      <c r="AW44" s="161"/>
      <c r="AX44" s="335"/>
      <c r="BG44" s="617"/>
      <c r="BH44" s="621">
        <f>AF44-BG44</f>
        <v>0</v>
      </c>
      <c r="BI44" s="617"/>
      <c r="BJ44" s="621"/>
      <c r="BM44" s="628">
        <f t="shared" si="18"/>
        <v>0</v>
      </c>
      <c r="BN44" s="628">
        <f t="shared" si="11"/>
        <v>0</v>
      </c>
      <c r="BO44" s="535">
        <f t="shared" si="14"/>
        <v>0</v>
      </c>
      <c r="BP44" s="533"/>
      <c r="BQ44" s="617"/>
      <c r="BR44" s="621">
        <f>AP44-BQ44</f>
        <v>0</v>
      </c>
      <c r="BS44" s="617"/>
      <c r="BT44" s="621"/>
    </row>
    <row r="45" spans="1:72" s="115" customFormat="1" ht="31.5" x14ac:dyDescent="0.3">
      <c r="A45" s="435" t="s">
        <v>176</v>
      </c>
      <c r="B45" s="1388">
        <v>260</v>
      </c>
      <c r="C45" s="436">
        <v>240</v>
      </c>
      <c r="D45" s="1010">
        <f>D47+D48+D49+D50+D51+D55+D59+D61+D63+D66+D52+D56+D60+D62+D64+D65</f>
        <v>1863932719.1403584</v>
      </c>
      <c r="E45" s="59">
        <f>H45+R45+AM45+AK45</f>
        <v>1861048940.0304635</v>
      </c>
      <c r="F45" s="410">
        <f t="shared" si="1"/>
        <v>-2883779.1098949909</v>
      </c>
      <c r="G45" s="283">
        <v>46655720.769999996</v>
      </c>
      <c r="H45" s="157">
        <f>H47+H48+H49+H50+H51+H55+H59+H61+H63+H66+H52+H56+H60+H62+H64+H65</f>
        <v>46655720.769999996</v>
      </c>
      <c r="I45" s="669">
        <f t="shared" si="16"/>
        <v>0</v>
      </c>
      <c r="J45" s="882">
        <f>J47+J48+J49+J50+J51+J55+J59+J61</f>
        <v>0</v>
      </c>
      <c r="K45" s="283">
        <v>29172987.359675996</v>
      </c>
      <c r="L45" s="157">
        <f>L47+L48+L49+L50+L51+L55+L59+L61+L63+L66+L52+L56+L60+L62+L64+L65</f>
        <v>29172987.359675996</v>
      </c>
      <c r="M45" s="294">
        <f>L45-K45</f>
        <v>0</v>
      </c>
      <c r="N45" s="157">
        <v>17482733.410324</v>
      </c>
      <c r="O45" s="157">
        <f>O47+O48+O49+O50+O51+O55+O59+O61+O63+O66+O52+O56+O60+O62+O64+O65</f>
        <v>17482733.410324</v>
      </c>
      <c r="P45" s="365">
        <f>O45-N45</f>
        <v>0</v>
      </c>
      <c r="Q45" s="276">
        <v>1634087095.9158947</v>
      </c>
      <c r="R45" s="307">
        <f>R47+R48+R49+R50+R51+R55+R59+R61+R63+R66+R52+R56+R60+R62+R64+R65</f>
        <v>1631473664.76</v>
      </c>
      <c r="S45" s="415">
        <f>R45-Q45</f>
        <v>-2613431.1558947563</v>
      </c>
      <c r="T45" s="525">
        <f>T47+T48+T49+T50+T51+T55+T59+T61+T63+T66+T52+T56+T60+T62+T64+T65</f>
        <v>388193676.14999998</v>
      </c>
      <c r="U45" s="307">
        <f>U47+U48+U49+U50+U51+U55+U59+U61+U63+U66+U52+U56+U60+U62+U64+U65</f>
        <v>1216891000</v>
      </c>
      <c r="V45" s="153">
        <f>V47+V48+V49+V50+V51+V55+V59+V61+V63+V66+V52+V56+V60+V62+V64+V65</f>
        <v>1216891000.01</v>
      </c>
      <c r="W45" s="357">
        <f>V45-U45</f>
        <v>9.9999904632568359E-3</v>
      </c>
      <c r="X45" s="379">
        <f>X47+X48+X49+X50+X51+X55+X59+X61+X63+X66+X52+X56+X60+X62+X64+X65</f>
        <v>14273126.845894724</v>
      </c>
      <c r="Y45" s="153">
        <f>Y47+Y48+Y49+Y50+Y51+Y55+Y59+Y61+Y63+Y66+Y52+Y56+Y60+Y62+Y64+Y65</f>
        <v>11003632.780000001</v>
      </c>
      <c r="Z45" s="357">
        <f>Z47+Z48+Z49+Z50+Z51+Z55+Z59+Z61+Z63+Z66+Z52+Z56+Z60+Z62+Z64+Z65</f>
        <v>0</v>
      </c>
      <c r="AA45" s="307">
        <v>6222834.2999999998</v>
      </c>
      <c r="AB45" s="153">
        <f>AB47+AB48+AB49+AB50+AB51+AB55+AB59+AB61+AB63+AB66+AB52+AB56+AB60+AB62+AB64+AB65</f>
        <v>6222834.2999999998</v>
      </c>
      <c r="AC45" s="357">
        <f>AB45-AA45</f>
        <v>0</v>
      </c>
      <c r="AD45" s="276"/>
      <c r="AE45" s="153"/>
      <c r="AF45" s="357"/>
      <c r="AG45" s="153">
        <v>9162521.5199999996</v>
      </c>
      <c r="AH45" s="153">
        <f t="shared" ref="AH45" si="36">AH47+AH48+AH49+AH50+AH51+AH55+AH59+AH61+AH63+AH66+AH52+AH56+AH60+AH62+AH64+AH65</f>
        <v>9162521.5199999996</v>
      </c>
      <c r="AI45" s="357">
        <f>AH45-AG45</f>
        <v>0</v>
      </c>
      <c r="AJ45" s="422">
        <f>AJ47+AJ48+AJ49+AJ50+AJ51+AJ52+AJ56+AJ61</f>
        <v>0</v>
      </c>
      <c r="AK45" s="396">
        <f>AK47+AK48+AK49+AK50+AK51+AK55+AK59+AK61+AK63+AK66+AK52+AK56+AK60+AK62+AK64+AK65</f>
        <v>50000</v>
      </c>
      <c r="AL45" s="334">
        <v>183139902.45446354</v>
      </c>
      <c r="AM45" s="347">
        <f t="shared" si="17"/>
        <v>182869554.50046355</v>
      </c>
      <c r="AN45" s="1013">
        <f t="shared" si="5"/>
        <v>-270347.95399999619</v>
      </c>
      <c r="AO45" s="334">
        <v>149019556.73446354</v>
      </c>
      <c r="AP45" s="323">
        <f>AP47+AP48+AP49+AP50+AP51+AP55+AP59+AP61+AP63+AP66+AP52+AP56+AP60+AP62+AP64+AP65</f>
        <v>155373348.77046356</v>
      </c>
      <c r="AQ45" s="406">
        <f>AP45-AO45</f>
        <v>6353792.0360000134</v>
      </c>
      <c r="AR45" s="161">
        <f>AR47+AR48+AR49+AR50+AR51+AR55+AR59+AR61+AR63+AR66+AR52+AR56+AR60+AR62+AR64+AR65</f>
        <v>34120345.719999999</v>
      </c>
      <c r="AS45" s="161">
        <f>AS47+AS48+AS49+AS50+AS51+AS55+AS59+AS61+AS63+AS66+AS52+AS56+AS60+AS62+AS64+AS65</f>
        <v>22737058.73</v>
      </c>
      <c r="AT45" s="335">
        <f>AS45-AR45</f>
        <v>-11383286.989999998</v>
      </c>
      <c r="AU45" s="539">
        <f>AU47+AU48+AU49+AU50+AU51+AU52+AU56+AU61</f>
        <v>0</v>
      </c>
      <c r="AV45" s="323"/>
      <c r="AW45" s="161">
        <f>AW47+AW48+AW49+AW50+AW51+AW55+AW59+AW61+AW63+AW66+AW52+AW56+AW60+AW62+AW64+AW65</f>
        <v>4759147</v>
      </c>
      <c r="AX45" s="335">
        <f>AW45-AV45</f>
        <v>4759147</v>
      </c>
      <c r="BG45" s="334">
        <f>BG47+BG48+BG49+BG50+BG51+BG55+BG59+BG61+BG63+BG66+BG52+BG56+BG60+BG62+BG64+BG65</f>
        <v>0</v>
      </c>
      <c r="BH45" s="539">
        <f t="shared" ref="BH45:BJ45" si="37">BH47+BH48+BH49+BH50+BH51+BH55+BH59+BH61+BH63+BH66+BH52+BH56+BH60+BH62+BH64+BH65</f>
        <v>0</v>
      </c>
      <c r="BI45" s="334">
        <f t="shared" si="37"/>
        <v>25649553.189999998</v>
      </c>
      <c r="BJ45" s="539">
        <f t="shared" si="37"/>
        <v>-16487031.669999998</v>
      </c>
      <c r="BM45" s="628">
        <f t="shared" si="18"/>
        <v>183139902.45446354</v>
      </c>
      <c r="BN45" s="628">
        <f t="shared" si="11"/>
        <v>127263947.69999999</v>
      </c>
      <c r="BO45" s="535">
        <f t="shared" si="14"/>
        <v>55875954.754463553</v>
      </c>
      <c r="BP45" s="334">
        <f>SUM(BP48:BP66)</f>
        <v>124289533.4064</v>
      </c>
      <c r="BQ45" s="334">
        <f>BQ47+BQ48+BQ49+BQ50+BQ51+BQ55+BQ59+BQ61+BQ63+BQ66+BQ52+BQ56+BQ60+BQ62+BQ64+BQ65</f>
        <v>101614394.50999999</v>
      </c>
      <c r="BR45" s="539">
        <f t="shared" ref="BR45:BT45" si="38">BR47+BR48+BR49+BR50+BR51+BR55+BR59+BR61+BR63+BR66+BR52+BR56+BR60+BR62+BR64+BR65</f>
        <v>47405162.224463537</v>
      </c>
      <c r="BS45" s="334">
        <f t="shared" si="38"/>
        <v>25649553.189999998</v>
      </c>
      <c r="BT45" s="539">
        <f t="shared" si="38"/>
        <v>8470792.5300000012</v>
      </c>
    </row>
    <row r="46" spans="1:72" x14ac:dyDescent="0.3">
      <c r="A46" s="437" t="s">
        <v>92</v>
      </c>
      <c r="B46" s="1392"/>
      <c r="C46" s="438"/>
      <c r="D46" s="431"/>
      <c r="E46" s="59">
        <f>H46+R46+AL46+AK46</f>
        <v>0</v>
      </c>
      <c r="F46" s="410">
        <f t="shared" si="1"/>
        <v>0</v>
      </c>
      <c r="G46" s="285"/>
      <c r="H46" s="158"/>
      <c r="I46" s="669">
        <f t="shared" si="16"/>
        <v>0</v>
      </c>
      <c r="J46" s="881"/>
      <c r="K46" s="285"/>
      <c r="L46" s="158"/>
      <c r="M46" s="298"/>
      <c r="N46" s="297"/>
      <c r="O46" s="285"/>
      <c r="P46" s="367"/>
      <c r="Q46" s="279"/>
      <c r="R46" s="310"/>
      <c r="S46" s="418"/>
      <c r="T46" s="528"/>
      <c r="U46" s="310"/>
      <c r="V46" s="63"/>
      <c r="W46" s="357">
        <f t="shared" si="2"/>
        <v>0</v>
      </c>
      <c r="X46" s="382"/>
      <c r="Y46" s="153">
        <f>X46-W46</f>
        <v>0</v>
      </c>
      <c r="Z46" s="357">
        <f>X46-W46</f>
        <v>0</v>
      </c>
      <c r="AA46" s="310"/>
      <c r="AB46" s="63"/>
      <c r="AC46" s="360"/>
      <c r="AD46" s="279"/>
      <c r="AE46" s="63"/>
      <c r="AF46" s="360"/>
      <c r="AG46" s="279"/>
      <c r="AH46" s="63"/>
      <c r="AI46" s="360"/>
      <c r="AJ46" s="425"/>
      <c r="AK46" s="395"/>
      <c r="AL46" s="334">
        <v>0</v>
      </c>
      <c r="AM46" s="347">
        <f t="shared" si="17"/>
        <v>0</v>
      </c>
      <c r="AN46" s="1013">
        <f t="shared" si="5"/>
        <v>0</v>
      </c>
      <c r="AO46" s="338"/>
      <c r="AP46" s="162"/>
      <c r="AQ46" s="1019"/>
      <c r="AR46" s="324"/>
      <c r="AS46" s="162"/>
      <c r="AT46" s="339"/>
      <c r="AU46" s="540"/>
      <c r="AV46" s="324"/>
      <c r="AW46" s="162"/>
      <c r="AX46" s="339"/>
      <c r="AZ46" s="121" t="s">
        <v>237</v>
      </c>
      <c r="BA46" s="121" t="s">
        <v>197</v>
      </c>
      <c r="BG46" s="617"/>
      <c r="BH46" s="621">
        <f>AF46-BG46</f>
        <v>0</v>
      </c>
      <c r="BI46" s="617"/>
      <c r="BJ46" s="621"/>
      <c r="BM46" s="628">
        <f t="shared" si="18"/>
        <v>0</v>
      </c>
      <c r="BN46" s="628">
        <f t="shared" si="11"/>
        <v>0</v>
      </c>
      <c r="BO46" s="535">
        <f t="shared" si="14"/>
        <v>0</v>
      </c>
      <c r="BP46" s="533"/>
      <c r="BQ46" s="617"/>
      <c r="BR46" s="621">
        <f>AP46-BQ46</f>
        <v>0</v>
      </c>
      <c r="BS46" s="617"/>
      <c r="BT46" s="621"/>
    </row>
    <row r="47" spans="1:72" ht="31.5" x14ac:dyDescent="0.3">
      <c r="A47" s="437" t="s">
        <v>177</v>
      </c>
      <c r="B47" s="140"/>
      <c r="C47" s="1054">
        <v>241</v>
      </c>
      <c r="D47" s="431"/>
      <c r="E47" s="59">
        <f>H47+R47+AL47+AK47</f>
        <v>0</v>
      </c>
      <c r="F47" s="410">
        <f t="shared" si="1"/>
        <v>0</v>
      </c>
      <c r="G47" s="285"/>
      <c r="H47" s="158"/>
      <c r="I47" s="669">
        <f t="shared" si="16"/>
        <v>0</v>
      </c>
      <c r="J47" s="881"/>
      <c r="K47" s="285"/>
      <c r="L47" s="158"/>
      <c r="M47" s="298"/>
      <c r="N47" s="297"/>
      <c r="O47" s="285"/>
      <c r="P47" s="367"/>
      <c r="Q47" s="279"/>
      <c r="R47" s="310"/>
      <c r="S47" s="418"/>
      <c r="T47" s="528"/>
      <c r="U47" s="310"/>
      <c r="V47" s="63"/>
      <c r="W47" s="357">
        <f t="shared" si="2"/>
        <v>0</v>
      </c>
      <c r="X47" s="382"/>
      <c r="Y47" s="153">
        <f>X47-W47</f>
        <v>0</v>
      </c>
      <c r="Z47" s="360"/>
      <c r="AA47" s="310"/>
      <c r="AB47" s="63"/>
      <c r="AC47" s="360"/>
      <c r="AD47" s="279"/>
      <c r="AE47" s="63"/>
      <c r="AF47" s="360"/>
      <c r="AG47" s="279"/>
      <c r="AH47" s="63"/>
      <c r="AI47" s="360"/>
      <c r="AJ47" s="425"/>
      <c r="AK47" s="395"/>
      <c r="AL47" s="334">
        <v>0</v>
      </c>
      <c r="AM47" s="347">
        <f t="shared" si="17"/>
        <v>0</v>
      </c>
      <c r="AN47" s="1013">
        <f t="shared" si="5"/>
        <v>0</v>
      </c>
      <c r="AO47" s="338"/>
      <c r="AP47" s="162"/>
      <c r="AQ47" s="1019"/>
      <c r="AR47" s="324"/>
      <c r="AS47" s="162"/>
      <c r="AT47" s="339"/>
      <c r="AU47" s="540"/>
      <c r="AV47" s="324"/>
      <c r="AW47" s="162"/>
      <c r="AX47" s="339"/>
      <c r="AZ47" s="141"/>
      <c r="BA47" s="122">
        <v>25000</v>
      </c>
      <c r="BB47" s="117" t="s">
        <v>234</v>
      </c>
      <c r="BG47" s="617"/>
      <c r="BH47" s="621">
        <f>AF47-BG47</f>
        <v>0</v>
      </c>
      <c r="BI47" s="617"/>
      <c r="BJ47" s="621"/>
      <c r="BM47" s="628">
        <f t="shared" si="18"/>
        <v>0</v>
      </c>
      <c r="BN47" s="628">
        <f t="shared" si="11"/>
        <v>0</v>
      </c>
      <c r="BO47" s="535">
        <f t="shared" si="14"/>
        <v>0</v>
      </c>
      <c r="BP47" s="533"/>
      <c r="BQ47" s="617"/>
      <c r="BR47" s="621">
        <f>AP47-BQ47</f>
        <v>0</v>
      </c>
      <c r="BS47" s="617"/>
      <c r="BT47" s="621"/>
    </row>
    <row r="48" spans="1:72" ht="15.75" customHeight="1" x14ac:dyDescent="0.3">
      <c r="A48" s="437" t="s">
        <v>178</v>
      </c>
      <c r="B48" s="140"/>
      <c r="C48" s="1054">
        <v>244</v>
      </c>
      <c r="D48" s="431">
        <v>2406359.8555257106</v>
      </c>
      <c r="E48" s="64">
        <f>H48+R48+AM48+AK48</f>
        <v>2406359.8563999999</v>
      </c>
      <c r="F48" s="410">
        <f t="shared" si="1"/>
        <v>8.7428931146860123E-4</v>
      </c>
      <c r="G48" s="285">
        <v>935479.38</v>
      </c>
      <c r="H48" s="158">
        <f>J48+L48+O48</f>
        <v>935479.38</v>
      </c>
      <c r="I48" s="669">
        <f t="shared" si="16"/>
        <v>0</v>
      </c>
      <c r="J48" s="881"/>
      <c r="K48" s="285">
        <v>717269.38511849311</v>
      </c>
      <c r="L48" s="158">
        <f>'расчет норматив'!Z20+'ПФХД 2019 с разбивкой  (3)'!L103</f>
        <v>717269.38511849311</v>
      </c>
      <c r="M48" s="298">
        <f>L48-K48</f>
        <v>0</v>
      </c>
      <c r="N48" s="285">
        <v>218209.99488150689</v>
      </c>
      <c r="O48" s="285">
        <f>'расчет норматив'!AA20</f>
        <v>218209.99488150689</v>
      </c>
      <c r="P48" s="367">
        <f>O48-N48</f>
        <v>0</v>
      </c>
      <c r="Q48" s="279">
        <v>255973.66912571029</v>
      </c>
      <c r="R48" s="310">
        <f>T48+V48+Y48+AB48+AE48+AH48</f>
        <v>255973.67</v>
      </c>
      <c r="S48" s="418">
        <f>R48-Q48</f>
        <v>8.7428971892222762E-4</v>
      </c>
      <c r="T48" s="528"/>
      <c r="U48" s="310"/>
      <c r="V48" s="63"/>
      <c r="W48" s="357">
        <f t="shared" si="2"/>
        <v>0</v>
      </c>
      <c r="X48" s="382">
        <f>'расчет норматив'!AG20+'расчет норматив'!AH20+'расчет норматив'!AI20</f>
        <v>389628.0791257103</v>
      </c>
      <c r="Y48" s="63">
        <v>210973.67</v>
      </c>
      <c r="Z48" s="360"/>
      <c r="AA48" s="310">
        <v>45000</v>
      </c>
      <c r="AB48" s="63">
        <v>45000</v>
      </c>
      <c r="AC48" s="360">
        <f>AB48-AA48</f>
        <v>0</v>
      </c>
      <c r="AD48" s="279"/>
      <c r="AE48" s="63"/>
      <c r="AF48" s="360"/>
      <c r="AG48" s="279"/>
      <c r="AH48" s="63"/>
      <c r="AI48" s="360"/>
      <c r="AJ48" s="425"/>
      <c r="AK48" s="395"/>
      <c r="AL48" s="334">
        <v>1214906.8064000001</v>
      </c>
      <c r="AM48" s="347">
        <f t="shared" si="17"/>
        <v>1214906.8064000001</v>
      </c>
      <c r="AN48" s="1013">
        <f t="shared" si="5"/>
        <v>0</v>
      </c>
      <c r="AO48" s="338">
        <v>959906.8064</v>
      </c>
      <c r="AP48" s="162">
        <f>AL48-AS48-AW48</f>
        <v>889902.55640000012</v>
      </c>
      <c r="AQ48" s="1019">
        <f>AP48-AO48</f>
        <v>-70004.249999999884</v>
      </c>
      <c r="AR48" s="324">
        <v>255000</v>
      </c>
      <c r="AS48" s="162">
        <v>265603.01</v>
      </c>
      <c r="AT48" s="339">
        <f>AS48-AR48</f>
        <v>10603.010000000009</v>
      </c>
      <c r="AU48" s="540"/>
      <c r="AV48" s="324"/>
      <c r="AW48" s="162">
        <v>59401.24</v>
      </c>
      <c r="AX48" s="339">
        <f>AW48-AV48</f>
        <v>59401.24</v>
      </c>
      <c r="AZ48" s="122">
        <v>269900</v>
      </c>
      <c r="BA48" s="122">
        <f>-269900</f>
        <v>-269900</v>
      </c>
      <c r="BB48" s="117" t="s">
        <v>179</v>
      </c>
      <c r="BG48" s="617"/>
      <c r="BH48" s="621">
        <f>AE48-BG48</f>
        <v>0</v>
      </c>
      <c r="BI48" s="617">
        <v>212701.86</v>
      </c>
      <c r="BJ48" s="621">
        <f>AH48-BI48</f>
        <v>-212701.86</v>
      </c>
      <c r="BM48" s="629">
        <f t="shared" si="18"/>
        <v>1214906.8064000001</v>
      </c>
      <c r="BN48" s="629">
        <f t="shared" si="11"/>
        <v>963193.04999999993</v>
      </c>
      <c r="BO48" s="533">
        <f t="shared" si="14"/>
        <v>251713.75640000019</v>
      </c>
      <c r="BP48" s="533">
        <f>BM48</f>
        <v>1214906.8064000001</v>
      </c>
      <c r="BQ48" s="617">
        <v>750491.19</v>
      </c>
      <c r="BR48" s="621">
        <f>AO48-BQ48</f>
        <v>209415.61640000006</v>
      </c>
      <c r="BS48" s="617">
        <v>212701.86</v>
      </c>
      <c r="BT48" s="621">
        <f>AR48-BS48</f>
        <v>42298.140000000014</v>
      </c>
    </row>
    <row r="49" spans="1:74" ht="19.5" customHeight="1" x14ac:dyDescent="0.3">
      <c r="A49" s="437" t="s">
        <v>179</v>
      </c>
      <c r="B49" s="140"/>
      <c r="C49" s="1054">
        <v>244</v>
      </c>
      <c r="D49" s="431">
        <v>161040</v>
      </c>
      <c r="E49" s="64">
        <f>H49+R49+AM49+AK49</f>
        <v>161040</v>
      </c>
      <c r="F49" s="411">
        <f t="shared" si="1"/>
        <v>0</v>
      </c>
      <c r="G49" s="285"/>
      <c r="H49" s="158"/>
      <c r="I49" s="669">
        <f t="shared" si="16"/>
        <v>0</v>
      </c>
      <c r="J49" s="881"/>
      <c r="K49" s="285"/>
      <c r="L49" s="158"/>
      <c r="M49" s="298"/>
      <c r="N49" s="285"/>
      <c r="O49" s="285"/>
      <c r="P49" s="367"/>
      <c r="Q49" s="279"/>
      <c r="R49" s="310"/>
      <c r="S49" s="418"/>
      <c r="T49" s="528"/>
      <c r="U49" s="310"/>
      <c r="V49" s="63"/>
      <c r="W49" s="357">
        <f t="shared" si="2"/>
        <v>0</v>
      </c>
      <c r="X49" s="382"/>
      <c r="Y49" s="63">
        <f t="shared" ref="Y49:Y65" si="39">X49-Z49</f>
        <v>0</v>
      </c>
      <c r="Z49" s="360">
        <f>X49-W49</f>
        <v>0</v>
      </c>
      <c r="AA49" s="310"/>
      <c r="AB49" s="63"/>
      <c r="AC49" s="360"/>
      <c r="AD49" s="279"/>
      <c r="AE49" s="63"/>
      <c r="AF49" s="360"/>
      <c r="AG49" s="279"/>
      <c r="AH49" s="63"/>
      <c r="AI49" s="360"/>
      <c r="AJ49" s="425"/>
      <c r="AK49" s="395"/>
      <c r="AL49" s="334">
        <v>161040</v>
      </c>
      <c r="AM49" s="347">
        <f t="shared" si="17"/>
        <v>161040</v>
      </c>
      <c r="AN49" s="1013">
        <f t="shared" si="5"/>
        <v>0</v>
      </c>
      <c r="AO49" s="338">
        <v>11040</v>
      </c>
      <c r="AP49" s="162">
        <f>AL49-AS49-AW49</f>
        <v>111040</v>
      </c>
      <c r="AQ49" s="1019">
        <f t="shared" ref="AQ49:AQ67" si="40">AP49-AO49</f>
        <v>100000</v>
      </c>
      <c r="AR49" s="324">
        <v>150000</v>
      </c>
      <c r="AS49" s="162">
        <v>50000</v>
      </c>
      <c r="AT49" s="339">
        <f>AS49-AR49</f>
        <v>-100000</v>
      </c>
      <c r="AU49" s="540"/>
      <c r="AV49" s="324"/>
      <c r="AW49" s="162"/>
      <c r="AX49" s="339">
        <f>AW49-AV49</f>
        <v>0</v>
      </c>
      <c r="AZ49" s="111">
        <v>50000</v>
      </c>
      <c r="BA49" s="111">
        <v>845833.33</v>
      </c>
      <c r="BB49" s="117" t="s">
        <v>242</v>
      </c>
      <c r="BG49" s="617"/>
      <c r="BH49" s="621">
        <f t="shared" ref="BH49:BH50" si="41">AE49-BG49</f>
        <v>0</v>
      </c>
      <c r="BI49" s="617">
        <v>30772.66</v>
      </c>
      <c r="BJ49" s="621">
        <f t="shared" ref="BJ49:BJ61" si="42">AH49-BI49</f>
        <v>-30772.66</v>
      </c>
      <c r="BM49" s="629">
        <f t="shared" si="18"/>
        <v>161040</v>
      </c>
      <c r="BN49" s="629">
        <f t="shared" si="11"/>
        <v>39127.660000000003</v>
      </c>
      <c r="BO49" s="533">
        <f t="shared" si="14"/>
        <v>121912.34</v>
      </c>
      <c r="BP49" s="533">
        <f>BN49</f>
        <v>39127.660000000003</v>
      </c>
      <c r="BQ49" s="617">
        <v>8355</v>
      </c>
      <c r="BR49" s="621">
        <f t="shared" ref="BR49:BR50" si="43">AO49-BQ49</f>
        <v>2685</v>
      </c>
      <c r="BS49" s="617">
        <v>30772.66</v>
      </c>
      <c r="BT49" s="621">
        <f t="shared" ref="BT49:BT75" si="44">AR49-BS49</f>
        <v>119227.34</v>
      </c>
    </row>
    <row r="50" spans="1:74" ht="16.5" customHeight="1" x14ac:dyDescent="0.3">
      <c r="A50" s="437" t="s">
        <v>180</v>
      </c>
      <c r="B50" s="140"/>
      <c r="C50" s="1054">
        <v>244</v>
      </c>
      <c r="D50" s="431">
        <v>45311602.851113483</v>
      </c>
      <c r="E50" s="64">
        <f>H50+R50+AM50+AK50</f>
        <v>45311602.852063537</v>
      </c>
      <c r="F50" s="411">
        <f t="shared" si="1"/>
        <v>9.5005333423614502E-4</v>
      </c>
      <c r="G50" s="285">
        <v>11180271.91</v>
      </c>
      <c r="H50" s="158">
        <f>J50+L50+O50</f>
        <v>11180271.91</v>
      </c>
      <c r="I50" s="669">
        <f t="shared" si="16"/>
        <v>0</v>
      </c>
      <c r="J50" s="881"/>
      <c r="K50" s="285">
        <v>7064216.5200987868</v>
      </c>
      <c r="L50" s="158">
        <f>'расчет норматив'!Z21+'ПФХД 2019 с разбивкой  (3)'!L105</f>
        <v>7064216.5200987868</v>
      </c>
      <c r="M50" s="298">
        <f>L50-K50</f>
        <v>0</v>
      </c>
      <c r="N50" s="285">
        <v>4116055.3899012129</v>
      </c>
      <c r="O50" s="285">
        <f>'расчет норматив'!AA21</f>
        <v>4116055.3899012129</v>
      </c>
      <c r="P50" s="367">
        <f>O50-N50</f>
        <v>0</v>
      </c>
      <c r="Q50" s="279">
        <v>11762136.629049946</v>
      </c>
      <c r="R50" s="310">
        <f>T50+V50+Y50+AB50+AE50+AH50</f>
        <v>11762136.629999999</v>
      </c>
      <c r="S50" s="418">
        <f>R50-Q50</f>
        <v>9.5005333423614502E-4</v>
      </c>
      <c r="T50" s="528"/>
      <c r="U50" s="310"/>
      <c r="V50" s="63"/>
      <c r="W50" s="357">
        <f t="shared" si="2"/>
        <v>0</v>
      </c>
      <c r="X50" s="382">
        <f>'расчет норматив'!AG21+'расчет норматив'!AH21+'расчет норматив'!AI21</f>
        <v>4232866.2490499448</v>
      </c>
      <c r="Y50" s="63">
        <v>2604490.63</v>
      </c>
      <c r="Z50" s="360"/>
      <c r="AA50" s="310">
        <v>1571646</v>
      </c>
      <c r="AB50" s="63">
        <v>1571646</v>
      </c>
      <c r="AC50" s="360">
        <f>AB50-AA50</f>
        <v>0</v>
      </c>
      <c r="AD50" s="279"/>
      <c r="AE50" s="63"/>
      <c r="AF50" s="360"/>
      <c r="AG50" s="63">
        <v>7586000</v>
      </c>
      <c r="AH50" s="63">
        <v>7586000</v>
      </c>
      <c r="AI50" s="360">
        <f>AH50-AG50</f>
        <v>0</v>
      </c>
      <c r="AJ50" s="425"/>
      <c r="AK50" s="395"/>
      <c r="AL50" s="334">
        <v>22369194.312063538</v>
      </c>
      <c r="AM50" s="347">
        <f t="shared" si="17"/>
        <v>22369194.312063538</v>
      </c>
      <c r="AN50" s="1013">
        <f t="shared" si="5"/>
        <v>0</v>
      </c>
      <c r="AO50" s="338">
        <v>20388264.312063538</v>
      </c>
      <c r="AP50" s="162">
        <f>AL50-AS50-AW50</f>
        <v>19267792.302063536</v>
      </c>
      <c r="AQ50" s="1019">
        <f t="shared" si="40"/>
        <v>-1120472.0100000016</v>
      </c>
      <c r="AR50" s="324">
        <v>1980930</v>
      </c>
      <c r="AS50" s="162">
        <v>1980930</v>
      </c>
      <c r="AT50" s="339">
        <f>AS50-AR50</f>
        <v>0</v>
      </c>
      <c r="AU50" s="540"/>
      <c r="AV50" s="324"/>
      <c r="AW50" s="162">
        <v>1120472.01</v>
      </c>
      <c r="AX50" s="339">
        <f>AW50-AV50</f>
        <v>1120472.01</v>
      </c>
      <c r="AZ50" s="122">
        <f>-(AZ38+AZ48+AZ35)</f>
        <v>-2401129.66</v>
      </c>
      <c r="BB50" s="117" t="s">
        <v>180</v>
      </c>
      <c r="BG50" s="617"/>
      <c r="BH50" s="621">
        <f t="shared" si="41"/>
        <v>0</v>
      </c>
      <c r="BI50" s="617">
        <v>879775.94</v>
      </c>
      <c r="BJ50" s="621">
        <f t="shared" si="42"/>
        <v>6706224.0600000005</v>
      </c>
      <c r="BM50" s="629">
        <f t="shared" si="18"/>
        <v>22369194.312063538</v>
      </c>
      <c r="BN50" s="629">
        <f t="shared" si="11"/>
        <v>16781898.300000001</v>
      </c>
      <c r="BO50" s="533">
        <f t="shared" si="14"/>
        <v>5587296.0120635368</v>
      </c>
      <c r="BP50" s="533">
        <f>BN50</f>
        <v>16781898.300000001</v>
      </c>
      <c r="BQ50" s="617">
        <f>15377975.9+224146.46+300000</f>
        <v>15902122.360000001</v>
      </c>
      <c r="BR50" s="621">
        <f t="shared" si="43"/>
        <v>4486141.9520635363</v>
      </c>
      <c r="BS50" s="617">
        <v>879775.94</v>
      </c>
      <c r="BT50" s="621">
        <f t="shared" si="44"/>
        <v>1101154.06</v>
      </c>
    </row>
    <row r="51" spans="1:74" x14ac:dyDescent="0.3">
      <c r="A51" s="437" t="s">
        <v>181</v>
      </c>
      <c r="B51" s="140"/>
      <c r="C51" s="1054">
        <v>244</v>
      </c>
      <c r="D51" s="431">
        <v>0</v>
      </c>
      <c r="E51" s="64">
        <f>H51+R51+AL51+AK51</f>
        <v>0</v>
      </c>
      <c r="F51" s="410">
        <f t="shared" si="1"/>
        <v>0</v>
      </c>
      <c r="G51" s="285"/>
      <c r="H51" s="158"/>
      <c r="I51" s="669">
        <f t="shared" si="16"/>
        <v>0</v>
      </c>
      <c r="J51" s="881"/>
      <c r="K51" s="285"/>
      <c r="L51" s="158"/>
      <c r="M51" s="298"/>
      <c r="N51" s="285"/>
      <c r="O51" s="285"/>
      <c r="P51" s="367"/>
      <c r="Q51" s="279"/>
      <c r="R51" s="310"/>
      <c r="S51" s="418"/>
      <c r="T51" s="528"/>
      <c r="U51" s="310"/>
      <c r="V51" s="63"/>
      <c r="W51" s="357">
        <f t="shared" si="2"/>
        <v>0</v>
      </c>
      <c r="X51" s="382"/>
      <c r="Y51" s="63">
        <f t="shared" si="39"/>
        <v>0</v>
      </c>
      <c r="Z51" s="360">
        <f>X51-W51</f>
        <v>0</v>
      </c>
      <c r="AA51" s="310"/>
      <c r="AB51" s="63"/>
      <c r="AC51" s="360"/>
      <c r="AD51" s="279"/>
      <c r="AE51" s="63"/>
      <c r="AF51" s="360"/>
      <c r="AG51" s="279"/>
      <c r="AH51" s="63"/>
      <c r="AI51" s="360">
        <f t="shared" ref="AI51:AI55" si="45">AH51-AG51</f>
        <v>0</v>
      </c>
      <c r="AJ51" s="425"/>
      <c r="AK51" s="395"/>
      <c r="AL51" s="334">
        <v>0</v>
      </c>
      <c r="AM51" s="347">
        <f t="shared" si="17"/>
        <v>0</v>
      </c>
      <c r="AN51" s="1013">
        <f t="shared" si="5"/>
        <v>0</v>
      </c>
      <c r="AO51" s="338">
        <v>0</v>
      </c>
      <c r="AP51" s="162">
        <v>0</v>
      </c>
      <c r="AQ51" s="1019">
        <f t="shared" si="40"/>
        <v>0</v>
      </c>
      <c r="AR51" s="324"/>
      <c r="AS51" s="162"/>
      <c r="AT51" s="339"/>
      <c r="AU51" s="540"/>
      <c r="AV51" s="324"/>
      <c r="AW51" s="162"/>
      <c r="AX51" s="339"/>
      <c r="AZ51" s="111">
        <v>23168167.190000001</v>
      </c>
      <c r="BA51" s="111">
        <v>2186471.81</v>
      </c>
      <c r="BB51" s="117" t="s">
        <v>243</v>
      </c>
      <c r="BG51" s="617"/>
      <c r="BH51" s="621">
        <f>AF51-BG51</f>
        <v>0</v>
      </c>
      <c r="BI51" s="617"/>
      <c r="BJ51" s="621">
        <f t="shared" si="42"/>
        <v>0</v>
      </c>
      <c r="BM51" s="629">
        <f t="shared" si="18"/>
        <v>0</v>
      </c>
      <c r="BN51" s="629">
        <f t="shared" si="11"/>
        <v>0</v>
      </c>
      <c r="BO51" s="533">
        <f t="shared" si="14"/>
        <v>0</v>
      </c>
      <c r="BP51" s="533"/>
      <c r="BQ51" s="617"/>
      <c r="BR51" s="621">
        <f>AP51-BQ51</f>
        <v>0</v>
      </c>
      <c r="BS51" s="617"/>
      <c r="BT51" s="621">
        <f t="shared" si="44"/>
        <v>0</v>
      </c>
    </row>
    <row r="52" spans="1:74" x14ac:dyDescent="0.3">
      <c r="A52" s="1417" t="s">
        <v>182</v>
      </c>
      <c r="B52" s="142"/>
      <c r="C52" s="1414">
        <v>243</v>
      </c>
      <c r="D52" s="431">
        <v>1003324908.2</v>
      </c>
      <c r="E52" s="64">
        <f t="shared" ref="E52:E59" si="46">H52+R52+AM52+AK52</f>
        <v>1003324908.2</v>
      </c>
      <c r="F52" s="411">
        <f t="shared" si="1"/>
        <v>0</v>
      </c>
      <c r="G52" s="285"/>
      <c r="H52" s="158"/>
      <c r="I52" s="669">
        <f t="shared" si="16"/>
        <v>0</v>
      </c>
      <c r="J52" s="883"/>
      <c r="K52" s="286"/>
      <c r="L52" s="158"/>
      <c r="M52" s="300"/>
      <c r="N52" s="286"/>
      <c r="O52" s="286"/>
      <c r="P52" s="368"/>
      <c r="Q52" s="279">
        <v>1003324908.2</v>
      </c>
      <c r="R52" s="310">
        <f>T52+V52+Y52+AB52+AE52+AH52</f>
        <v>1003324908.2</v>
      </c>
      <c r="S52" s="418">
        <f>R52-Q52</f>
        <v>0</v>
      </c>
      <c r="T52" s="528">
        <v>146375908.19999999</v>
      </c>
      <c r="U52" s="310">
        <v>856949000</v>
      </c>
      <c r="V52" s="63">
        <v>856949000</v>
      </c>
      <c r="W52" s="360">
        <f t="shared" si="2"/>
        <v>0</v>
      </c>
      <c r="X52" s="382"/>
      <c r="Y52" s="63">
        <f t="shared" si="39"/>
        <v>0</v>
      </c>
      <c r="Z52" s="360"/>
      <c r="AA52" s="310"/>
      <c r="AB52" s="63"/>
      <c r="AC52" s="360"/>
      <c r="AD52" s="279"/>
      <c r="AE52" s="63"/>
      <c r="AF52" s="360"/>
      <c r="AG52" s="279"/>
      <c r="AH52" s="63"/>
      <c r="AI52" s="360">
        <f t="shared" si="45"/>
        <v>0</v>
      </c>
      <c r="AJ52" s="425"/>
      <c r="AK52" s="397"/>
      <c r="AL52" s="334">
        <v>0</v>
      </c>
      <c r="AM52" s="347">
        <f t="shared" si="17"/>
        <v>0</v>
      </c>
      <c r="AN52" s="1013">
        <f t="shared" si="5"/>
        <v>0</v>
      </c>
      <c r="AO52" s="340">
        <v>0</v>
      </c>
      <c r="AP52" s="162">
        <v>0</v>
      </c>
      <c r="AQ52" s="1019">
        <f t="shared" si="40"/>
        <v>0</v>
      </c>
      <c r="AR52" s="401"/>
      <c r="AS52" s="259"/>
      <c r="AT52" s="341"/>
      <c r="AU52" s="540"/>
      <c r="AV52" s="401"/>
      <c r="AW52" s="259"/>
      <c r="AX52" s="341"/>
      <c r="AZ52" s="111">
        <f>AL50-AZ51</f>
        <v>-798972.8779364638</v>
      </c>
      <c r="BG52" s="617"/>
      <c r="BH52" s="621">
        <f>AF52-BG52</f>
        <v>0</v>
      </c>
      <c r="BI52" s="617"/>
      <c r="BJ52" s="621">
        <f t="shared" si="42"/>
        <v>0</v>
      </c>
      <c r="BM52" s="629">
        <f t="shared" si="18"/>
        <v>0</v>
      </c>
      <c r="BN52" s="629">
        <f t="shared" si="11"/>
        <v>0</v>
      </c>
      <c r="BO52" s="533">
        <f t="shared" si="14"/>
        <v>0</v>
      </c>
      <c r="BP52" s="533"/>
      <c r="BQ52" s="617"/>
      <c r="BR52" s="621">
        <f>AP52-BQ52</f>
        <v>0</v>
      </c>
      <c r="BS52" s="617"/>
      <c r="BT52" s="621">
        <f t="shared" si="44"/>
        <v>0</v>
      </c>
    </row>
    <row r="53" spans="1:74" s="145" customFormat="1" ht="19.5" hidden="1" customHeight="1" x14ac:dyDescent="0.3">
      <c r="A53" s="1418"/>
      <c r="B53" s="143"/>
      <c r="C53" s="1415"/>
      <c r="D53" s="432">
        <v>0</v>
      </c>
      <c r="E53" s="64">
        <f t="shared" si="46"/>
        <v>0</v>
      </c>
      <c r="F53" s="411">
        <f t="shared" si="1"/>
        <v>0</v>
      </c>
      <c r="G53" s="285"/>
      <c r="H53" s="158"/>
      <c r="I53" s="669">
        <f t="shared" si="16"/>
        <v>0</v>
      </c>
      <c r="J53" s="884"/>
      <c r="K53" s="287"/>
      <c r="L53" s="158"/>
      <c r="M53" s="302"/>
      <c r="N53" s="287"/>
      <c r="O53" s="287"/>
      <c r="P53" s="369"/>
      <c r="Q53" s="279">
        <v>0</v>
      </c>
      <c r="R53" s="310">
        <f t="shared" ref="R53:R66" si="47">T53+V53+Y53+AB53+AE53+AH53</f>
        <v>0</v>
      </c>
      <c r="S53" s="418">
        <f t="shared" ref="S53:S59" si="48">R53-Q53</f>
        <v>0</v>
      </c>
      <c r="T53" s="529"/>
      <c r="U53" s="523"/>
      <c r="V53" s="163"/>
      <c r="W53" s="360">
        <f t="shared" si="2"/>
        <v>0</v>
      </c>
      <c r="X53" s="384"/>
      <c r="Y53" s="63">
        <f t="shared" si="39"/>
        <v>0</v>
      </c>
      <c r="Z53" s="360">
        <f>X53-W53</f>
        <v>0</v>
      </c>
      <c r="AA53" s="523"/>
      <c r="AB53" s="163"/>
      <c r="AC53" s="361"/>
      <c r="AD53" s="280"/>
      <c r="AE53" s="163"/>
      <c r="AF53" s="361"/>
      <c r="AG53" s="280"/>
      <c r="AH53" s="163"/>
      <c r="AI53" s="360">
        <f t="shared" si="45"/>
        <v>0</v>
      </c>
      <c r="AJ53" s="427"/>
      <c r="AK53" s="398"/>
      <c r="AL53" s="334">
        <v>0</v>
      </c>
      <c r="AM53" s="347">
        <f t="shared" si="17"/>
        <v>0</v>
      </c>
      <c r="AN53" s="1013">
        <f t="shared" si="5"/>
        <v>0</v>
      </c>
      <c r="AO53" s="342">
        <v>0</v>
      </c>
      <c r="AP53" s="162">
        <v>0</v>
      </c>
      <c r="AQ53" s="1019">
        <f t="shared" si="40"/>
        <v>0</v>
      </c>
      <c r="AR53" s="402"/>
      <c r="AS53" s="262"/>
      <c r="AT53" s="343"/>
      <c r="AU53" s="544"/>
      <c r="AV53" s="402"/>
      <c r="AW53" s="262"/>
      <c r="AX53" s="343"/>
      <c r="BG53" s="617"/>
      <c r="BH53" s="621">
        <f>AF53-BG53</f>
        <v>0</v>
      </c>
      <c r="BI53" s="617"/>
      <c r="BJ53" s="621">
        <f t="shared" si="42"/>
        <v>0</v>
      </c>
      <c r="BM53" s="629">
        <f t="shared" si="18"/>
        <v>0</v>
      </c>
      <c r="BN53" s="629">
        <f t="shared" si="11"/>
        <v>0</v>
      </c>
      <c r="BO53" s="533">
        <f t="shared" si="14"/>
        <v>0</v>
      </c>
      <c r="BP53" s="533"/>
      <c r="BQ53" s="617"/>
      <c r="BR53" s="621">
        <f>AP53-BQ53</f>
        <v>0</v>
      </c>
      <c r="BS53" s="617"/>
      <c r="BT53" s="621">
        <f t="shared" si="44"/>
        <v>0</v>
      </c>
    </row>
    <row r="54" spans="1:74" s="145" customFormat="1" ht="19.5" hidden="1" customHeight="1" x14ac:dyDescent="0.3">
      <c r="A54" s="1418"/>
      <c r="B54" s="143"/>
      <c r="C54" s="1416"/>
      <c r="D54" s="432">
        <v>0</v>
      </c>
      <c r="E54" s="64">
        <f t="shared" si="46"/>
        <v>0</v>
      </c>
      <c r="F54" s="411">
        <f t="shared" si="1"/>
        <v>0</v>
      </c>
      <c r="G54" s="285"/>
      <c r="H54" s="158"/>
      <c r="I54" s="669">
        <f t="shared" si="16"/>
        <v>0</v>
      </c>
      <c r="J54" s="884"/>
      <c r="K54" s="287"/>
      <c r="L54" s="158"/>
      <c r="M54" s="302"/>
      <c r="N54" s="287"/>
      <c r="O54" s="287"/>
      <c r="P54" s="369"/>
      <c r="Q54" s="279">
        <v>0</v>
      </c>
      <c r="R54" s="310">
        <f t="shared" si="47"/>
        <v>0</v>
      </c>
      <c r="S54" s="418">
        <f t="shared" si="48"/>
        <v>0</v>
      </c>
      <c r="T54" s="529"/>
      <c r="U54" s="523"/>
      <c r="V54" s="163"/>
      <c r="W54" s="360">
        <f t="shared" si="2"/>
        <v>0</v>
      </c>
      <c r="X54" s="384"/>
      <c r="Y54" s="63">
        <f t="shared" si="39"/>
        <v>0</v>
      </c>
      <c r="Z54" s="360">
        <f>X54-W54</f>
        <v>0</v>
      </c>
      <c r="AA54" s="523"/>
      <c r="AB54" s="163"/>
      <c r="AC54" s="361"/>
      <c r="AD54" s="280"/>
      <c r="AE54" s="163"/>
      <c r="AF54" s="361"/>
      <c r="AG54" s="280"/>
      <c r="AH54" s="163"/>
      <c r="AI54" s="360">
        <f t="shared" si="45"/>
        <v>0</v>
      </c>
      <c r="AJ54" s="427"/>
      <c r="AK54" s="398"/>
      <c r="AL54" s="334">
        <v>0</v>
      </c>
      <c r="AM54" s="347">
        <f t="shared" si="17"/>
        <v>0</v>
      </c>
      <c r="AN54" s="1013">
        <f t="shared" si="5"/>
        <v>0</v>
      </c>
      <c r="AO54" s="342">
        <v>0</v>
      </c>
      <c r="AP54" s="162">
        <v>0</v>
      </c>
      <c r="AQ54" s="1019">
        <f t="shared" si="40"/>
        <v>0</v>
      </c>
      <c r="AR54" s="402"/>
      <c r="AS54" s="262"/>
      <c r="AT54" s="343"/>
      <c r="AU54" s="544"/>
      <c r="AV54" s="402"/>
      <c r="AW54" s="262"/>
      <c r="AX54" s="343"/>
      <c r="AZ54" s="111"/>
      <c r="BA54" s="146"/>
      <c r="BB54" s="117" t="s">
        <v>239</v>
      </c>
      <c r="BC54" s="117"/>
      <c r="BD54" s="117"/>
      <c r="BE54" s="117"/>
      <c r="BF54" s="117"/>
      <c r="BG54" s="617"/>
      <c r="BH54" s="621">
        <f>AF54-BG54</f>
        <v>0</v>
      </c>
      <c r="BI54" s="617"/>
      <c r="BJ54" s="621">
        <f t="shared" si="42"/>
        <v>0</v>
      </c>
      <c r="BK54" s="117"/>
      <c r="BL54" s="117"/>
      <c r="BM54" s="629">
        <f t="shared" si="18"/>
        <v>0</v>
      </c>
      <c r="BN54" s="629">
        <f t="shared" si="11"/>
        <v>0</v>
      </c>
      <c r="BO54" s="533">
        <f t="shared" si="14"/>
        <v>0</v>
      </c>
      <c r="BP54" s="533"/>
      <c r="BQ54" s="617"/>
      <c r="BR54" s="621">
        <f>AP54-BQ54</f>
        <v>0</v>
      </c>
      <c r="BS54" s="617"/>
      <c r="BT54" s="621">
        <f t="shared" si="44"/>
        <v>0</v>
      </c>
    </row>
    <row r="55" spans="1:74" ht="19.5" customHeight="1" x14ac:dyDescent="0.3">
      <c r="A55" s="1419"/>
      <c r="B55" s="147"/>
      <c r="C55" s="444">
        <v>244</v>
      </c>
      <c r="D55" s="431">
        <v>54335280.231198892</v>
      </c>
      <c r="E55" s="64">
        <f t="shared" si="46"/>
        <v>54335280.236000001</v>
      </c>
      <c r="F55" s="411">
        <f t="shared" si="1"/>
        <v>4.8011094331741333E-3</v>
      </c>
      <c r="G55" s="285">
        <v>6515818.2999999998</v>
      </c>
      <c r="H55" s="158">
        <f>J55+L55+O55</f>
        <v>6515818.2999999998</v>
      </c>
      <c r="I55" s="669">
        <f t="shared" si="16"/>
        <v>0</v>
      </c>
      <c r="J55" s="881"/>
      <c r="K55" s="285">
        <v>3934762.5445104162</v>
      </c>
      <c r="L55" s="158">
        <f>'расчет норматив'!Z22+'ПФХД 2019 с разбивкой  (3)'!L106</f>
        <v>3934762.5445104162</v>
      </c>
      <c r="M55" s="298">
        <f>L55-K55</f>
        <v>0</v>
      </c>
      <c r="N55" s="285">
        <v>2581055.7554895836</v>
      </c>
      <c r="O55" s="285">
        <f>'расчет норматив'!AA22</f>
        <v>2581055.7554895836</v>
      </c>
      <c r="P55" s="367">
        <f>O55-N55</f>
        <v>0</v>
      </c>
      <c r="Q55" s="279">
        <v>4671847.2451988859</v>
      </c>
      <c r="R55" s="310">
        <f t="shared" si="47"/>
        <v>4671847.25</v>
      </c>
      <c r="S55" s="418">
        <f t="shared" si="48"/>
        <v>4.8011140897870064E-3</v>
      </c>
      <c r="T55" s="528">
        <v>429259.19</v>
      </c>
      <c r="U55" s="310"/>
      <c r="V55" s="63"/>
      <c r="W55" s="360">
        <f t="shared" si="2"/>
        <v>0</v>
      </c>
      <c r="X55" s="382">
        <f>'расчет норматив'!AG22+'расчет норматив'!AH22+'расчет норматив'!AI22</f>
        <v>1000046.3551988835</v>
      </c>
      <c r="Y55" s="63">
        <f>978752.36+0.01</f>
        <v>978752.37</v>
      </c>
      <c r="Z55" s="360"/>
      <c r="AA55" s="310">
        <v>1687314.17</v>
      </c>
      <c r="AB55" s="63">
        <v>1687314.17</v>
      </c>
      <c r="AC55" s="360">
        <f>AB55-AA55</f>
        <v>0</v>
      </c>
      <c r="AD55" s="279"/>
      <c r="AE55" s="63"/>
      <c r="AF55" s="360"/>
      <c r="AG55" s="279">
        <v>1576521.5200000003</v>
      </c>
      <c r="AH55" s="63">
        <v>1576521.52</v>
      </c>
      <c r="AI55" s="360">
        <f t="shared" si="45"/>
        <v>0</v>
      </c>
      <c r="AJ55" s="425"/>
      <c r="AK55" s="395"/>
      <c r="AL55" s="334">
        <v>43147614.686000004</v>
      </c>
      <c r="AM55" s="347">
        <f t="shared" si="17"/>
        <v>43147614.686000004</v>
      </c>
      <c r="AN55" s="1013">
        <f t="shared" si="5"/>
        <v>0</v>
      </c>
      <c r="AO55" s="338">
        <v>38155862.186000004</v>
      </c>
      <c r="AP55" s="162">
        <f>AL55-AS55-AW55</f>
        <v>38155862.186000004</v>
      </c>
      <c r="AQ55" s="1019">
        <f t="shared" si="40"/>
        <v>0</v>
      </c>
      <c r="AR55" s="324">
        <v>4991752.5</v>
      </c>
      <c r="AS55" s="162">
        <v>4289138.08</v>
      </c>
      <c r="AT55" s="339">
        <f>AS55-AR55</f>
        <v>-702614.41999999993</v>
      </c>
      <c r="AU55" s="540"/>
      <c r="AV55" s="324"/>
      <c r="AW55" s="162">
        <v>702614.42</v>
      </c>
      <c r="AX55" s="339">
        <f>AW55-AV55</f>
        <v>702614.42</v>
      </c>
      <c r="AZ55" s="111">
        <v>11260837.890000001</v>
      </c>
      <c r="BA55" s="111">
        <v>2931349.03</v>
      </c>
      <c r="BB55" s="117" t="s">
        <v>238</v>
      </c>
      <c r="BG55" s="617"/>
      <c r="BH55" s="621">
        <f>AE55-BG55</f>
        <v>0</v>
      </c>
      <c r="BI55" s="617">
        <v>1302967.3999999999</v>
      </c>
      <c r="BJ55" s="621">
        <f t="shared" si="42"/>
        <v>273554.12000000011</v>
      </c>
      <c r="BM55" s="629">
        <f t="shared" si="18"/>
        <v>43147614.686000004</v>
      </c>
      <c r="BN55" s="629">
        <f t="shared" si="11"/>
        <v>8810001.3200000003</v>
      </c>
      <c r="BO55" s="533">
        <f t="shared" si="14"/>
        <v>34337613.366000004</v>
      </c>
      <c r="BP55" s="533">
        <f>BN55</f>
        <v>8810001.3200000003</v>
      </c>
      <c r="BQ55" s="617">
        <f>7007033.92+500000</f>
        <v>7507033.9199999999</v>
      </c>
      <c r="BR55" s="621">
        <f>AO55-BQ55</f>
        <v>30648828.266000003</v>
      </c>
      <c r="BS55" s="617">
        <v>1302967.3999999999</v>
      </c>
      <c r="BT55" s="621">
        <f t="shared" si="44"/>
        <v>3688785.1</v>
      </c>
    </row>
    <row r="56" spans="1:74" ht="19.5" customHeight="1" x14ac:dyDescent="0.3">
      <c r="A56" s="1417" t="s">
        <v>183</v>
      </c>
      <c r="B56" s="148"/>
      <c r="C56" s="1414">
        <v>243</v>
      </c>
      <c r="D56" s="431">
        <v>52389110</v>
      </c>
      <c r="E56" s="64">
        <f t="shared" si="46"/>
        <v>52389110</v>
      </c>
      <c r="F56" s="411">
        <f t="shared" si="1"/>
        <v>0</v>
      </c>
      <c r="G56" s="285"/>
      <c r="H56" s="158"/>
      <c r="I56" s="669">
        <f t="shared" si="16"/>
        <v>0</v>
      </c>
      <c r="J56" s="883"/>
      <c r="K56" s="286"/>
      <c r="L56" s="158"/>
      <c r="M56" s="300"/>
      <c r="N56" s="286"/>
      <c r="O56" s="286"/>
      <c r="P56" s="368"/>
      <c r="Q56" s="279">
        <v>52389110</v>
      </c>
      <c r="R56" s="310">
        <f t="shared" si="47"/>
        <v>52389110</v>
      </c>
      <c r="S56" s="418">
        <f t="shared" si="48"/>
        <v>0</v>
      </c>
      <c r="T56" s="528">
        <v>4389110</v>
      </c>
      <c r="U56" s="310">
        <v>48000000</v>
      </c>
      <c r="V56" s="63">
        <v>48000000</v>
      </c>
      <c r="W56" s="360">
        <f t="shared" si="2"/>
        <v>0</v>
      </c>
      <c r="X56" s="382"/>
      <c r="Y56" s="63"/>
      <c r="Z56" s="360"/>
      <c r="AA56" s="310"/>
      <c r="AB56" s="63"/>
      <c r="AC56" s="360"/>
      <c r="AD56" s="279"/>
      <c r="AE56" s="63"/>
      <c r="AF56" s="360"/>
      <c r="AG56" s="279"/>
      <c r="AH56" s="63"/>
      <c r="AI56" s="360"/>
      <c r="AJ56" s="425"/>
      <c r="AK56" s="397"/>
      <c r="AL56" s="334">
        <v>0</v>
      </c>
      <c r="AM56" s="347">
        <f t="shared" si="17"/>
        <v>0</v>
      </c>
      <c r="AN56" s="1013">
        <f t="shared" si="5"/>
        <v>0</v>
      </c>
      <c r="AO56" s="340">
        <v>0</v>
      </c>
      <c r="AP56" s="162">
        <v>0</v>
      </c>
      <c r="AQ56" s="1019">
        <f t="shared" si="40"/>
        <v>0</v>
      </c>
      <c r="AR56" s="401"/>
      <c r="AS56" s="259"/>
      <c r="AT56" s="341"/>
      <c r="AU56" s="540"/>
      <c r="AV56" s="401"/>
      <c r="AW56" s="259"/>
      <c r="AX56" s="341"/>
      <c r="BG56" s="617"/>
      <c r="BH56" s="621">
        <f>AF56-BG56</f>
        <v>0</v>
      </c>
      <c r="BI56" s="617"/>
      <c r="BJ56" s="621">
        <f t="shared" si="42"/>
        <v>0</v>
      </c>
      <c r="BM56" s="629">
        <f t="shared" si="18"/>
        <v>0</v>
      </c>
      <c r="BN56" s="629">
        <f t="shared" si="11"/>
        <v>0</v>
      </c>
      <c r="BO56" s="533">
        <f t="shared" si="14"/>
        <v>0</v>
      </c>
      <c r="BP56" s="533"/>
      <c r="BQ56" s="617"/>
      <c r="BR56" s="621">
        <f>AP56-BQ56</f>
        <v>0</v>
      </c>
      <c r="BS56" s="617"/>
      <c r="BT56" s="621">
        <f t="shared" si="44"/>
        <v>0</v>
      </c>
    </row>
    <row r="57" spans="1:74" s="145" customFormat="1" ht="18.75" hidden="1" customHeight="1" x14ac:dyDescent="0.3">
      <c r="A57" s="1418"/>
      <c r="B57" s="149"/>
      <c r="C57" s="1415"/>
      <c r="D57" s="432">
        <v>0</v>
      </c>
      <c r="E57" s="64">
        <f t="shared" si="46"/>
        <v>0</v>
      </c>
      <c r="F57" s="411">
        <f t="shared" si="1"/>
        <v>0</v>
      </c>
      <c r="G57" s="285"/>
      <c r="H57" s="158"/>
      <c r="I57" s="669">
        <f t="shared" si="16"/>
        <v>0</v>
      </c>
      <c r="J57" s="884"/>
      <c r="K57" s="287"/>
      <c r="L57" s="158"/>
      <c r="M57" s="302"/>
      <c r="N57" s="287"/>
      <c r="O57" s="287"/>
      <c r="P57" s="369"/>
      <c r="Q57" s="279">
        <v>0</v>
      </c>
      <c r="R57" s="310">
        <f t="shared" si="47"/>
        <v>0</v>
      </c>
      <c r="S57" s="418">
        <f t="shared" si="48"/>
        <v>0</v>
      </c>
      <c r="T57" s="529"/>
      <c r="U57" s="523"/>
      <c r="V57" s="163"/>
      <c r="W57" s="360">
        <f t="shared" si="2"/>
        <v>0</v>
      </c>
      <c r="X57" s="384"/>
      <c r="Y57" s="63">
        <f t="shared" si="39"/>
        <v>0</v>
      </c>
      <c r="Z57" s="360">
        <f>X57-W57</f>
        <v>0</v>
      </c>
      <c r="AA57" s="523"/>
      <c r="AB57" s="163"/>
      <c r="AC57" s="361"/>
      <c r="AD57" s="280"/>
      <c r="AE57" s="163"/>
      <c r="AF57" s="361"/>
      <c r="AG57" s="280"/>
      <c r="AH57" s="163"/>
      <c r="AI57" s="361"/>
      <c r="AJ57" s="427"/>
      <c r="AK57" s="398"/>
      <c r="AL57" s="334">
        <v>0</v>
      </c>
      <c r="AM57" s="347">
        <f t="shared" si="17"/>
        <v>0</v>
      </c>
      <c r="AN57" s="1013">
        <f t="shared" si="5"/>
        <v>0</v>
      </c>
      <c r="AO57" s="342">
        <v>0</v>
      </c>
      <c r="AP57" s="162">
        <v>0</v>
      </c>
      <c r="AQ57" s="1019">
        <f t="shared" si="40"/>
        <v>0</v>
      </c>
      <c r="AR57" s="402"/>
      <c r="AS57" s="262"/>
      <c r="AT57" s="343"/>
      <c r="AU57" s="544"/>
      <c r="AV57" s="402"/>
      <c r="AW57" s="262"/>
      <c r="AX57" s="343"/>
      <c r="BG57" s="617"/>
      <c r="BH57" s="621">
        <f>AF57-BG57</f>
        <v>0</v>
      </c>
      <c r="BI57" s="617"/>
      <c r="BJ57" s="621">
        <f t="shared" si="42"/>
        <v>0</v>
      </c>
      <c r="BM57" s="629">
        <f t="shared" si="18"/>
        <v>0</v>
      </c>
      <c r="BN57" s="629">
        <f t="shared" si="11"/>
        <v>0</v>
      </c>
      <c r="BO57" s="533">
        <f t="shared" si="14"/>
        <v>0</v>
      </c>
      <c r="BP57" s="533"/>
      <c r="BQ57" s="617"/>
      <c r="BR57" s="621">
        <f>AP57-BQ57</f>
        <v>0</v>
      </c>
      <c r="BS57" s="617"/>
      <c r="BT57" s="621">
        <f t="shared" si="44"/>
        <v>0</v>
      </c>
    </row>
    <row r="58" spans="1:74" s="145" customFormat="1" ht="33.75" hidden="1" customHeight="1" x14ac:dyDescent="0.3">
      <c r="A58" s="1418"/>
      <c r="B58" s="149"/>
      <c r="C58" s="1416"/>
      <c r="D58" s="432">
        <v>0</v>
      </c>
      <c r="E58" s="64">
        <f t="shared" si="46"/>
        <v>0</v>
      </c>
      <c r="F58" s="411">
        <f t="shared" si="1"/>
        <v>0</v>
      </c>
      <c r="G58" s="285"/>
      <c r="H58" s="158"/>
      <c r="I58" s="669">
        <f t="shared" si="16"/>
        <v>0</v>
      </c>
      <c r="J58" s="884"/>
      <c r="K58" s="287"/>
      <c r="L58" s="158"/>
      <c r="M58" s="302"/>
      <c r="N58" s="287"/>
      <c r="O58" s="287"/>
      <c r="P58" s="369"/>
      <c r="Q58" s="279">
        <v>0</v>
      </c>
      <c r="R58" s="310">
        <f t="shared" si="47"/>
        <v>0</v>
      </c>
      <c r="S58" s="418">
        <f t="shared" si="48"/>
        <v>0</v>
      </c>
      <c r="T58" s="529"/>
      <c r="U58" s="523"/>
      <c r="V58" s="163"/>
      <c r="W58" s="360">
        <f t="shared" si="2"/>
        <v>0</v>
      </c>
      <c r="X58" s="384"/>
      <c r="Y58" s="63">
        <f t="shared" si="39"/>
        <v>0</v>
      </c>
      <c r="Z58" s="360">
        <f>X58-W58</f>
        <v>0</v>
      </c>
      <c r="AA58" s="523"/>
      <c r="AB58" s="163"/>
      <c r="AC58" s="361"/>
      <c r="AD58" s="280"/>
      <c r="AE58" s="163"/>
      <c r="AF58" s="361"/>
      <c r="AG58" s="280"/>
      <c r="AH58" s="163"/>
      <c r="AI58" s="361"/>
      <c r="AJ58" s="427"/>
      <c r="AK58" s="398"/>
      <c r="AL58" s="334">
        <v>0</v>
      </c>
      <c r="AM58" s="347">
        <f t="shared" si="17"/>
        <v>0</v>
      </c>
      <c r="AN58" s="1013">
        <f t="shared" si="5"/>
        <v>0</v>
      </c>
      <c r="AO58" s="342">
        <v>0</v>
      </c>
      <c r="AP58" s="162">
        <v>0</v>
      </c>
      <c r="AQ58" s="1019">
        <f t="shared" si="40"/>
        <v>0</v>
      </c>
      <c r="AR58" s="402"/>
      <c r="AS58" s="262"/>
      <c r="AT58" s="343"/>
      <c r="AU58" s="544"/>
      <c r="AV58" s="402"/>
      <c r="AW58" s="262"/>
      <c r="AX58" s="343"/>
      <c r="BG58" s="617"/>
      <c r="BH58" s="621">
        <f>AF58-BG58</f>
        <v>0</v>
      </c>
      <c r="BI58" s="617"/>
      <c r="BJ58" s="621">
        <f t="shared" si="42"/>
        <v>0</v>
      </c>
      <c r="BM58" s="629">
        <f t="shared" si="18"/>
        <v>0</v>
      </c>
      <c r="BN58" s="629">
        <f t="shared" si="11"/>
        <v>0</v>
      </c>
      <c r="BO58" s="533">
        <f t="shared" si="14"/>
        <v>0</v>
      </c>
      <c r="BP58" s="533"/>
      <c r="BQ58" s="617"/>
      <c r="BR58" s="621">
        <f>AP58-BQ58</f>
        <v>0</v>
      </c>
      <c r="BS58" s="617"/>
      <c r="BT58" s="621">
        <f t="shared" si="44"/>
        <v>0</v>
      </c>
    </row>
    <row r="59" spans="1:74" ht="19.5" customHeight="1" x14ac:dyDescent="0.3">
      <c r="A59" s="1419"/>
      <c r="B59" s="140"/>
      <c r="C59" s="444">
        <v>244</v>
      </c>
      <c r="D59" s="431">
        <v>321089173.20289463</v>
      </c>
      <c r="E59" s="64">
        <f t="shared" si="46"/>
        <v>321089173.20599997</v>
      </c>
      <c r="F59" s="411">
        <f t="shared" si="1"/>
        <v>3.1053423881530762E-3</v>
      </c>
      <c r="G59" s="285">
        <v>3819615.4699999997</v>
      </c>
      <c r="H59" s="158">
        <f>J59+L59+O59</f>
        <v>3819615.4699999997</v>
      </c>
      <c r="I59" s="669">
        <f t="shared" si="16"/>
        <v>0</v>
      </c>
      <c r="J59" s="881"/>
      <c r="K59" s="285">
        <v>2389277.4415155859</v>
      </c>
      <c r="L59" s="158">
        <f>'расчет норматив'!Z23+'ПФХД 2019 с разбивкой  (3)'!L107</f>
        <v>2389277.4415155859</v>
      </c>
      <c r="M59" s="298">
        <f>L59-K59</f>
        <v>0</v>
      </c>
      <c r="N59" s="285">
        <v>1430338.0284844141</v>
      </c>
      <c r="O59" s="285">
        <f>'расчет норматив'!AA23</f>
        <v>1430338.0284844141</v>
      </c>
      <c r="P59" s="367">
        <f>O59-N59</f>
        <v>0</v>
      </c>
      <c r="Q59" s="279">
        <v>297440872.03689462</v>
      </c>
      <c r="R59" s="310">
        <f t="shared" si="47"/>
        <v>297440872.03999996</v>
      </c>
      <c r="S59" s="418">
        <f t="shared" si="48"/>
        <v>3.1053423881530762E-3</v>
      </c>
      <c r="T59" s="528">
        <f>143149690.39</f>
        <v>143149690.38999999</v>
      </c>
      <c r="U59" s="310">
        <v>153500000</v>
      </c>
      <c r="V59" s="63">
        <v>153500000</v>
      </c>
      <c r="W59" s="360">
        <f>V59-U59</f>
        <v>0</v>
      </c>
      <c r="X59" s="382">
        <f>'расчет норматив'!AG23+'расчет норматив'!AH23+'расчет норматив'!AI23</f>
        <v>1506605.9568946266</v>
      </c>
      <c r="Y59" s="63">
        <v>733581.65</v>
      </c>
      <c r="Z59" s="360"/>
      <c r="AA59" s="310">
        <v>57600</v>
      </c>
      <c r="AB59" s="63">
        <v>57600</v>
      </c>
      <c r="AC59" s="360">
        <f>AB59-AA59</f>
        <v>0</v>
      </c>
      <c r="AD59" s="279"/>
      <c r="AE59" s="63"/>
      <c r="AF59" s="360"/>
      <c r="AG59" s="279"/>
      <c r="AH59" s="63"/>
      <c r="AI59" s="360"/>
      <c r="AJ59" s="425"/>
      <c r="AK59" s="395">
        <v>50000</v>
      </c>
      <c r="AL59" s="334">
        <v>19778685.696000002</v>
      </c>
      <c r="AM59" s="347">
        <f t="shared" si="17"/>
        <v>19778685.696000002</v>
      </c>
      <c r="AN59" s="1013">
        <f t="shared" si="5"/>
        <v>0</v>
      </c>
      <c r="AO59" s="338">
        <v>16879285.696000002</v>
      </c>
      <c r="AP59" s="162">
        <f>AL59-AS59-AW59</f>
        <v>18130316.856000002</v>
      </c>
      <c r="AQ59" s="1019">
        <f t="shared" si="40"/>
        <v>1251031.1600000001</v>
      </c>
      <c r="AR59" s="324">
        <v>2899400</v>
      </c>
      <c r="AS59" s="162">
        <v>1259002.3700000001</v>
      </c>
      <c r="AT59" s="339">
        <f>AS59-AR59</f>
        <v>-1640397.63</v>
      </c>
      <c r="AU59" s="540"/>
      <c r="AV59" s="324"/>
      <c r="AW59" s="162">
        <v>389366.47</v>
      </c>
      <c r="AX59" s="339">
        <f>AW59-AV59</f>
        <v>389366.47</v>
      </c>
      <c r="BG59" s="617"/>
      <c r="BH59" s="621">
        <f>AE59-BG59</f>
        <v>0</v>
      </c>
      <c r="BI59" s="617">
        <v>6240714.6699999999</v>
      </c>
      <c r="BJ59" s="621">
        <f t="shared" si="42"/>
        <v>-6240714.6699999999</v>
      </c>
      <c r="BM59" s="629">
        <f t="shared" si="18"/>
        <v>19778685.696000002</v>
      </c>
      <c r="BN59" s="629">
        <f t="shared" si="11"/>
        <v>15301417.92</v>
      </c>
      <c r="BO59" s="533">
        <f t="shared" si="14"/>
        <v>4477267.7760000024</v>
      </c>
      <c r="BP59" s="533">
        <f>BN59</f>
        <v>15301417.92</v>
      </c>
      <c r="BQ59" s="617">
        <f>10892760.59-2332057.34+500000</f>
        <v>9060703.25</v>
      </c>
      <c r="BR59" s="621">
        <f>AO59-BQ59</f>
        <v>7818582.4460000023</v>
      </c>
      <c r="BS59" s="617">
        <v>6240714.6699999999</v>
      </c>
      <c r="BT59" s="621">
        <f t="shared" si="44"/>
        <v>-3341314.67</v>
      </c>
      <c r="BV59" s="117">
        <f>2595807.22+2416357.34</f>
        <v>5012164.5600000005</v>
      </c>
    </row>
    <row r="60" spans="1:74" ht="19.5" customHeight="1" x14ac:dyDescent="0.3">
      <c r="A60" s="1417" t="s">
        <v>184</v>
      </c>
      <c r="B60" s="547"/>
      <c r="C60" s="444">
        <v>243</v>
      </c>
      <c r="D60" s="431">
        <v>0</v>
      </c>
      <c r="E60" s="64">
        <f>H60+R60+AL60+AK60</f>
        <v>0</v>
      </c>
      <c r="F60" s="411">
        <f t="shared" si="1"/>
        <v>0</v>
      </c>
      <c r="G60" s="285"/>
      <c r="H60" s="158"/>
      <c r="I60" s="669">
        <f t="shared" si="16"/>
        <v>0</v>
      </c>
      <c r="J60" s="881"/>
      <c r="K60" s="285"/>
      <c r="L60" s="158"/>
      <c r="M60" s="298"/>
      <c r="N60" s="297"/>
      <c r="O60" s="285"/>
      <c r="P60" s="367"/>
      <c r="Q60" s="279"/>
      <c r="R60" s="310">
        <f t="shared" si="47"/>
        <v>0</v>
      </c>
      <c r="S60" s="418"/>
      <c r="T60" s="528"/>
      <c r="U60" s="310">
        <v>0</v>
      </c>
      <c r="V60" s="63">
        <v>0</v>
      </c>
      <c r="W60" s="360">
        <f t="shared" si="2"/>
        <v>0</v>
      </c>
      <c r="X60" s="382">
        <v>0</v>
      </c>
      <c r="Y60" s="63">
        <f t="shared" si="39"/>
        <v>0</v>
      </c>
      <c r="Z60" s="360">
        <f>X60-W60</f>
        <v>0</v>
      </c>
      <c r="AA60" s="310"/>
      <c r="AB60" s="63"/>
      <c r="AC60" s="360"/>
      <c r="AD60" s="279"/>
      <c r="AE60" s="63"/>
      <c r="AF60" s="360"/>
      <c r="AG60" s="279"/>
      <c r="AH60" s="63"/>
      <c r="AI60" s="360"/>
      <c r="AJ60" s="425">
        <v>0</v>
      </c>
      <c r="AK60" s="395">
        <v>0</v>
      </c>
      <c r="AL60" s="338">
        <v>0</v>
      </c>
      <c r="AM60" s="347">
        <f t="shared" si="17"/>
        <v>0</v>
      </c>
      <c r="AN60" s="1013">
        <f t="shared" si="5"/>
        <v>0</v>
      </c>
      <c r="AO60" s="338"/>
      <c r="AP60" s="162"/>
      <c r="AQ60" s="1019">
        <f t="shared" si="40"/>
        <v>0</v>
      </c>
      <c r="AR60" s="324"/>
      <c r="AS60" s="162"/>
      <c r="AT60" s="339"/>
      <c r="AU60" s="540">
        <v>0</v>
      </c>
      <c r="AV60" s="324"/>
      <c r="AW60" s="162"/>
      <c r="AX60" s="339"/>
      <c r="BG60" s="617"/>
      <c r="BH60" s="621">
        <f>AF60-BG60</f>
        <v>0</v>
      </c>
      <c r="BI60" s="617"/>
      <c r="BJ60" s="621">
        <f t="shared" si="42"/>
        <v>0</v>
      </c>
      <c r="BM60" s="629">
        <f t="shared" si="18"/>
        <v>0</v>
      </c>
      <c r="BN60" s="629">
        <f t="shared" si="11"/>
        <v>0</v>
      </c>
      <c r="BO60" s="533">
        <f t="shared" si="14"/>
        <v>0</v>
      </c>
      <c r="BP60" s="533"/>
      <c r="BQ60" s="617"/>
      <c r="BR60" s="621">
        <f>AP60-BQ60</f>
        <v>0</v>
      </c>
      <c r="BS60" s="617"/>
      <c r="BT60" s="621">
        <f t="shared" si="44"/>
        <v>0</v>
      </c>
    </row>
    <row r="61" spans="1:74" ht="16.5" customHeight="1" x14ac:dyDescent="0.3">
      <c r="A61" s="1419"/>
      <c r="B61" s="548"/>
      <c r="C61" s="444">
        <v>244</v>
      </c>
      <c r="D61" s="431">
        <v>1034</v>
      </c>
      <c r="E61" s="64">
        <f>H61+R61+AM61+AK61</f>
        <v>1034</v>
      </c>
      <c r="F61" s="411">
        <f t="shared" si="1"/>
        <v>0</v>
      </c>
      <c r="G61" s="285">
        <v>1034</v>
      </c>
      <c r="H61" s="158">
        <f>J61+L61+O61</f>
        <v>1034</v>
      </c>
      <c r="I61" s="669">
        <f t="shared" si="16"/>
        <v>0</v>
      </c>
      <c r="J61" s="881">
        <f>SUM(J62:J66)</f>
        <v>0</v>
      </c>
      <c r="K61" s="285">
        <v>1034</v>
      </c>
      <c r="L61" s="158">
        <f>L108</f>
        <v>1034</v>
      </c>
      <c r="M61" s="298">
        <f>L61-K61</f>
        <v>0</v>
      </c>
      <c r="N61" s="297"/>
      <c r="O61" s="285"/>
      <c r="P61" s="367">
        <f>O61-N61</f>
        <v>0</v>
      </c>
      <c r="Q61" s="279"/>
      <c r="R61" s="310">
        <f t="shared" si="47"/>
        <v>0</v>
      </c>
      <c r="S61" s="418">
        <f>R61-Q61</f>
        <v>0</v>
      </c>
      <c r="T61" s="528"/>
      <c r="U61" s="310"/>
      <c r="V61" s="63"/>
      <c r="W61" s="360">
        <f t="shared" si="2"/>
        <v>0</v>
      </c>
      <c r="X61" s="382"/>
      <c r="Y61" s="63">
        <f t="shared" si="39"/>
        <v>0</v>
      </c>
      <c r="Z61" s="360">
        <f>X61-W61</f>
        <v>0</v>
      </c>
      <c r="AA61" s="310"/>
      <c r="AB61" s="63"/>
      <c r="AC61" s="360">
        <f>AB61-AA61</f>
        <v>0</v>
      </c>
      <c r="AD61" s="279"/>
      <c r="AE61" s="63"/>
      <c r="AF61" s="360"/>
      <c r="AG61" s="279"/>
      <c r="AH61" s="63"/>
      <c r="AI61" s="360"/>
      <c r="AJ61" s="425">
        <f t="shared" ref="AJ61:AU61" si="49">SUM(AJ62:AJ66)</f>
        <v>0</v>
      </c>
      <c r="AK61" s="395">
        <f t="shared" si="49"/>
        <v>0</v>
      </c>
      <c r="AL61" s="338">
        <v>0</v>
      </c>
      <c r="AM61" s="347">
        <f t="shared" si="17"/>
        <v>0</v>
      </c>
      <c r="AN61" s="1013">
        <f t="shared" si="5"/>
        <v>0</v>
      </c>
      <c r="AO61" s="338"/>
      <c r="AP61" s="324"/>
      <c r="AQ61" s="1019"/>
      <c r="AR61" s="324"/>
      <c r="AS61" s="162"/>
      <c r="AT61" s="339">
        <f>AS61-AR61</f>
        <v>0</v>
      </c>
      <c r="AU61" s="540">
        <f t="shared" si="49"/>
        <v>0</v>
      </c>
      <c r="AV61" s="324"/>
      <c r="AW61" s="162"/>
      <c r="AX61" s="339">
        <f>AW61-AV61</f>
        <v>0</v>
      </c>
      <c r="AZ61" s="121" t="s">
        <v>237</v>
      </c>
      <c r="BA61" s="121" t="s">
        <v>197</v>
      </c>
      <c r="BB61" s="121" t="s">
        <v>197</v>
      </c>
      <c r="BC61" s="121"/>
      <c r="BD61" s="121"/>
      <c r="BE61" s="121"/>
      <c r="BF61" s="121"/>
      <c r="BG61" s="617"/>
      <c r="BH61" s="621">
        <f>AF61-BG61</f>
        <v>0</v>
      </c>
      <c r="BI61" s="617">
        <v>25587.66</v>
      </c>
      <c r="BJ61" s="621">
        <f t="shared" si="42"/>
        <v>-25587.66</v>
      </c>
      <c r="BK61" s="121"/>
      <c r="BL61" s="121"/>
      <c r="BM61" s="629">
        <f t="shared" si="18"/>
        <v>0</v>
      </c>
      <c r="BN61" s="629">
        <f t="shared" si="11"/>
        <v>25587.66</v>
      </c>
      <c r="BO61" s="533">
        <f t="shared" si="14"/>
        <v>-25587.66</v>
      </c>
      <c r="BP61" s="533">
        <f>BN61</f>
        <v>25587.66</v>
      </c>
      <c r="BQ61" s="617"/>
      <c r="BR61" s="621">
        <f>AP61-BQ61</f>
        <v>0</v>
      </c>
      <c r="BS61" s="617">
        <v>25587.66</v>
      </c>
      <c r="BT61" s="621">
        <f t="shared" si="44"/>
        <v>-25587.66</v>
      </c>
    </row>
    <row r="62" spans="1:74" x14ac:dyDescent="0.3">
      <c r="A62" s="1420" t="s">
        <v>185</v>
      </c>
      <c r="B62" s="1422"/>
      <c r="C62" s="1054">
        <v>243</v>
      </c>
      <c r="D62" s="431">
        <v>860103.18000000715</v>
      </c>
      <c r="E62" s="64">
        <f>H62+R62+AL62+AK62</f>
        <v>860103.18</v>
      </c>
      <c r="F62" s="411">
        <f t="shared" si="1"/>
        <v>-7.1013346314430237E-9</v>
      </c>
      <c r="G62" s="285"/>
      <c r="H62" s="158"/>
      <c r="I62" s="669">
        <f t="shared" si="16"/>
        <v>0</v>
      </c>
      <c r="J62" s="881"/>
      <c r="K62" s="285"/>
      <c r="L62" s="158"/>
      <c r="M62" s="298"/>
      <c r="N62" s="297"/>
      <c r="O62" s="285"/>
      <c r="P62" s="367"/>
      <c r="Q62" s="279">
        <v>860103.18000000715</v>
      </c>
      <c r="R62" s="310">
        <f t="shared" si="47"/>
        <v>860103.18</v>
      </c>
      <c r="S62" s="418">
        <f>R62-Q62</f>
        <v>-7.1013346314430237E-9</v>
      </c>
      <c r="T62" s="528">
        <f>R104</f>
        <v>860103.18</v>
      </c>
      <c r="U62" s="310"/>
      <c r="V62" s="63"/>
      <c r="W62" s="360">
        <f t="shared" si="2"/>
        <v>0</v>
      </c>
      <c r="X62" s="382"/>
      <c r="Y62" s="63">
        <f t="shared" si="39"/>
        <v>0</v>
      </c>
      <c r="Z62" s="360">
        <f>X62-W62</f>
        <v>0</v>
      </c>
      <c r="AA62" s="310"/>
      <c r="AB62" s="63"/>
      <c r="AC62" s="360"/>
      <c r="AD62" s="279"/>
      <c r="AE62" s="63"/>
      <c r="AF62" s="360"/>
      <c r="AG62" s="279"/>
      <c r="AH62" s="63"/>
      <c r="AI62" s="360"/>
      <c r="AJ62" s="425"/>
      <c r="AK62" s="395"/>
      <c r="AL62" s="334">
        <v>0</v>
      </c>
      <c r="AM62" s="347">
        <f t="shared" si="17"/>
        <v>0</v>
      </c>
      <c r="AN62" s="1013">
        <f t="shared" si="5"/>
        <v>0</v>
      </c>
      <c r="AO62" s="338"/>
      <c r="AP62" s="162"/>
      <c r="AQ62" s="1019">
        <f t="shared" si="40"/>
        <v>0</v>
      </c>
      <c r="AR62" s="324"/>
      <c r="AS62" s="162"/>
      <c r="AT62" s="339"/>
      <c r="AU62" s="540"/>
      <c r="AV62" s="324"/>
      <c r="AW62" s="162"/>
      <c r="AX62" s="339"/>
      <c r="AZ62" s="118"/>
      <c r="BA62" s="146">
        <v>2621361</v>
      </c>
      <c r="BB62" s="611"/>
      <c r="BC62" s="636"/>
      <c r="BD62" s="636"/>
      <c r="BE62" s="636"/>
      <c r="BF62" s="636"/>
      <c r="BG62" s="617"/>
      <c r="BH62" s="621">
        <f>AF62-BG62</f>
        <v>0</v>
      </c>
      <c r="BI62" s="617"/>
      <c r="BJ62" s="621">
        <f>AH62-BI62</f>
        <v>0</v>
      </c>
      <c r="BK62" s="636"/>
      <c r="BL62" s="636"/>
      <c r="BM62" s="629">
        <f t="shared" si="18"/>
        <v>0</v>
      </c>
      <c r="BN62" s="629">
        <f t="shared" si="11"/>
        <v>0</v>
      </c>
      <c r="BO62" s="533">
        <f t="shared" si="14"/>
        <v>0</v>
      </c>
      <c r="BP62" s="533"/>
      <c r="BQ62" s="617"/>
      <c r="BR62" s="621">
        <f>AP62-BQ62</f>
        <v>0</v>
      </c>
      <c r="BS62" s="617"/>
      <c r="BT62" s="621">
        <f>AR62-BS62</f>
        <v>0</v>
      </c>
    </row>
    <row r="63" spans="1:74" x14ac:dyDescent="0.3">
      <c r="A63" s="1421"/>
      <c r="B63" s="1423"/>
      <c r="C63" s="1054">
        <v>244</v>
      </c>
      <c r="D63" s="431">
        <v>229839778.43852258</v>
      </c>
      <c r="E63" s="64">
        <f>H63+R63+AM63+AK63</f>
        <v>230776734.66</v>
      </c>
      <c r="F63" s="411">
        <f t="shared" si="1"/>
        <v>936956.22147741914</v>
      </c>
      <c r="G63" s="285">
        <v>2019992.7</v>
      </c>
      <c r="H63" s="158">
        <f>J63+L63+O63</f>
        <v>2019992.7</v>
      </c>
      <c r="I63" s="669">
        <f t="shared" si="16"/>
        <v>0</v>
      </c>
      <c r="J63" s="881"/>
      <c r="K63" s="285">
        <v>1247751.5445001791</v>
      </c>
      <c r="L63" s="158">
        <f>'расчет норматив'!Z26+'ПФХД 2019 с разбивкой  (3)'!L109</f>
        <v>1247751.5445001791</v>
      </c>
      <c r="M63" s="298">
        <f>L63-K63</f>
        <v>0</v>
      </c>
      <c r="N63" s="367">
        <v>772241.15549982083</v>
      </c>
      <c r="O63" s="158">
        <f>'расчет норматив'!AA26</f>
        <v>772241.15549982083</v>
      </c>
      <c r="P63" s="367">
        <f>O63-N63</f>
        <v>0</v>
      </c>
      <c r="Q63" s="279">
        <v>227074261.3185226</v>
      </c>
      <c r="R63" s="310">
        <f>T63+V63+Y63+AB63+AE63+AH63</f>
        <v>226004857.31</v>
      </c>
      <c r="S63" s="418">
        <f>R63-Q63</f>
        <v>-1069404.0085225999</v>
      </c>
      <c r="T63" s="528">
        <f>88525993.1-1033200-36204</f>
        <v>87456589.099999994</v>
      </c>
      <c r="U63" s="310">
        <v>138442000</v>
      </c>
      <c r="V63" s="63">
        <v>138442000</v>
      </c>
      <c r="W63" s="360">
        <f t="shared" si="2"/>
        <v>0</v>
      </c>
      <c r="X63" s="382">
        <f>'расчет норматив'!AG26+'расчет норматив'!AH26+'расчет норматив'!AI26</f>
        <v>108580.21852258001</v>
      </c>
      <c r="Y63" s="63">
        <f>106268.22-0.01</f>
        <v>106268.21</v>
      </c>
      <c r="Z63" s="360"/>
      <c r="AA63" s="310"/>
      <c r="AB63" s="63"/>
      <c r="AC63" s="360"/>
      <c r="AD63" s="279"/>
      <c r="AE63" s="63"/>
      <c r="AF63" s="360"/>
      <c r="AG63" s="279"/>
      <c r="AH63" s="63"/>
      <c r="AI63" s="360"/>
      <c r="AJ63" s="425"/>
      <c r="AK63" s="395"/>
      <c r="AL63" s="334">
        <v>745524.42</v>
      </c>
      <c r="AM63" s="347">
        <f t="shared" si="17"/>
        <v>2751884.65</v>
      </c>
      <c r="AN63" s="1013">
        <f t="shared" si="5"/>
        <v>2006360.23</v>
      </c>
      <c r="AO63" s="338">
        <v>607649</v>
      </c>
      <c r="AP63" s="162">
        <v>2000000</v>
      </c>
      <c r="AQ63" s="1019">
        <f t="shared" si="40"/>
        <v>1392351</v>
      </c>
      <c r="AR63" s="324">
        <v>137875.42000000001</v>
      </c>
      <c r="AS63" s="162">
        <v>541665.35</v>
      </c>
      <c r="AT63" s="339">
        <f>AS63-AR63</f>
        <v>403789.92999999993</v>
      </c>
      <c r="AU63" s="540"/>
      <c r="AV63" s="324"/>
      <c r="AW63" s="162">
        <v>210219.3</v>
      </c>
      <c r="AX63" s="339">
        <f>AW63-AV63</f>
        <v>210219.3</v>
      </c>
      <c r="AZ63" s="111"/>
      <c r="BA63" s="111">
        <v>487564.3</v>
      </c>
      <c r="BG63" s="617"/>
      <c r="BH63" s="621">
        <f>AE63-BG63</f>
        <v>0</v>
      </c>
      <c r="BI63" s="617">
        <v>2174384</v>
      </c>
      <c r="BJ63" s="621">
        <f t="shared" ref="BJ63:BJ66" si="50">AH63-BI63</f>
        <v>-2174384</v>
      </c>
      <c r="BM63" s="629">
        <f t="shared" si="18"/>
        <v>745524.42</v>
      </c>
      <c r="BN63" s="629">
        <f t="shared" si="11"/>
        <v>3971652.4699999997</v>
      </c>
      <c r="BO63" s="533">
        <f t="shared" si="14"/>
        <v>-3226128.05</v>
      </c>
      <c r="BP63" s="533">
        <f>BM63</f>
        <v>745524.42</v>
      </c>
      <c r="BQ63" s="617">
        <f>1878568.47-81300</f>
        <v>1797268.47</v>
      </c>
      <c r="BR63" s="621">
        <f>AO63-BQ63</f>
        <v>-1189619.47</v>
      </c>
      <c r="BS63" s="617">
        <v>2174384</v>
      </c>
      <c r="BT63" s="621">
        <f t="shared" si="44"/>
        <v>-2036508.58</v>
      </c>
    </row>
    <row r="64" spans="1:74" ht="31.5" x14ac:dyDescent="0.3">
      <c r="A64" s="437" t="s">
        <v>186</v>
      </c>
      <c r="B64" s="1052"/>
      <c r="C64" s="1054">
        <v>244</v>
      </c>
      <c r="D64" s="431">
        <v>0</v>
      </c>
      <c r="E64" s="59">
        <f>H64+R64+AL64+AK64</f>
        <v>0</v>
      </c>
      <c r="F64" s="411">
        <f t="shared" si="1"/>
        <v>0</v>
      </c>
      <c r="G64" s="285"/>
      <c r="H64" s="158"/>
      <c r="I64" s="669">
        <f t="shared" si="16"/>
        <v>0</v>
      </c>
      <c r="J64" s="881"/>
      <c r="K64" s="285"/>
      <c r="L64" s="158"/>
      <c r="M64" s="298"/>
      <c r="N64" s="367"/>
      <c r="O64" s="158"/>
      <c r="P64" s="367"/>
      <c r="Q64" s="279"/>
      <c r="R64" s="310">
        <f t="shared" si="47"/>
        <v>0</v>
      </c>
      <c r="S64" s="418"/>
      <c r="T64" s="528"/>
      <c r="U64" s="310"/>
      <c r="V64" s="63"/>
      <c r="W64" s="360">
        <f t="shared" si="2"/>
        <v>0</v>
      </c>
      <c r="X64" s="382"/>
      <c r="Y64" s="63">
        <f t="shared" si="39"/>
        <v>0</v>
      </c>
      <c r="Z64" s="360">
        <f>X64-W64</f>
        <v>0</v>
      </c>
      <c r="AA64" s="310"/>
      <c r="AB64" s="63"/>
      <c r="AC64" s="360"/>
      <c r="AD64" s="279"/>
      <c r="AE64" s="63"/>
      <c r="AF64" s="360"/>
      <c r="AG64" s="279"/>
      <c r="AH64" s="63"/>
      <c r="AI64" s="360"/>
      <c r="AJ64" s="425"/>
      <c r="AK64" s="395"/>
      <c r="AL64" s="334">
        <v>0</v>
      </c>
      <c r="AM64" s="347">
        <f t="shared" si="17"/>
        <v>0</v>
      </c>
      <c r="AN64" s="1013">
        <f t="shared" si="5"/>
        <v>0</v>
      </c>
      <c r="AO64" s="338"/>
      <c r="AP64" s="162"/>
      <c r="AQ64" s="1019">
        <f t="shared" si="40"/>
        <v>0</v>
      </c>
      <c r="AR64" s="324"/>
      <c r="AS64" s="162"/>
      <c r="AT64" s="339"/>
      <c r="AU64" s="540"/>
      <c r="AV64" s="324"/>
      <c r="AW64" s="162"/>
      <c r="AX64" s="339"/>
      <c r="AZ64" s="121" t="s">
        <v>237</v>
      </c>
      <c r="BA64" s="121" t="s">
        <v>197</v>
      </c>
      <c r="BG64" s="617"/>
      <c r="BH64" s="621">
        <f>AF64-BG64</f>
        <v>0</v>
      </c>
      <c r="BI64" s="617"/>
      <c r="BJ64" s="621">
        <f t="shared" si="50"/>
        <v>0</v>
      </c>
      <c r="BM64" s="629">
        <f t="shared" si="18"/>
        <v>0</v>
      </c>
      <c r="BN64" s="629">
        <f t="shared" si="11"/>
        <v>0</v>
      </c>
      <c r="BO64" s="533">
        <f t="shared" si="14"/>
        <v>0</v>
      </c>
      <c r="BP64" s="533"/>
      <c r="BQ64" s="617"/>
      <c r="BR64" s="621">
        <f>AP64-BQ64</f>
        <v>0</v>
      </c>
      <c r="BS64" s="617"/>
      <c r="BT64" s="621">
        <f t="shared" si="44"/>
        <v>0</v>
      </c>
    </row>
    <row r="65" spans="1:72" x14ac:dyDescent="0.3">
      <c r="A65" s="1420" t="s">
        <v>187</v>
      </c>
      <c r="B65" s="1424"/>
      <c r="C65" s="1054">
        <v>243</v>
      </c>
      <c r="D65" s="431">
        <v>0</v>
      </c>
      <c r="E65" s="59">
        <f>H65+R65+AL65+AK65</f>
        <v>0</v>
      </c>
      <c r="F65" s="411">
        <f t="shared" si="1"/>
        <v>0</v>
      </c>
      <c r="G65" s="285"/>
      <c r="H65" s="158"/>
      <c r="I65" s="669">
        <f t="shared" si="16"/>
        <v>0</v>
      </c>
      <c r="J65" s="881"/>
      <c r="K65" s="285"/>
      <c r="L65" s="158"/>
      <c r="M65" s="298"/>
      <c r="N65" s="367"/>
      <c r="O65" s="158"/>
      <c r="P65" s="367"/>
      <c r="Q65" s="279"/>
      <c r="R65" s="310">
        <f t="shared" si="47"/>
        <v>0</v>
      </c>
      <c r="S65" s="418"/>
      <c r="T65" s="528"/>
      <c r="U65" s="310"/>
      <c r="V65" s="63"/>
      <c r="W65" s="360">
        <f t="shared" si="2"/>
        <v>0</v>
      </c>
      <c r="X65" s="382"/>
      <c r="Y65" s="63">
        <f t="shared" si="39"/>
        <v>0</v>
      </c>
      <c r="Z65" s="360">
        <f>X65-W65</f>
        <v>0</v>
      </c>
      <c r="AA65" s="310"/>
      <c r="AB65" s="63"/>
      <c r="AC65" s="360"/>
      <c r="AD65" s="279"/>
      <c r="AE65" s="63"/>
      <c r="AF65" s="360"/>
      <c r="AG65" s="279"/>
      <c r="AH65" s="63"/>
      <c r="AI65" s="360"/>
      <c r="AJ65" s="425"/>
      <c r="AK65" s="395"/>
      <c r="AL65" s="334">
        <v>0</v>
      </c>
      <c r="AM65" s="347">
        <f t="shared" si="17"/>
        <v>0</v>
      </c>
      <c r="AN65" s="1013">
        <f t="shared" si="5"/>
        <v>0</v>
      </c>
      <c r="AO65" s="338"/>
      <c r="AP65" s="162"/>
      <c r="AQ65" s="1019">
        <f t="shared" si="40"/>
        <v>0</v>
      </c>
      <c r="AR65" s="324"/>
      <c r="AS65" s="162"/>
      <c r="AT65" s="339"/>
      <c r="AU65" s="540"/>
      <c r="AV65" s="324"/>
      <c r="AW65" s="162"/>
      <c r="AX65" s="339"/>
      <c r="AZ65" s="118"/>
      <c r="BA65" s="146">
        <v>-260231.34</v>
      </c>
      <c r="BG65" s="617"/>
      <c r="BH65" s="621">
        <f>AF65-BG65</f>
        <v>0</v>
      </c>
      <c r="BI65" s="617"/>
      <c r="BJ65" s="621">
        <f t="shared" si="50"/>
        <v>0</v>
      </c>
      <c r="BM65" s="629">
        <f t="shared" si="18"/>
        <v>0</v>
      </c>
      <c r="BN65" s="629">
        <f t="shared" si="11"/>
        <v>0</v>
      </c>
      <c r="BO65" s="533">
        <f t="shared" si="14"/>
        <v>0</v>
      </c>
      <c r="BP65" s="533"/>
      <c r="BQ65" s="617"/>
      <c r="BR65" s="621">
        <f>AP65-BQ65</f>
        <v>0</v>
      </c>
      <c r="BS65" s="617"/>
      <c r="BT65" s="621">
        <f t="shared" si="44"/>
        <v>0</v>
      </c>
    </row>
    <row r="66" spans="1:72" x14ac:dyDescent="0.3">
      <c r="A66" s="1421"/>
      <c r="B66" s="1423"/>
      <c r="C66" s="1054">
        <v>244</v>
      </c>
      <c r="D66" s="431">
        <v>154214329.18110299</v>
      </c>
      <c r="E66" s="64">
        <f>H66+R66+AM66+AK66</f>
        <v>150393593.84</v>
      </c>
      <c r="F66" s="411">
        <f t="shared" si="1"/>
        <v>-3820735.3411029875</v>
      </c>
      <c r="G66" s="285">
        <v>22183509.009999998</v>
      </c>
      <c r="H66" s="158">
        <f>J66+L66+O66</f>
        <v>22183509.009999998</v>
      </c>
      <c r="I66" s="669">
        <f t="shared" si="16"/>
        <v>0</v>
      </c>
      <c r="J66" s="881"/>
      <c r="K66" s="285">
        <v>13818675.923932537</v>
      </c>
      <c r="L66" s="158">
        <f>'расчет норматив'!Z27+'ПФХД 2019 с разбивкой  (3)'!L110</f>
        <v>13818675.923932537</v>
      </c>
      <c r="M66" s="298">
        <f>L66-K66</f>
        <v>0</v>
      </c>
      <c r="N66" s="367">
        <v>8364833.0860674623</v>
      </c>
      <c r="O66" s="158">
        <f>'расчет норматив'!AA27</f>
        <v>8364833.0860674623</v>
      </c>
      <c r="P66" s="367">
        <f>O66-N66</f>
        <v>0</v>
      </c>
      <c r="Q66" s="279">
        <v>36307883.637102984</v>
      </c>
      <c r="R66" s="310">
        <f t="shared" si="47"/>
        <v>34763856.480000004</v>
      </c>
      <c r="S66" s="418">
        <f>R66-Q66</f>
        <v>-1544027.1571029797</v>
      </c>
      <c r="T66" s="528">
        <f>7077043.25-1435000-109027.16</f>
        <v>5533016.0899999999</v>
      </c>
      <c r="U66" s="310">
        <v>20000000</v>
      </c>
      <c r="V66" s="63">
        <f>20000000+0.01</f>
        <v>20000000.010000002</v>
      </c>
      <c r="W66" s="360">
        <f t="shared" si="2"/>
        <v>1.0000001639127731E-2</v>
      </c>
      <c r="X66" s="382">
        <f>'расчет норматив'!AG27+'расчет норматив'!AH27+'расчет норматив'!AI27</f>
        <v>7035399.9871029798</v>
      </c>
      <c r="Y66" s="63">
        <f>6369566.26-0.01</f>
        <v>6369566.25</v>
      </c>
      <c r="Z66" s="360"/>
      <c r="AA66" s="310">
        <v>2861274.13</v>
      </c>
      <c r="AB66" s="63">
        <v>2861274.13</v>
      </c>
      <c r="AC66" s="360">
        <f>AB66-AA66</f>
        <v>0</v>
      </c>
      <c r="AD66" s="279"/>
      <c r="AE66" s="63"/>
      <c r="AF66" s="360"/>
      <c r="AG66" s="279"/>
      <c r="AH66" s="63"/>
      <c r="AI66" s="360"/>
      <c r="AJ66" s="425"/>
      <c r="AK66" s="395"/>
      <c r="AL66" s="334">
        <v>95722936.533999994</v>
      </c>
      <c r="AM66" s="347">
        <f t="shared" si="17"/>
        <v>93446228.350000009</v>
      </c>
      <c r="AN66" s="1013">
        <f t="shared" si="5"/>
        <v>-2276708.1839999855</v>
      </c>
      <c r="AO66" s="338">
        <v>72017548.733999997</v>
      </c>
      <c r="AP66" s="162">
        <f>76818434.9-0.03</f>
        <v>76818434.870000005</v>
      </c>
      <c r="AQ66" s="1019">
        <f t="shared" si="40"/>
        <v>4800886.1360000074</v>
      </c>
      <c r="AR66" s="324">
        <f>23705387.8</f>
        <v>23705387.800000001</v>
      </c>
      <c r="AS66" s="162">
        <v>14350719.92</v>
      </c>
      <c r="AT66" s="339">
        <f>AS66-AR66</f>
        <v>-9354667.8800000008</v>
      </c>
      <c r="AU66" s="540"/>
      <c r="AV66" s="324"/>
      <c r="AW66" s="162">
        <v>2277073.56</v>
      </c>
      <c r="AX66" s="339">
        <f>AW66-AV66</f>
        <v>2277073.56</v>
      </c>
      <c r="AZ66" s="111">
        <v>74638998.689999998</v>
      </c>
      <c r="BA66" s="111">
        <v>25190635.949999999</v>
      </c>
      <c r="BG66" s="617"/>
      <c r="BH66" s="621">
        <f>AE66-BG66</f>
        <v>0</v>
      </c>
      <c r="BI66" s="617">
        <v>14782649</v>
      </c>
      <c r="BJ66" s="621">
        <f t="shared" si="50"/>
        <v>-14782649</v>
      </c>
      <c r="BM66" s="629">
        <f t="shared" si="18"/>
        <v>95722936.533999994</v>
      </c>
      <c r="BN66" s="629">
        <f t="shared" si="11"/>
        <v>81371069.319999993</v>
      </c>
      <c r="BO66" s="533">
        <f t="shared" si="14"/>
        <v>14351867.214000002</v>
      </c>
      <c r="BP66" s="533">
        <f>BN66</f>
        <v>81371069.319999993</v>
      </c>
      <c r="BQ66" s="617">
        <f>64959183.81-3000+1195603.28+500000-63366.77</f>
        <v>66588420.32</v>
      </c>
      <c r="BR66" s="621">
        <f>AO66-BQ66</f>
        <v>5429128.4139999971</v>
      </c>
      <c r="BS66" s="617">
        <v>14782649</v>
      </c>
      <c r="BT66" s="621">
        <f t="shared" si="44"/>
        <v>8922738.8000000007</v>
      </c>
    </row>
    <row r="67" spans="1:72" s="115" customFormat="1" ht="21.75" customHeight="1" x14ac:dyDescent="0.3">
      <c r="A67" s="435" t="s">
        <v>188</v>
      </c>
      <c r="B67" s="1053">
        <v>300</v>
      </c>
      <c r="C67" s="436" t="s">
        <v>149</v>
      </c>
      <c r="D67" s="430">
        <v>0</v>
      </c>
      <c r="E67" s="59">
        <f t="shared" ref="E67:E74" si="51">H67+R67+AL67+AK67</f>
        <v>0</v>
      </c>
      <c r="F67" s="411">
        <f t="shared" si="1"/>
        <v>0</v>
      </c>
      <c r="G67" s="283"/>
      <c r="H67" s="157"/>
      <c r="I67" s="669">
        <f t="shared" si="16"/>
        <v>0</v>
      </c>
      <c r="J67" s="882"/>
      <c r="K67" s="283"/>
      <c r="L67" s="157"/>
      <c r="M67" s="294"/>
      <c r="N67" s="521"/>
      <c r="O67" s="157"/>
      <c r="P67" s="365"/>
      <c r="Q67" s="276"/>
      <c r="R67" s="307"/>
      <c r="S67" s="415"/>
      <c r="T67" s="525"/>
      <c r="U67" s="307">
        <v>0</v>
      </c>
      <c r="V67" s="153">
        <v>0</v>
      </c>
      <c r="W67" s="357">
        <f t="shared" si="2"/>
        <v>0</v>
      </c>
      <c r="X67" s="379">
        <v>0</v>
      </c>
      <c r="Y67" s="153">
        <f t="shared" ref="Y67:Y74" si="52">X67-W67</f>
        <v>0</v>
      </c>
      <c r="Z67" s="357">
        <f t="shared" ref="Z67:Z74" si="53">X67-W67</f>
        <v>0</v>
      </c>
      <c r="AA67" s="307"/>
      <c r="AB67" s="153"/>
      <c r="AC67" s="357"/>
      <c r="AD67" s="276"/>
      <c r="AE67" s="153"/>
      <c r="AF67" s="357"/>
      <c r="AG67" s="276"/>
      <c r="AH67" s="153"/>
      <c r="AI67" s="357"/>
      <c r="AJ67" s="422">
        <f>AJ69+AJ70</f>
        <v>0</v>
      </c>
      <c r="AK67" s="396">
        <f>SUM(AK69:AK70)</f>
        <v>0</v>
      </c>
      <c r="AL67" s="334">
        <v>0</v>
      </c>
      <c r="AM67" s="347">
        <f t="shared" si="17"/>
        <v>0</v>
      </c>
      <c r="AN67" s="1013">
        <f t="shared" si="5"/>
        <v>0</v>
      </c>
      <c r="AO67" s="334"/>
      <c r="AP67" s="161"/>
      <c r="AQ67" s="1019">
        <f t="shared" si="40"/>
        <v>0</v>
      </c>
      <c r="AR67" s="323"/>
      <c r="AS67" s="161"/>
      <c r="AT67" s="335"/>
      <c r="AU67" s="539">
        <f>SUM(AU69:AU70)</f>
        <v>0</v>
      </c>
      <c r="AV67" s="323"/>
      <c r="AW67" s="161"/>
      <c r="AX67" s="335"/>
      <c r="BG67" s="617"/>
      <c r="BH67" s="621">
        <f t="shared" ref="BH67:BH74" si="54">AF67-BG67</f>
        <v>0</v>
      </c>
      <c r="BI67" s="617"/>
      <c r="BJ67" s="621">
        <f>AH67-BI67</f>
        <v>0</v>
      </c>
      <c r="BM67" s="628">
        <f t="shared" si="18"/>
        <v>0</v>
      </c>
      <c r="BN67" s="628">
        <f t="shared" si="11"/>
        <v>0</v>
      </c>
      <c r="BO67" s="535">
        <f t="shared" si="14"/>
        <v>0</v>
      </c>
      <c r="BP67" s="533"/>
      <c r="BQ67" s="617"/>
      <c r="BR67" s="621">
        <f t="shared" ref="BR67:BR74" si="55">AP67-BQ67</f>
        <v>0</v>
      </c>
      <c r="BS67" s="617"/>
      <c r="BT67" s="621">
        <f>AR67-BS67</f>
        <v>0</v>
      </c>
    </row>
    <row r="68" spans="1:72" x14ac:dyDescent="0.3">
      <c r="A68" s="437" t="s">
        <v>92</v>
      </c>
      <c r="B68" s="133"/>
      <c r="C68" s="438"/>
      <c r="D68" s="431">
        <v>0</v>
      </c>
      <c r="E68" s="59">
        <f t="shared" si="51"/>
        <v>0</v>
      </c>
      <c r="F68" s="410">
        <f t="shared" si="1"/>
        <v>0</v>
      </c>
      <c r="G68" s="285"/>
      <c r="H68" s="158"/>
      <c r="I68" s="669">
        <f t="shared" si="16"/>
        <v>0</v>
      </c>
      <c r="J68" s="881"/>
      <c r="K68" s="285"/>
      <c r="L68" s="158"/>
      <c r="M68" s="298"/>
      <c r="N68" s="297"/>
      <c r="O68" s="285"/>
      <c r="P68" s="367"/>
      <c r="Q68" s="279"/>
      <c r="R68" s="310"/>
      <c r="S68" s="418"/>
      <c r="T68" s="528"/>
      <c r="U68" s="310"/>
      <c r="V68" s="63"/>
      <c r="W68" s="357">
        <f t="shared" si="2"/>
        <v>0</v>
      </c>
      <c r="X68" s="382"/>
      <c r="Y68" s="153">
        <f t="shared" si="52"/>
        <v>0</v>
      </c>
      <c r="Z68" s="357">
        <f t="shared" si="53"/>
        <v>0</v>
      </c>
      <c r="AA68" s="310"/>
      <c r="AB68" s="63"/>
      <c r="AC68" s="360"/>
      <c r="AD68" s="279"/>
      <c r="AE68" s="63"/>
      <c r="AF68" s="360"/>
      <c r="AG68" s="279"/>
      <c r="AH68" s="63"/>
      <c r="AI68" s="360"/>
      <c r="AJ68" s="425"/>
      <c r="AK68" s="395"/>
      <c r="AL68" s="334">
        <v>0</v>
      </c>
      <c r="AM68" s="347">
        <f t="shared" si="17"/>
        <v>0</v>
      </c>
      <c r="AN68" s="1013">
        <f t="shared" si="5"/>
        <v>0</v>
      </c>
      <c r="AO68" s="338"/>
      <c r="AP68" s="162"/>
      <c r="AQ68" s="1019"/>
      <c r="AR68" s="324"/>
      <c r="AS68" s="162"/>
      <c r="AT68" s="339"/>
      <c r="AU68" s="540"/>
      <c r="AV68" s="324"/>
      <c r="AW68" s="162"/>
      <c r="AX68" s="339"/>
      <c r="BG68" s="617"/>
      <c r="BH68" s="621">
        <f t="shared" si="54"/>
        <v>0</v>
      </c>
      <c r="BI68" s="617"/>
      <c r="BJ68" s="621">
        <f t="shared" ref="BJ68:BJ75" si="56">AH68-BI68</f>
        <v>0</v>
      </c>
      <c r="BM68" s="628">
        <f t="shared" si="18"/>
        <v>0</v>
      </c>
      <c r="BN68" s="628">
        <f t="shared" si="11"/>
        <v>0</v>
      </c>
      <c r="BO68" s="535">
        <f t="shared" si="14"/>
        <v>0</v>
      </c>
      <c r="BP68" s="533"/>
      <c r="BQ68" s="617"/>
      <c r="BR68" s="621">
        <f t="shared" si="55"/>
        <v>0</v>
      </c>
      <c r="BS68" s="617"/>
      <c r="BT68" s="621">
        <f t="shared" si="44"/>
        <v>0</v>
      </c>
    </row>
    <row r="69" spans="1:72" x14ac:dyDescent="0.3">
      <c r="A69" s="437" t="s">
        <v>189</v>
      </c>
      <c r="B69" s="1052">
        <v>310</v>
      </c>
      <c r="C69" s="438"/>
      <c r="D69" s="431">
        <v>0</v>
      </c>
      <c r="E69" s="59">
        <f t="shared" si="51"/>
        <v>0</v>
      </c>
      <c r="F69" s="410">
        <f t="shared" si="1"/>
        <v>0</v>
      </c>
      <c r="G69" s="285"/>
      <c r="H69" s="158"/>
      <c r="I69" s="669">
        <f t="shared" si="16"/>
        <v>0</v>
      </c>
      <c r="J69" s="881"/>
      <c r="K69" s="285"/>
      <c r="L69" s="158"/>
      <c r="M69" s="298"/>
      <c r="N69" s="297"/>
      <c r="O69" s="285"/>
      <c r="P69" s="367"/>
      <c r="Q69" s="279"/>
      <c r="R69" s="310"/>
      <c r="S69" s="418"/>
      <c r="T69" s="528"/>
      <c r="U69" s="310"/>
      <c r="V69" s="63"/>
      <c r="W69" s="357">
        <f t="shared" si="2"/>
        <v>0</v>
      </c>
      <c r="X69" s="382"/>
      <c r="Y69" s="153">
        <f t="shared" si="52"/>
        <v>0</v>
      </c>
      <c r="Z69" s="357">
        <f t="shared" si="53"/>
        <v>0</v>
      </c>
      <c r="AA69" s="310"/>
      <c r="AB69" s="63"/>
      <c r="AC69" s="360"/>
      <c r="AD69" s="279"/>
      <c r="AE69" s="63"/>
      <c r="AF69" s="360"/>
      <c r="AG69" s="279"/>
      <c r="AH69" s="63"/>
      <c r="AI69" s="360"/>
      <c r="AJ69" s="425"/>
      <c r="AK69" s="395"/>
      <c r="AL69" s="334">
        <v>0</v>
      </c>
      <c r="AM69" s="347">
        <f t="shared" si="17"/>
        <v>0</v>
      </c>
      <c r="AN69" s="1013">
        <f t="shared" si="5"/>
        <v>0</v>
      </c>
      <c r="AO69" s="338"/>
      <c r="AP69" s="162"/>
      <c r="AQ69" s="1019"/>
      <c r="AR69" s="324"/>
      <c r="AS69" s="162"/>
      <c r="AT69" s="339"/>
      <c r="AU69" s="540"/>
      <c r="AV69" s="324"/>
      <c r="AW69" s="162"/>
      <c r="AX69" s="339"/>
      <c r="BG69" s="617"/>
      <c r="BH69" s="621">
        <f t="shared" si="54"/>
        <v>0</v>
      </c>
      <c r="BI69" s="617"/>
      <c r="BJ69" s="621">
        <f t="shared" si="56"/>
        <v>0</v>
      </c>
      <c r="BM69" s="628">
        <f t="shared" si="18"/>
        <v>0</v>
      </c>
      <c r="BN69" s="628">
        <f t="shared" si="11"/>
        <v>0</v>
      </c>
      <c r="BO69" s="535">
        <f t="shared" si="14"/>
        <v>0</v>
      </c>
      <c r="BP69" s="533"/>
      <c r="BQ69" s="617"/>
      <c r="BR69" s="621">
        <f t="shared" si="55"/>
        <v>0</v>
      </c>
      <c r="BS69" s="617"/>
      <c r="BT69" s="621">
        <f t="shared" si="44"/>
        <v>0</v>
      </c>
    </row>
    <row r="70" spans="1:72" x14ac:dyDescent="0.3">
      <c r="A70" s="437" t="s">
        <v>190</v>
      </c>
      <c r="B70" s="1052">
        <v>320</v>
      </c>
      <c r="C70" s="438"/>
      <c r="D70" s="431">
        <v>0</v>
      </c>
      <c r="E70" s="59">
        <f t="shared" si="51"/>
        <v>0</v>
      </c>
      <c r="F70" s="410">
        <f t="shared" si="1"/>
        <v>0</v>
      </c>
      <c r="G70" s="285"/>
      <c r="H70" s="158"/>
      <c r="I70" s="669">
        <f t="shared" si="16"/>
        <v>0</v>
      </c>
      <c r="J70" s="881"/>
      <c r="K70" s="285"/>
      <c r="L70" s="158"/>
      <c r="M70" s="298"/>
      <c r="N70" s="297"/>
      <c r="O70" s="285"/>
      <c r="P70" s="367"/>
      <c r="Q70" s="279"/>
      <c r="R70" s="310"/>
      <c r="S70" s="418"/>
      <c r="T70" s="528"/>
      <c r="U70" s="310"/>
      <c r="V70" s="63"/>
      <c r="W70" s="357">
        <f t="shared" si="2"/>
        <v>0</v>
      </c>
      <c r="X70" s="382"/>
      <c r="Y70" s="153">
        <f t="shared" si="52"/>
        <v>0</v>
      </c>
      <c r="Z70" s="357">
        <f t="shared" si="53"/>
        <v>0</v>
      </c>
      <c r="AA70" s="310"/>
      <c r="AB70" s="63"/>
      <c r="AC70" s="360"/>
      <c r="AD70" s="279"/>
      <c r="AE70" s="63"/>
      <c r="AF70" s="360"/>
      <c r="AG70" s="279"/>
      <c r="AH70" s="63"/>
      <c r="AI70" s="360"/>
      <c r="AJ70" s="425"/>
      <c r="AK70" s="395"/>
      <c r="AL70" s="334">
        <v>0</v>
      </c>
      <c r="AM70" s="347">
        <f t="shared" si="17"/>
        <v>0</v>
      </c>
      <c r="AN70" s="1013">
        <f t="shared" si="5"/>
        <v>0</v>
      </c>
      <c r="AO70" s="338"/>
      <c r="AP70" s="162"/>
      <c r="AQ70" s="1019"/>
      <c r="AR70" s="324"/>
      <c r="AS70" s="162"/>
      <c r="AT70" s="339"/>
      <c r="AU70" s="540"/>
      <c r="AV70" s="324"/>
      <c r="AW70" s="162"/>
      <c r="AX70" s="339"/>
      <c r="BG70" s="617"/>
      <c r="BH70" s="621">
        <f t="shared" si="54"/>
        <v>0</v>
      </c>
      <c r="BI70" s="617"/>
      <c r="BJ70" s="621">
        <f t="shared" si="56"/>
        <v>0</v>
      </c>
      <c r="BM70" s="628">
        <f t="shared" si="18"/>
        <v>0</v>
      </c>
      <c r="BN70" s="628">
        <f t="shared" si="11"/>
        <v>0</v>
      </c>
      <c r="BO70" s="535">
        <f t="shared" si="14"/>
        <v>0</v>
      </c>
      <c r="BP70" s="533"/>
      <c r="BQ70" s="617"/>
      <c r="BR70" s="621">
        <f t="shared" si="55"/>
        <v>0</v>
      </c>
      <c r="BS70" s="617"/>
      <c r="BT70" s="621">
        <f t="shared" si="44"/>
        <v>0</v>
      </c>
    </row>
    <row r="71" spans="1:72" s="115" customFormat="1" x14ac:dyDescent="0.3">
      <c r="A71" s="435" t="s">
        <v>191</v>
      </c>
      <c r="B71" s="1053">
        <v>400</v>
      </c>
      <c r="C71" s="442"/>
      <c r="D71" s="430">
        <v>0</v>
      </c>
      <c r="E71" s="59">
        <f t="shared" si="51"/>
        <v>-205614792.37</v>
      </c>
      <c r="F71" s="410">
        <f t="shared" si="1"/>
        <v>-205614792.37</v>
      </c>
      <c r="G71" s="283"/>
      <c r="H71" s="157"/>
      <c r="I71" s="669">
        <f t="shared" si="16"/>
        <v>0</v>
      </c>
      <c r="J71" s="882"/>
      <c r="K71" s="283"/>
      <c r="L71" s="157"/>
      <c r="M71" s="294"/>
      <c r="N71" s="293"/>
      <c r="O71" s="283"/>
      <c r="P71" s="365"/>
      <c r="Q71" s="276"/>
      <c r="R71" s="307">
        <f>R73</f>
        <v>-205614792.37</v>
      </c>
      <c r="S71" s="415"/>
      <c r="T71" s="525"/>
      <c r="U71" s="307"/>
      <c r="V71" s="153">
        <f>V73</f>
        <v>0</v>
      </c>
      <c r="W71" s="357">
        <f t="shared" si="2"/>
        <v>0</v>
      </c>
      <c r="X71" s="379">
        <v>0</v>
      </c>
      <c r="Y71" s="153">
        <f t="shared" si="52"/>
        <v>0</v>
      </c>
      <c r="Z71" s="357">
        <f t="shared" si="53"/>
        <v>0</v>
      </c>
      <c r="AA71" s="307"/>
      <c r="AB71" s="153"/>
      <c r="AC71" s="357"/>
      <c r="AD71" s="276"/>
      <c r="AE71" s="153"/>
      <c r="AF71" s="357"/>
      <c r="AG71" s="276"/>
      <c r="AH71" s="153"/>
      <c r="AI71" s="357"/>
      <c r="AJ71" s="422">
        <f>AJ73+AJ74</f>
        <v>0</v>
      </c>
      <c r="AK71" s="396">
        <v>0</v>
      </c>
      <c r="AL71" s="334">
        <v>0</v>
      </c>
      <c r="AM71" s="347">
        <f t="shared" si="17"/>
        <v>0</v>
      </c>
      <c r="AN71" s="1013">
        <f t="shared" si="5"/>
        <v>0</v>
      </c>
      <c r="AO71" s="334"/>
      <c r="AP71" s="161"/>
      <c r="AQ71" s="406"/>
      <c r="AR71" s="323"/>
      <c r="AS71" s="161"/>
      <c r="AT71" s="335"/>
      <c r="AU71" s="539">
        <f>AU73+AU74</f>
        <v>0</v>
      </c>
      <c r="AV71" s="323"/>
      <c r="AW71" s="161"/>
      <c r="AX71" s="335"/>
      <c r="BG71" s="617"/>
      <c r="BH71" s="621">
        <f t="shared" si="54"/>
        <v>0</v>
      </c>
      <c r="BI71" s="617"/>
      <c r="BJ71" s="621">
        <f t="shared" si="56"/>
        <v>0</v>
      </c>
      <c r="BM71" s="628">
        <f t="shared" si="18"/>
        <v>0</v>
      </c>
      <c r="BN71" s="628">
        <f t="shared" si="11"/>
        <v>0</v>
      </c>
      <c r="BO71" s="535">
        <f t="shared" si="14"/>
        <v>0</v>
      </c>
      <c r="BP71" s="533"/>
      <c r="BQ71" s="617"/>
      <c r="BR71" s="621">
        <f t="shared" si="55"/>
        <v>0</v>
      </c>
      <c r="BS71" s="617"/>
      <c r="BT71" s="621">
        <f t="shared" si="44"/>
        <v>0</v>
      </c>
    </row>
    <row r="72" spans="1:72" x14ac:dyDescent="0.3">
      <c r="A72" s="437" t="s">
        <v>92</v>
      </c>
      <c r="B72" s="133"/>
      <c r="C72" s="438"/>
      <c r="D72" s="431">
        <v>0</v>
      </c>
      <c r="E72" s="59">
        <f t="shared" si="51"/>
        <v>0</v>
      </c>
      <c r="F72" s="410">
        <f t="shared" si="1"/>
        <v>0</v>
      </c>
      <c r="G72" s="285"/>
      <c r="H72" s="158"/>
      <c r="I72" s="669">
        <f t="shared" si="16"/>
        <v>0</v>
      </c>
      <c r="J72" s="881"/>
      <c r="K72" s="285"/>
      <c r="L72" s="158"/>
      <c r="M72" s="298"/>
      <c r="N72" s="297"/>
      <c r="O72" s="285"/>
      <c r="P72" s="367"/>
      <c r="Q72" s="279"/>
      <c r="R72" s="310"/>
      <c r="S72" s="418"/>
      <c r="T72" s="528"/>
      <c r="U72" s="310"/>
      <c r="V72" s="63"/>
      <c r="W72" s="357">
        <f t="shared" si="2"/>
        <v>0</v>
      </c>
      <c r="X72" s="382"/>
      <c r="Y72" s="153">
        <f t="shared" si="52"/>
        <v>0</v>
      </c>
      <c r="Z72" s="357">
        <f t="shared" si="53"/>
        <v>0</v>
      </c>
      <c r="AA72" s="310"/>
      <c r="AB72" s="63"/>
      <c r="AC72" s="360"/>
      <c r="AD72" s="279"/>
      <c r="AE72" s="63"/>
      <c r="AF72" s="360"/>
      <c r="AG72" s="279"/>
      <c r="AH72" s="63"/>
      <c r="AI72" s="360"/>
      <c r="AJ72" s="425"/>
      <c r="AK72" s="395"/>
      <c r="AL72" s="334">
        <v>0</v>
      </c>
      <c r="AM72" s="347">
        <f t="shared" si="17"/>
        <v>0</v>
      </c>
      <c r="AN72" s="1013">
        <f t="shared" si="5"/>
        <v>0</v>
      </c>
      <c r="AO72" s="338"/>
      <c r="AP72" s="162"/>
      <c r="AQ72" s="1019"/>
      <c r="AR72" s="324"/>
      <c r="AS72" s="162"/>
      <c r="AT72" s="339"/>
      <c r="AU72" s="540"/>
      <c r="AV72" s="324"/>
      <c r="AW72" s="162"/>
      <c r="AX72" s="339"/>
      <c r="BG72" s="617"/>
      <c r="BH72" s="621">
        <f t="shared" si="54"/>
        <v>0</v>
      </c>
      <c r="BI72" s="617"/>
      <c r="BJ72" s="621">
        <f t="shared" si="56"/>
        <v>0</v>
      </c>
      <c r="BM72" s="628">
        <f t="shared" si="18"/>
        <v>0</v>
      </c>
      <c r="BN72" s="628">
        <f t="shared" si="11"/>
        <v>0</v>
      </c>
      <c r="BO72" s="535">
        <f t="shared" si="14"/>
        <v>0</v>
      </c>
      <c r="BP72" s="533"/>
      <c r="BQ72" s="617"/>
      <c r="BR72" s="621">
        <f t="shared" si="55"/>
        <v>0</v>
      </c>
      <c r="BS72" s="617"/>
      <c r="BT72" s="621">
        <f t="shared" si="44"/>
        <v>0</v>
      </c>
    </row>
    <row r="73" spans="1:72" x14ac:dyDescent="0.3">
      <c r="A73" s="437" t="s">
        <v>192</v>
      </c>
      <c r="B73" s="1052">
        <v>410</v>
      </c>
      <c r="C73" s="438"/>
      <c r="D73" s="431">
        <v>0</v>
      </c>
      <c r="E73" s="59">
        <f>H73+R73+AL73-AK73</f>
        <v>-205614792.37</v>
      </c>
      <c r="F73" s="410">
        <f t="shared" si="1"/>
        <v>-205614792.37</v>
      </c>
      <c r="G73" s="285"/>
      <c r="H73" s="158"/>
      <c r="I73" s="669">
        <f t="shared" si="16"/>
        <v>0</v>
      </c>
      <c r="J73" s="881"/>
      <c r="K73" s="285"/>
      <c r="L73" s="158"/>
      <c r="M73" s="298"/>
      <c r="N73" s="297"/>
      <c r="O73" s="285"/>
      <c r="P73" s="367"/>
      <c r="Q73" s="279"/>
      <c r="R73" s="1028">
        <v>-205614792.37</v>
      </c>
      <c r="S73" s="418"/>
      <c r="T73" s="528"/>
      <c r="U73" s="310"/>
      <c r="V73" s="63"/>
      <c r="W73" s="357">
        <f t="shared" si="2"/>
        <v>0</v>
      </c>
      <c r="X73" s="382"/>
      <c r="Y73" s="153">
        <f t="shared" si="52"/>
        <v>0</v>
      </c>
      <c r="Z73" s="357">
        <f t="shared" si="53"/>
        <v>0</v>
      </c>
      <c r="AA73" s="310"/>
      <c r="AB73" s="63"/>
      <c r="AC73" s="360"/>
      <c r="AD73" s="279"/>
      <c r="AE73" s="63"/>
      <c r="AF73" s="360"/>
      <c r="AG73" s="279"/>
      <c r="AH73" s="63"/>
      <c r="AI73" s="360"/>
      <c r="AJ73" s="425"/>
      <c r="AK73" s="395"/>
      <c r="AL73" s="334">
        <v>0</v>
      </c>
      <c r="AM73" s="347">
        <f t="shared" si="17"/>
        <v>0</v>
      </c>
      <c r="AN73" s="1013">
        <f t="shared" si="5"/>
        <v>0</v>
      </c>
      <c r="AO73" s="338"/>
      <c r="AP73" s="162"/>
      <c r="AQ73" s="1019"/>
      <c r="AR73" s="324"/>
      <c r="AS73" s="162"/>
      <c r="AT73" s="339"/>
      <c r="AU73" s="540"/>
      <c r="AV73" s="324"/>
      <c r="AW73" s="162"/>
      <c r="AX73" s="339"/>
      <c r="BG73" s="617"/>
      <c r="BH73" s="621">
        <f t="shared" si="54"/>
        <v>0</v>
      </c>
      <c r="BI73" s="617"/>
      <c r="BJ73" s="621">
        <f t="shared" si="56"/>
        <v>0</v>
      </c>
      <c r="BM73" s="628">
        <f t="shared" si="18"/>
        <v>0</v>
      </c>
      <c r="BN73" s="628">
        <f t="shared" si="11"/>
        <v>0</v>
      </c>
      <c r="BO73" s="535">
        <f t="shared" si="14"/>
        <v>0</v>
      </c>
      <c r="BP73" s="533"/>
      <c r="BQ73" s="617"/>
      <c r="BR73" s="621">
        <f t="shared" si="55"/>
        <v>0</v>
      </c>
      <c r="BS73" s="617"/>
      <c r="BT73" s="621">
        <f t="shared" si="44"/>
        <v>0</v>
      </c>
    </row>
    <row r="74" spans="1:72" x14ac:dyDescent="0.3">
      <c r="A74" s="437" t="s">
        <v>193</v>
      </c>
      <c r="B74" s="1052">
        <v>420</v>
      </c>
      <c r="C74" s="438"/>
      <c r="D74" s="431">
        <v>0</v>
      </c>
      <c r="E74" s="59">
        <f t="shared" si="51"/>
        <v>0</v>
      </c>
      <c r="F74" s="410">
        <f t="shared" si="1"/>
        <v>0</v>
      </c>
      <c r="G74" s="285"/>
      <c r="H74" s="158"/>
      <c r="I74" s="669">
        <f t="shared" si="16"/>
        <v>0</v>
      </c>
      <c r="J74" s="881"/>
      <c r="K74" s="285"/>
      <c r="L74" s="158"/>
      <c r="M74" s="298"/>
      <c r="N74" s="297"/>
      <c r="O74" s="285"/>
      <c r="P74" s="367"/>
      <c r="Q74" s="279"/>
      <c r="R74" s="310"/>
      <c r="S74" s="418"/>
      <c r="T74" s="528"/>
      <c r="U74" s="310"/>
      <c r="V74" s="63"/>
      <c r="W74" s="357">
        <f t="shared" si="2"/>
        <v>0</v>
      </c>
      <c r="X74" s="382"/>
      <c r="Y74" s="153">
        <f t="shared" si="52"/>
        <v>0</v>
      </c>
      <c r="Z74" s="357">
        <f t="shared" si="53"/>
        <v>0</v>
      </c>
      <c r="AA74" s="310"/>
      <c r="AB74" s="63"/>
      <c r="AC74" s="360"/>
      <c r="AD74" s="279"/>
      <c r="AE74" s="63"/>
      <c r="AF74" s="360"/>
      <c r="AG74" s="279"/>
      <c r="AH74" s="63"/>
      <c r="AI74" s="360"/>
      <c r="AJ74" s="425"/>
      <c r="AK74" s="395"/>
      <c r="AL74" s="334">
        <v>0</v>
      </c>
      <c r="AM74" s="347">
        <f t="shared" si="7"/>
        <v>0</v>
      </c>
      <c r="AN74" s="1013">
        <f t="shared" si="5"/>
        <v>0</v>
      </c>
      <c r="AO74" s="338"/>
      <c r="AP74" s="162"/>
      <c r="AQ74" s="1019"/>
      <c r="AR74" s="324"/>
      <c r="AS74" s="162"/>
      <c r="AT74" s="339"/>
      <c r="AU74" s="540"/>
      <c r="AV74" s="324"/>
      <c r="AW74" s="162"/>
      <c r="AX74" s="339"/>
      <c r="BG74" s="617"/>
      <c r="BH74" s="621">
        <f t="shared" si="54"/>
        <v>0</v>
      </c>
      <c r="BI74" s="617"/>
      <c r="BJ74" s="621">
        <f t="shared" si="56"/>
        <v>0</v>
      </c>
      <c r="BM74" s="628">
        <f t="shared" si="18"/>
        <v>0</v>
      </c>
      <c r="BN74" s="628">
        <f t="shared" si="11"/>
        <v>0</v>
      </c>
      <c r="BO74" s="535">
        <f t="shared" si="14"/>
        <v>0</v>
      </c>
      <c r="BP74" s="533"/>
      <c r="BQ74" s="617"/>
      <c r="BR74" s="621">
        <f t="shared" si="55"/>
        <v>0</v>
      </c>
      <c r="BS74" s="617"/>
      <c r="BT74" s="621">
        <f t="shared" si="44"/>
        <v>0</v>
      </c>
    </row>
    <row r="75" spans="1:72" s="115" customFormat="1" ht="17.25" customHeight="1" x14ac:dyDescent="0.3">
      <c r="A75" s="435" t="s">
        <v>194</v>
      </c>
      <c r="B75" s="1053">
        <v>500</v>
      </c>
      <c r="C75" s="436" t="s">
        <v>149</v>
      </c>
      <c r="D75" s="430">
        <v>625060898.9475373</v>
      </c>
      <c r="E75" s="59">
        <f>H75+R75+AK75+AM75</f>
        <v>625060898.9397496</v>
      </c>
      <c r="F75" s="410">
        <f t="shared" si="1"/>
        <v>-7.7877044677734375E-3</v>
      </c>
      <c r="G75" s="283">
        <v>21072590.984773755</v>
      </c>
      <c r="H75" s="157">
        <f>H23-H11</f>
        <v>21072590.980986059</v>
      </c>
      <c r="I75" s="669">
        <f t="shared" si="16"/>
        <v>-3.787696361541748E-3</v>
      </c>
      <c r="J75" s="882">
        <f>J23-J11</f>
        <v>16524140.506574497</v>
      </c>
      <c r="K75" s="283">
        <v>4548450.4781993032</v>
      </c>
      <c r="L75" s="157">
        <f>L23-L11</f>
        <v>4548450.4744115621</v>
      </c>
      <c r="M75" s="298">
        <f>L75-K75</f>
        <v>-3.7877410650253296E-3</v>
      </c>
      <c r="N75" s="157">
        <f>N23-N11</f>
        <v>0</v>
      </c>
      <c r="O75" s="157">
        <f>O23-O11</f>
        <v>0</v>
      </c>
      <c r="P75" s="365"/>
      <c r="Q75" s="1025">
        <v>593808468.51999998</v>
      </c>
      <c r="R75" s="1026">
        <v>593808468.51999998</v>
      </c>
      <c r="S75" s="415">
        <f>R75-Q75</f>
        <v>0</v>
      </c>
      <c r="T75" s="525">
        <v>593808468.51999998</v>
      </c>
      <c r="U75" s="307">
        <v>0</v>
      </c>
      <c r="V75" s="63">
        <f>V11-V23</f>
        <v>0</v>
      </c>
      <c r="W75" s="357">
        <f t="shared" si="2"/>
        <v>0</v>
      </c>
      <c r="X75" s="307">
        <f>'расчет норматив'!AH6+'расчет норматив'!AI6</f>
        <v>5188510.33</v>
      </c>
      <c r="Y75" s="63"/>
      <c r="Z75" s="357"/>
      <c r="AA75" s="63">
        <f>AA23-AA11</f>
        <v>0</v>
      </c>
      <c r="AB75" s="63">
        <f>AB23-AB11</f>
        <v>0</v>
      </c>
      <c r="AC75" s="63">
        <f>AC23-AC11</f>
        <v>0</v>
      </c>
      <c r="AD75" s="276">
        <v>0</v>
      </c>
      <c r="AE75" s="63">
        <f>AE23-AE11</f>
        <v>0</v>
      </c>
      <c r="AF75" s="357"/>
      <c r="AG75" s="307">
        <f>'расчет норматив'!AQ6+'расчет норматив'!AR6</f>
        <v>0</v>
      </c>
      <c r="AH75" s="63">
        <f>'расчет норматив'!AQ6</f>
        <v>0</v>
      </c>
      <c r="AI75" s="357">
        <f>'расчет норматив'!AR6</f>
        <v>0</v>
      </c>
      <c r="AJ75" s="422">
        <v>0</v>
      </c>
      <c r="AK75" s="395"/>
      <c r="AL75" s="334">
        <v>10179839.442763567</v>
      </c>
      <c r="AM75" s="161">
        <f t="shared" ref="AM75:AN75" si="57">AM23-AM11</f>
        <v>10179839.438763499</v>
      </c>
      <c r="AN75" s="1013">
        <f t="shared" si="57"/>
        <v>-4.0000677108764648E-3</v>
      </c>
      <c r="AO75" s="334">
        <v>9808185.4527635574</v>
      </c>
      <c r="AP75" s="323">
        <f>AP23-AP11</f>
        <v>9808185.4487634897</v>
      </c>
      <c r="AQ75" s="406">
        <f>AQ23-AQ11</f>
        <v>-4.0000677108764648E-3</v>
      </c>
      <c r="AR75" s="323">
        <f>AR23-AR11</f>
        <v>371653.98999999464</v>
      </c>
      <c r="AS75" s="323">
        <f>AS23-AS11</f>
        <v>371653.99000000209</v>
      </c>
      <c r="AT75" s="406">
        <f t="shared" ref="AT75" si="58">AT23-AT11</f>
        <v>0</v>
      </c>
      <c r="AU75" s="539">
        <v>0</v>
      </c>
      <c r="AV75" s="323"/>
      <c r="AW75" s="323">
        <f t="shared" ref="AW75:AX75" si="59">AW23-AW11</f>
        <v>0</v>
      </c>
      <c r="AX75" s="406">
        <f t="shared" si="59"/>
        <v>0</v>
      </c>
      <c r="BG75" s="619"/>
      <c r="BH75" s="620"/>
      <c r="BI75" s="617">
        <v>1222485.57</v>
      </c>
      <c r="BJ75" s="621">
        <f t="shared" si="56"/>
        <v>-1222485.57</v>
      </c>
      <c r="BM75" s="632">
        <f>BM23-BM11</f>
        <v>10179839.442763567</v>
      </c>
      <c r="BN75" s="632">
        <f>BN23-BN11</f>
        <v>-12791385.120000064</v>
      </c>
      <c r="BO75" s="632"/>
      <c r="BP75" s="632">
        <f t="shared" ref="BP75" si="60">BP23-BP11</f>
        <v>-7266364.0435999632</v>
      </c>
      <c r="BQ75" s="619"/>
      <c r="BR75" s="620"/>
      <c r="BS75" s="617">
        <v>1222485.57</v>
      </c>
      <c r="BT75" s="621">
        <f t="shared" si="44"/>
        <v>-850831.58000000543</v>
      </c>
    </row>
    <row r="76" spans="1:72" s="115" customFormat="1" ht="19.5" thickBot="1" x14ac:dyDescent="0.35">
      <c r="A76" s="446" t="s">
        <v>195</v>
      </c>
      <c r="B76" s="447">
        <v>600</v>
      </c>
      <c r="C76" s="448" t="s">
        <v>149</v>
      </c>
      <c r="D76" s="433">
        <f>D11-D23+D75</f>
        <v>203001361.20999992</v>
      </c>
      <c r="E76" s="1056">
        <f>E75+E11-E23+E71</f>
        <v>0</v>
      </c>
      <c r="F76" s="413">
        <f t="shared" ref="F76" si="61">E76-D76</f>
        <v>-203001361.20999992</v>
      </c>
      <c r="G76" s="407">
        <f>G11+G75-G23</f>
        <v>0</v>
      </c>
      <c r="H76" s="304">
        <f>H11+H75-H23</f>
        <v>0</v>
      </c>
      <c r="I76" s="670">
        <f t="shared" ref="I76:AE76" si="62">I11+I75-I23</f>
        <v>0</v>
      </c>
      <c r="J76" s="1031">
        <f t="shared" si="62"/>
        <v>0</v>
      </c>
      <c r="K76" s="407">
        <f t="shared" si="62"/>
        <v>0</v>
      </c>
      <c r="L76" s="304">
        <f t="shared" si="62"/>
        <v>0</v>
      </c>
      <c r="M76" s="304">
        <f t="shared" si="62"/>
        <v>0</v>
      </c>
      <c r="N76" s="303">
        <f t="shared" si="62"/>
        <v>0</v>
      </c>
      <c r="O76" s="304">
        <f t="shared" si="62"/>
        <v>0</v>
      </c>
      <c r="P76" s="370"/>
      <c r="Q76" s="1027">
        <f>Q11+Q75-Q23</f>
        <v>203001361.2099998</v>
      </c>
      <c r="R76" s="1027">
        <f>R75+R11-R23+R71</f>
        <v>0</v>
      </c>
      <c r="S76" s="420">
        <f t="shared" si="62"/>
        <v>2613431.1600000858</v>
      </c>
      <c r="T76" s="530">
        <f>T11+T75-T23+T71</f>
        <v>205614792.37</v>
      </c>
      <c r="U76" s="388">
        <f t="shared" si="62"/>
        <v>0</v>
      </c>
      <c r="V76" s="388">
        <f t="shared" si="62"/>
        <v>0</v>
      </c>
      <c r="W76" s="362">
        <f t="shared" ref="W76" si="63">V76-U76</f>
        <v>0</v>
      </c>
      <c r="X76" s="376">
        <f t="shared" si="62"/>
        <v>0</v>
      </c>
      <c r="Y76" s="388">
        <f t="shared" si="62"/>
        <v>0</v>
      </c>
      <c r="Z76" s="362">
        <f t="shared" si="62"/>
        <v>0</v>
      </c>
      <c r="AA76" s="388">
        <f t="shared" si="62"/>
        <v>0</v>
      </c>
      <c r="AB76" s="388">
        <f t="shared" si="62"/>
        <v>0</v>
      </c>
      <c r="AC76" s="388">
        <f t="shared" si="62"/>
        <v>0</v>
      </c>
      <c r="AD76" s="281">
        <v>0</v>
      </c>
      <c r="AE76" s="388">
        <f t="shared" si="62"/>
        <v>0</v>
      </c>
      <c r="AF76" s="362">
        <f t="shared" ref="AF76" si="64">AE76-AD76</f>
        <v>0</v>
      </c>
      <c r="AG76" s="281"/>
      <c r="AH76" s="388"/>
      <c r="AI76" s="362"/>
      <c r="AJ76" s="428">
        <f t="shared" ref="AJ76:AU76" si="65">AJ11+AJ75-AJ23</f>
        <v>0</v>
      </c>
      <c r="AK76" s="399">
        <f t="shared" si="65"/>
        <v>0</v>
      </c>
      <c r="AL76" s="344">
        <v>0</v>
      </c>
      <c r="AM76" s="345">
        <f>AM11+AM75-AM23</f>
        <v>0</v>
      </c>
      <c r="AN76" s="1014">
        <f t="shared" ref="AN76:AS76" si="66">AN11+AN75-AN23</f>
        <v>0</v>
      </c>
      <c r="AO76" s="344">
        <v>0</v>
      </c>
      <c r="AP76" s="345">
        <f t="shared" si="66"/>
        <v>0</v>
      </c>
      <c r="AQ76" s="346">
        <f t="shared" si="66"/>
        <v>0</v>
      </c>
      <c r="AR76" s="390">
        <v>0</v>
      </c>
      <c r="AS76" s="345">
        <f t="shared" si="66"/>
        <v>0</v>
      </c>
      <c r="AT76" s="346"/>
      <c r="AU76" s="545">
        <f t="shared" si="65"/>
        <v>0</v>
      </c>
      <c r="AV76" s="390">
        <v>0</v>
      </c>
      <c r="AW76" s="345">
        <f t="shared" ref="AW76" si="67">AW11+AW75-AW23</f>
        <v>0</v>
      </c>
      <c r="AX76" s="346"/>
      <c r="BG76" s="623">
        <f>BG23</f>
        <v>0</v>
      </c>
      <c r="BH76" s="624">
        <f>SUM(BH26:BH74)</f>
        <v>15071900</v>
      </c>
      <c r="BI76" s="623">
        <f>BI23</f>
        <v>69438047.340000004</v>
      </c>
      <c r="BJ76" s="624">
        <f>SUM(BJ26:BJ74)</f>
        <v>-77779061.369999975</v>
      </c>
      <c r="BM76" s="628">
        <f t="shared" si="18"/>
        <v>0</v>
      </c>
      <c r="BN76" s="628"/>
      <c r="BO76" s="604"/>
      <c r="BP76" s="531"/>
      <c r="BQ76" s="623">
        <f>BQ23</f>
        <v>262223617.94999999</v>
      </c>
      <c r="BR76" s="624">
        <f>SUM(BR26:BR74)</f>
        <v>103077143.47892708</v>
      </c>
      <c r="BS76" s="623">
        <f>BS23</f>
        <v>69438047.340000004</v>
      </c>
      <c r="BT76" s="624">
        <f>SUM(BT26:BT74)</f>
        <v>23912198.940000005</v>
      </c>
    </row>
    <row r="77" spans="1:72" s="115" customFormat="1" ht="19.5" hidden="1" customHeight="1" thickBot="1" x14ac:dyDescent="0.35">
      <c r="A77" s="463"/>
      <c r="B77" s="464"/>
      <c r="C77" s="465"/>
      <c r="D77" s="466"/>
      <c r="E77" s="466"/>
      <c r="F77" s="466"/>
      <c r="G77" s="466"/>
      <c r="H77" s="466"/>
      <c r="I77" s="471"/>
      <c r="J77" s="466"/>
      <c r="K77" s="466"/>
      <c r="L77" s="466"/>
      <c r="M77" s="466"/>
      <c r="N77" s="466"/>
      <c r="O77" s="466"/>
      <c r="P77" s="466"/>
      <c r="Q77" s="466"/>
      <c r="R77" s="466"/>
      <c r="S77" s="466"/>
      <c r="T77" s="466"/>
      <c r="U77" s="466"/>
      <c r="V77" s="466"/>
      <c r="W77" s="466"/>
      <c r="X77" s="466"/>
      <c r="Y77" s="466"/>
      <c r="Z77" s="466"/>
      <c r="AA77" s="466"/>
      <c r="AB77" s="466"/>
      <c r="AC77" s="466"/>
      <c r="AD77" s="466"/>
      <c r="AE77" s="466"/>
      <c r="AF77" s="466"/>
      <c r="AG77" s="466"/>
      <c r="AH77" s="466"/>
      <c r="AI77" s="466"/>
      <c r="AJ77" s="466"/>
      <c r="AK77" s="466"/>
      <c r="AL77" s="466"/>
      <c r="AM77" s="466"/>
      <c r="AN77" s="466"/>
      <c r="AO77" s="466"/>
      <c r="AP77" s="466"/>
      <c r="AQ77" s="466"/>
      <c r="AR77" s="466"/>
      <c r="AS77" s="466"/>
      <c r="AT77" s="466"/>
      <c r="AU77" s="466"/>
      <c r="AV77" s="466"/>
      <c r="AW77" s="466"/>
      <c r="AX77" s="466"/>
      <c r="BM77" s="604"/>
      <c r="BN77" s="604"/>
      <c r="BO77" s="604"/>
      <c r="BP77" s="531"/>
      <c r="BQ77" s="607"/>
    </row>
    <row r="78" spans="1:72" s="115" customFormat="1" hidden="1" x14ac:dyDescent="0.3">
      <c r="A78" s="463"/>
      <c r="B78" s="464"/>
      <c r="C78" s="465"/>
      <c r="D78" s="157">
        <f>D23-D11</f>
        <v>422059537.73753738</v>
      </c>
      <c r="E78" s="157">
        <f t="shared" ref="E78:AU78" si="68">E23-E11</f>
        <v>419446106.56974959</v>
      </c>
      <c r="F78" s="157">
        <f t="shared" si="68"/>
        <v>-2613431.1677877903</v>
      </c>
      <c r="G78" s="157">
        <f t="shared" si="68"/>
        <v>21072590.984773755</v>
      </c>
      <c r="H78" s="157">
        <f t="shared" si="68"/>
        <v>21072590.980986059</v>
      </c>
      <c r="I78" s="157">
        <f t="shared" si="68"/>
        <v>-3.787696361541748E-3</v>
      </c>
      <c r="J78" s="157">
        <f t="shared" si="68"/>
        <v>16524140.506574497</v>
      </c>
      <c r="K78" s="157">
        <f t="shared" si="68"/>
        <v>4548450.4781993032</v>
      </c>
      <c r="L78" s="157">
        <f t="shared" si="68"/>
        <v>4548450.4744115621</v>
      </c>
      <c r="M78" s="157">
        <f t="shared" si="68"/>
        <v>-3.7877410650253296E-3</v>
      </c>
      <c r="N78" s="157">
        <f t="shared" si="68"/>
        <v>0</v>
      </c>
      <c r="O78" s="157">
        <f t="shared" si="68"/>
        <v>0</v>
      </c>
      <c r="P78" s="157">
        <f t="shared" si="68"/>
        <v>0</v>
      </c>
      <c r="Q78" s="157">
        <f t="shared" si="68"/>
        <v>390807107.31000018</v>
      </c>
      <c r="R78" s="157">
        <f t="shared" si="68"/>
        <v>388193676.1500001</v>
      </c>
      <c r="S78" s="157">
        <f t="shared" si="68"/>
        <v>-2613431.1600000858</v>
      </c>
      <c r="T78" s="157">
        <f t="shared" si="68"/>
        <v>388193676.14999998</v>
      </c>
      <c r="U78" s="157">
        <f t="shared" si="68"/>
        <v>0</v>
      </c>
      <c r="V78" s="157">
        <f t="shared" si="68"/>
        <v>0</v>
      </c>
      <c r="W78" s="157">
        <f t="shared" si="68"/>
        <v>0</v>
      </c>
      <c r="X78" s="157">
        <f t="shared" si="68"/>
        <v>5188510.3299999982</v>
      </c>
      <c r="Y78" s="157">
        <f t="shared" si="68"/>
        <v>0</v>
      </c>
      <c r="Z78" s="157">
        <f t="shared" si="68"/>
        <v>0</v>
      </c>
      <c r="AA78" s="157">
        <f t="shared" si="68"/>
        <v>0</v>
      </c>
      <c r="AB78" s="157">
        <f t="shared" si="68"/>
        <v>0</v>
      </c>
      <c r="AC78" s="157">
        <f t="shared" si="68"/>
        <v>0</v>
      </c>
      <c r="AD78" s="157"/>
      <c r="AE78" s="157"/>
      <c r="AF78" s="157"/>
      <c r="AG78" s="157"/>
      <c r="AH78" s="157"/>
      <c r="AI78" s="157"/>
      <c r="AJ78" s="157">
        <f t="shared" si="68"/>
        <v>0</v>
      </c>
      <c r="AK78" s="157">
        <f t="shared" si="68"/>
        <v>0</v>
      </c>
      <c r="AL78" s="157">
        <f t="shared" si="68"/>
        <v>10179839.442763567</v>
      </c>
      <c r="AM78" s="157">
        <f t="shared" si="68"/>
        <v>10179839.438763499</v>
      </c>
      <c r="AN78" s="157">
        <f t="shared" si="68"/>
        <v>-4.0000677108764648E-3</v>
      </c>
      <c r="AO78" s="157">
        <f t="shared" si="68"/>
        <v>9808185.4527635574</v>
      </c>
      <c r="AP78" s="157">
        <f t="shared" si="68"/>
        <v>9808185.4487634897</v>
      </c>
      <c r="AQ78" s="157">
        <f t="shared" si="68"/>
        <v>-4.0000677108764648E-3</v>
      </c>
      <c r="AR78" s="157">
        <f t="shared" si="68"/>
        <v>371653.98999999464</v>
      </c>
      <c r="AS78" s="157">
        <f t="shared" si="68"/>
        <v>371653.99000000209</v>
      </c>
      <c r="AT78" s="157">
        <f t="shared" si="68"/>
        <v>0</v>
      </c>
      <c r="AU78" s="157">
        <f t="shared" si="68"/>
        <v>0</v>
      </c>
      <c r="AV78" s="467"/>
      <c r="AW78" s="467"/>
      <c r="AX78" s="467"/>
      <c r="BM78" s="604"/>
      <c r="BN78" s="604"/>
      <c r="BO78" s="604"/>
      <c r="BP78" s="531"/>
      <c r="BQ78" s="607"/>
    </row>
    <row r="79" spans="1:72" s="115" customFormat="1" hidden="1" x14ac:dyDescent="0.3">
      <c r="A79" s="463"/>
      <c r="B79" s="464"/>
      <c r="C79" s="465"/>
      <c r="D79" s="466">
        <f>D78+D76</f>
        <v>625060898.9475373</v>
      </c>
      <c r="E79" s="466">
        <f t="shared" ref="E79:AU79" si="69">E78+E76</f>
        <v>419446106.56974959</v>
      </c>
      <c r="F79" s="466">
        <f t="shared" si="69"/>
        <v>-205614792.37778771</v>
      </c>
      <c r="G79" s="466">
        <f t="shared" si="69"/>
        <v>21072590.984773755</v>
      </c>
      <c r="H79" s="466">
        <f t="shared" si="69"/>
        <v>21072590.980986059</v>
      </c>
      <c r="I79" s="466">
        <f t="shared" si="69"/>
        <v>-3.787696361541748E-3</v>
      </c>
      <c r="J79" s="466">
        <f t="shared" si="69"/>
        <v>16524140.506574497</v>
      </c>
      <c r="K79" s="466">
        <f t="shared" si="69"/>
        <v>4548450.4781993032</v>
      </c>
      <c r="L79" s="466">
        <f t="shared" si="69"/>
        <v>4548450.4744115621</v>
      </c>
      <c r="M79" s="466">
        <f t="shared" si="69"/>
        <v>-3.7877410650253296E-3</v>
      </c>
      <c r="N79" s="466">
        <f t="shared" si="69"/>
        <v>0</v>
      </c>
      <c r="O79" s="466">
        <f t="shared" si="69"/>
        <v>0</v>
      </c>
      <c r="P79" s="466">
        <f t="shared" si="69"/>
        <v>0</v>
      </c>
      <c r="Q79" s="466">
        <f t="shared" si="69"/>
        <v>593808468.51999998</v>
      </c>
      <c r="R79" s="466">
        <f t="shared" si="69"/>
        <v>388193676.1500001</v>
      </c>
      <c r="S79" s="466">
        <f t="shared" si="69"/>
        <v>0</v>
      </c>
      <c r="T79" s="466">
        <f t="shared" si="69"/>
        <v>593808468.51999998</v>
      </c>
      <c r="U79" s="466">
        <f t="shared" si="69"/>
        <v>0</v>
      </c>
      <c r="V79" s="466">
        <f t="shared" si="69"/>
        <v>0</v>
      </c>
      <c r="W79" s="466">
        <f t="shared" si="69"/>
        <v>0</v>
      </c>
      <c r="X79" s="466">
        <f t="shared" si="69"/>
        <v>5188510.3299999982</v>
      </c>
      <c r="Y79" s="466">
        <f t="shared" si="69"/>
        <v>0</v>
      </c>
      <c r="Z79" s="466">
        <f t="shared" si="69"/>
        <v>0</v>
      </c>
      <c r="AA79" s="466">
        <f t="shared" si="69"/>
        <v>0</v>
      </c>
      <c r="AB79" s="466">
        <f t="shared" si="69"/>
        <v>0</v>
      </c>
      <c r="AC79" s="466">
        <f t="shared" si="69"/>
        <v>0</v>
      </c>
      <c r="AD79" s="466"/>
      <c r="AE79" s="466"/>
      <c r="AF79" s="466"/>
      <c r="AG79" s="466"/>
      <c r="AH79" s="466"/>
      <c r="AI79" s="466"/>
      <c r="AJ79" s="466">
        <f t="shared" si="69"/>
        <v>0</v>
      </c>
      <c r="AK79" s="466">
        <f t="shared" si="69"/>
        <v>0</v>
      </c>
      <c r="AL79" s="466">
        <f t="shared" si="69"/>
        <v>10179839.442763567</v>
      </c>
      <c r="AM79" s="466">
        <f t="shared" si="69"/>
        <v>10179839.438763499</v>
      </c>
      <c r="AN79" s="466">
        <f t="shared" si="69"/>
        <v>-4.0000677108764648E-3</v>
      </c>
      <c r="AO79" s="466">
        <f t="shared" si="69"/>
        <v>9808185.4527635574</v>
      </c>
      <c r="AP79" s="466">
        <f t="shared" si="69"/>
        <v>9808185.4487634897</v>
      </c>
      <c r="AQ79" s="466">
        <f t="shared" si="69"/>
        <v>-4.0000677108764648E-3</v>
      </c>
      <c r="AR79" s="466">
        <f t="shared" si="69"/>
        <v>371653.98999999464</v>
      </c>
      <c r="AS79" s="466">
        <f t="shared" si="69"/>
        <v>371653.99000000209</v>
      </c>
      <c r="AT79" s="466">
        <f t="shared" si="69"/>
        <v>0</v>
      </c>
      <c r="AU79" s="466">
        <f t="shared" si="69"/>
        <v>0</v>
      </c>
      <c r="AV79" s="466"/>
      <c r="AW79" s="466"/>
      <c r="AX79" s="466"/>
      <c r="BM79" s="604"/>
      <c r="BN79" s="604"/>
      <c r="BO79" s="604"/>
      <c r="BP79" s="531"/>
      <c r="BQ79" s="607"/>
    </row>
    <row r="80" spans="1:72" s="115" customFormat="1" hidden="1" x14ac:dyDescent="0.3">
      <c r="A80" s="463"/>
      <c r="B80" s="464"/>
      <c r="C80" s="465"/>
      <c r="D80" s="466" t="b">
        <f>D75=D79</f>
        <v>1</v>
      </c>
      <c r="E80" s="466" t="b">
        <f t="shared" ref="E80:AU80" si="70">E75=E79</f>
        <v>0</v>
      </c>
      <c r="F80" s="466" t="b">
        <f t="shared" si="70"/>
        <v>0</v>
      </c>
      <c r="G80" s="466" t="b">
        <f t="shared" si="70"/>
        <v>1</v>
      </c>
      <c r="H80" s="466" t="b">
        <f t="shared" si="70"/>
        <v>1</v>
      </c>
      <c r="I80" s="466" t="b">
        <f t="shared" si="70"/>
        <v>1</v>
      </c>
      <c r="J80" s="466" t="b">
        <f t="shared" si="70"/>
        <v>1</v>
      </c>
      <c r="K80" s="466" t="b">
        <f t="shared" si="70"/>
        <v>1</v>
      </c>
      <c r="L80" s="466" t="b">
        <f t="shared" si="70"/>
        <v>1</v>
      </c>
      <c r="M80" s="466" t="b">
        <f t="shared" si="70"/>
        <v>1</v>
      </c>
      <c r="N80" s="466" t="b">
        <f t="shared" si="70"/>
        <v>1</v>
      </c>
      <c r="O80" s="466" t="b">
        <f t="shared" si="70"/>
        <v>1</v>
      </c>
      <c r="P80" s="466" t="b">
        <f t="shared" si="70"/>
        <v>1</v>
      </c>
      <c r="Q80" s="466" t="b">
        <f t="shared" si="70"/>
        <v>1</v>
      </c>
      <c r="R80" s="466" t="b">
        <f t="shared" si="70"/>
        <v>0</v>
      </c>
      <c r="S80" s="466" t="b">
        <f t="shared" si="70"/>
        <v>1</v>
      </c>
      <c r="T80" s="466" t="b">
        <f t="shared" si="70"/>
        <v>1</v>
      </c>
      <c r="U80" s="466" t="b">
        <f t="shared" si="70"/>
        <v>1</v>
      </c>
      <c r="V80" s="466" t="b">
        <f t="shared" si="70"/>
        <v>1</v>
      </c>
      <c r="W80" s="466" t="b">
        <f t="shared" si="70"/>
        <v>1</v>
      </c>
      <c r="X80" s="466" t="b">
        <f t="shared" si="70"/>
        <v>1</v>
      </c>
      <c r="Y80" s="466" t="b">
        <f t="shared" si="70"/>
        <v>1</v>
      </c>
      <c r="Z80" s="466" t="b">
        <f t="shared" si="70"/>
        <v>1</v>
      </c>
      <c r="AA80" s="466" t="b">
        <f t="shared" si="70"/>
        <v>1</v>
      </c>
      <c r="AB80" s="466" t="b">
        <f t="shared" si="70"/>
        <v>1</v>
      </c>
      <c r="AC80" s="466" t="b">
        <f t="shared" si="70"/>
        <v>1</v>
      </c>
      <c r="AD80" s="466"/>
      <c r="AE80" s="466"/>
      <c r="AF80" s="466"/>
      <c r="AG80" s="466"/>
      <c r="AH80" s="466"/>
      <c r="AI80" s="466"/>
      <c r="AJ80" s="466" t="b">
        <f t="shared" si="70"/>
        <v>1</v>
      </c>
      <c r="AK80" s="466" t="b">
        <f t="shared" si="70"/>
        <v>1</v>
      </c>
      <c r="AL80" s="466" t="b">
        <f t="shared" si="70"/>
        <v>1</v>
      </c>
      <c r="AM80" s="466" t="b">
        <f t="shared" si="70"/>
        <v>1</v>
      </c>
      <c r="AN80" s="466" t="b">
        <f t="shared" si="70"/>
        <v>1</v>
      </c>
      <c r="AO80" s="466" t="b">
        <f t="shared" si="70"/>
        <v>1</v>
      </c>
      <c r="AP80" s="466" t="b">
        <f t="shared" si="70"/>
        <v>1</v>
      </c>
      <c r="AQ80" s="466" t="b">
        <f t="shared" si="70"/>
        <v>1</v>
      </c>
      <c r="AR80" s="466" t="b">
        <f t="shared" si="70"/>
        <v>1</v>
      </c>
      <c r="AS80" s="466" t="b">
        <f t="shared" si="70"/>
        <v>1</v>
      </c>
      <c r="AT80" s="466" t="b">
        <f t="shared" si="70"/>
        <v>1</v>
      </c>
      <c r="AU80" s="466" t="b">
        <f t="shared" si="70"/>
        <v>1</v>
      </c>
      <c r="AV80" s="466"/>
      <c r="AW80" s="466"/>
      <c r="AX80" s="466"/>
      <c r="BM80" s="604"/>
      <c r="BN80" s="604"/>
      <c r="BO80" s="604"/>
      <c r="BP80" s="531"/>
      <c r="BQ80" s="607"/>
    </row>
    <row r="81" spans="1:69" s="115" customFormat="1" hidden="1" x14ac:dyDescent="0.3">
      <c r="A81" s="463"/>
      <c r="B81" s="464"/>
      <c r="C81" s="465"/>
      <c r="D81" s="466"/>
      <c r="E81" s="466">
        <f>E23-E11</f>
        <v>419446106.56974959</v>
      </c>
      <c r="F81" s="466"/>
      <c r="G81" s="466"/>
      <c r="H81" s="466"/>
      <c r="I81" s="466"/>
      <c r="J81" s="466"/>
      <c r="K81" s="466"/>
      <c r="L81" s="466"/>
      <c r="M81" s="466"/>
      <c r="N81" s="466"/>
      <c r="O81" s="466"/>
      <c r="P81" s="466"/>
      <c r="Q81" s="466"/>
      <c r="R81" s="466"/>
      <c r="S81" s="466"/>
      <c r="T81" s="466"/>
      <c r="U81" s="466"/>
      <c r="V81" s="466"/>
      <c r="W81" s="466"/>
      <c r="X81" s="466"/>
      <c r="Y81" s="466"/>
      <c r="Z81" s="466"/>
      <c r="AA81" s="466"/>
      <c r="AB81" s="466"/>
      <c r="AC81" s="466"/>
      <c r="AD81" s="466"/>
      <c r="AE81" s="466"/>
      <c r="AF81" s="466"/>
      <c r="AG81" s="466"/>
      <c r="AH81" s="466"/>
      <c r="AI81" s="466"/>
      <c r="AJ81" s="466"/>
      <c r="AK81" s="466"/>
      <c r="AL81" s="466"/>
      <c r="AM81" s="466"/>
      <c r="AN81" s="466"/>
      <c r="AO81" s="466"/>
      <c r="AP81" s="466"/>
      <c r="AQ81" s="466"/>
      <c r="AR81" s="466"/>
      <c r="AS81" s="466"/>
      <c r="AT81" s="466"/>
      <c r="AU81" s="466"/>
      <c r="AV81" s="466"/>
      <c r="AW81" s="466"/>
      <c r="AX81" s="466"/>
      <c r="BM81" s="604"/>
      <c r="BN81" s="604"/>
      <c r="BO81" s="604"/>
      <c r="BP81" s="531"/>
      <c r="BQ81" s="607"/>
    </row>
    <row r="82" spans="1:69" s="115" customFormat="1" hidden="1" x14ac:dyDescent="0.3">
      <c r="A82" s="463"/>
      <c r="B82" s="464"/>
      <c r="C82" s="465"/>
      <c r="D82" s="466"/>
      <c r="E82" s="466"/>
      <c r="F82" s="466"/>
      <c r="G82" s="466"/>
      <c r="H82" s="466"/>
      <c r="I82" s="466"/>
      <c r="J82" s="466"/>
      <c r="K82" s="466"/>
      <c r="L82" s="466"/>
      <c r="M82" s="466"/>
      <c r="N82" s="466"/>
      <c r="O82" s="466"/>
      <c r="P82" s="466"/>
      <c r="Q82" s="466"/>
      <c r="R82" s="466"/>
      <c r="S82" s="466"/>
      <c r="T82" s="466"/>
      <c r="U82" s="466"/>
      <c r="V82" s="466">
        <v>824053700</v>
      </c>
      <c r="W82" s="466"/>
      <c r="X82" s="466"/>
      <c r="Y82" s="466"/>
      <c r="Z82" s="466"/>
      <c r="AA82" s="466"/>
      <c r="AB82" s="466"/>
      <c r="AC82" s="466"/>
      <c r="AD82" s="466"/>
      <c r="AE82" s="466"/>
      <c r="AF82" s="466"/>
      <c r="AG82" s="466"/>
      <c r="AH82" s="466"/>
      <c r="AI82" s="466"/>
      <c r="AJ82" s="466"/>
      <c r="AK82" s="466"/>
      <c r="AL82" s="466"/>
      <c r="AM82" s="466"/>
      <c r="AN82" s="466"/>
      <c r="AO82" s="466"/>
      <c r="AP82" s="466">
        <f>AO75-AP75</f>
        <v>4.0000677108764648E-3</v>
      </c>
      <c r="AQ82" s="466"/>
      <c r="AR82" s="466"/>
      <c r="AS82" s="466"/>
      <c r="AT82" s="466"/>
      <c r="AU82" s="466"/>
      <c r="AV82" s="466"/>
      <c r="AW82" s="466"/>
      <c r="AX82" s="466"/>
      <c r="BM82" s="604"/>
      <c r="BN82" s="604"/>
      <c r="BO82" s="604"/>
      <c r="BP82" s="531"/>
      <c r="BQ82" s="607"/>
    </row>
    <row r="83" spans="1:69" s="115" customFormat="1" hidden="1" x14ac:dyDescent="0.3">
      <c r="A83" s="463"/>
      <c r="B83" s="464"/>
      <c r="C83" s="465"/>
      <c r="D83" s="466"/>
      <c r="E83" s="466"/>
      <c r="F83" s="466">
        <f>F11-F23</f>
        <v>2613431.1677877903</v>
      </c>
      <c r="G83" s="466"/>
      <c r="H83" s="466"/>
      <c r="I83" s="466"/>
      <c r="J83" s="466"/>
      <c r="K83" s="466"/>
      <c r="L83" s="466"/>
      <c r="M83" s="466"/>
      <c r="N83" s="466"/>
      <c r="O83" s="466"/>
      <c r="P83" s="466"/>
      <c r="Q83" s="466"/>
      <c r="R83" s="466"/>
      <c r="S83" s="466"/>
      <c r="T83" s="466"/>
      <c r="U83" s="466"/>
      <c r="V83" s="466">
        <f>V82-X11-AA11-1896500.82-6372300</f>
        <v>786775320.70999992</v>
      </c>
      <c r="W83" s="466"/>
      <c r="X83" s="466"/>
      <c r="Y83" s="466"/>
      <c r="Z83" s="466"/>
      <c r="AA83" s="466"/>
      <c r="AB83" s="466"/>
      <c r="AC83" s="466"/>
      <c r="AD83" s="466"/>
      <c r="AE83" s="466"/>
      <c r="AF83" s="466"/>
      <c r="AG83" s="466"/>
      <c r="AH83" s="466"/>
      <c r="AI83" s="466"/>
      <c r="AJ83" s="466"/>
      <c r="AK83" s="466"/>
      <c r="AL83" s="466"/>
      <c r="AM83" s="466"/>
      <c r="AN83" s="466"/>
      <c r="AO83" s="466"/>
      <c r="AP83" s="466"/>
      <c r="AQ83" s="466"/>
      <c r="AR83" s="466"/>
      <c r="AS83" s="466"/>
      <c r="AT83" s="466"/>
      <c r="AU83" s="466"/>
      <c r="AV83" s="466"/>
      <c r="AW83" s="466"/>
      <c r="AX83" s="466"/>
      <c r="BM83" s="604"/>
      <c r="BN83" s="604"/>
      <c r="BO83" s="604"/>
      <c r="BP83" s="531"/>
      <c r="BQ83" s="607"/>
    </row>
    <row r="84" spans="1:69" s="115" customFormat="1" hidden="1" x14ac:dyDescent="0.3">
      <c r="A84" s="463"/>
      <c r="B84" s="464"/>
      <c r="C84" s="465"/>
      <c r="D84" s="466"/>
      <c r="E84" s="466"/>
      <c r="F84" s="466" t="b">
        <f>F76=F83</f>
        <v>0</v>
      </c>
      <c r="G84" s="466"/>
      <c r="H84" s="466"/>
      <c r="I84" s="466"/>
      <c r="J84" s="466"/>
      <c r="K84" s="466"/>
      <c r="L84" s="466"/>
      <c r="M84" s="466"/>
      <c r="N84" s="466"/>
      <c r="O84" s="466"/>
      <c r="P84" s="466"/>
      <c r="Q84" s="466"/>
      <c r="R84" s="466"/>
      <c r="S84" s="466"/>
      <c r="T84" s="466"/>
      <c r="U84" s="466"/>
      <c r="V84" s="466"/>
      <c r="W84" s="466"/>
      <c r="X84" s="466"/>
      <c r="Y84" s="466"/>
      <c r="Z84" s="466"/>
      <c r="AA84" s="466"/>
      <c r="AB84" s="466"/>
      <c r="AC84" s="466"/>
      <c r="AD84" s="466"/>
      <c r="AE84" s="466"/>
      <c r="AF84" s="466"/>
      <c r="AG84" s="466"/>
      <c r="AH84" s="466"/>
      <c r="AI84" s="466"/>
      <c r="AJ84" s="466"/>
      <c r="AK84" s="466"/>
      <c r="AL84" s="466"/>
      <c r="AM84" s="466"/>
      <c r="AN84" s="466"/>
      <c r="AO84" s="466"/>
      <c r="AP84" s="466"/>
      <c r="AQ84" s="466"/>
      <c r="AR84" s="466"/>
      <c r="AS84" s="466"/>
      <c r="AT84" s="466"/>
      <c r="AU84" s="466"/>
      <c r="AV84" s="466"/>
      <c r="AW84" s="466"/>
      <c r="AX84" s="466"/>
      <c r="BM84" s="604"/>
      <c r="BN84" s="604"/>
      <c r="BO84" s="604"/>
      <c r="BP84" s="531"/>
      <c r="BQ84" s="607"/>
    </row>
    <row r="85" spans="1:69" s="115" customFormat="1" hidden="1" x14ac:dyDescent="0.3">
      <c r="A85" s="463"/>
      <c r="B85" s="464"/>
      <c r="C85" s="465"/>
      <c r="D85" s="466"/>
      <c r="E85" s="466"/>
      <c r="F85" s="466"/>
      <c r="G85" s="466"/>
      <c r="H85" s="466"/>
      <c r="I85" s="466"/>
      <c r="J85" s="466"/>
      <c r="K85" s="466"/>
      <c r="L85" s="466"/>
      <c r="M85" s="466"/>
      <c r="N85" s="466"/>
      <c r="O85" s="466"/>
      <c r="P85" s="466"/>
      <c r="Q85" s="466"/>
      <c r="R85" s="466"/>
      <c r="S85" s="466"/>
      <c r="T85" s="466"/>
      <c r="U85" s="466"/>
      <c r="V85" s="466"/>
      <c r="W85" s="466"/>
      <c r="X85" s="466"/>
      <c r="Y85" s="466"/>
      <c r="Z85" s="466"/>
      <c r="AA85" s="466"/>
      <c r="AB85" s="466"/>
      <c r="AC85" s="466"/>
      <c r="AD85" s="466"/>
      <c r="AE85" s="466"/>
      <c r="AF85" s="466"/>
      <c r="AG85" s="466"/>
      <c r="AH85" s="466"/>
      <c r="AI85" s="466"/>
      <c r="AJ85" s="466"/>
      <c r="AK85" s="466"/>
      <c r="AL85" s="466"/>
      <c r="AM85" s="466"/>
      <c r="AN85" s="466"/>
      <c r="AO85" s="466"/>
      <c r="AP85" s="466"/>
      <c r="AQ85" s="466"/>
      <c r="AR85" s="466"/>
      <c r="AS85" s="466"/>
      <c r="AT85" s="466"/>
      <c r="AU85" s="466"/>
      <c r="AV85" s="466"/>
      <c r="AW85" s="466"/>
      <c r="AX85" s="466"/>
      <c r="BM85" s="604"/>
      <c r="BN85" s="604"/>
      <c r="BO85" s="604"/>
      <c r="BP85" s="531"/>
      <c r="BQ85" s="607"/>
    </row>
    <row r="86" spans="1:69" s="115" customFormat="1" hidden="1" x14ac:dyDescent="0.3">
      <c r="A86" s="463"/>
      <c r="B86" s="464"/>
      <c r="C86" s="465"/>
      <c r="D86" s="466"/>
      <c r="E86" s="466"/>
      <c r="F86" s="466"/>
      <c r="G86" s="283">
        <v>493797.89</v>
      </c>
      <c r="H86" s="157">
        <v>493797.8900000155</v>
      </c>
      <c r="I86" s="298">
        <v>1.548323780298233E-8</v>
      </c>
      <c r="J86" s="467"/>
      <c r="K86" s="467"/>
      <c r="L86" s="467"/>
      <c r="M86" s="467"/>
      <c r="N86" s="467"/>
      <c r="O86" s="467"/>
      <c r="P86" s="467"/>
      <c r="Q86" s="468"/>
      <c r="R86" s="468"/>
      <c r="S86" s="468"/>
      <c r="T86" s="468"/>
      <c r="U86" s="468"/>
      <c r="V86" s="468"/>
      <c r="W86" s="468"/>
      <c r="X86" s="468"/>
      <c r="Y86" s="468"/>
      <c r="Z86" s="468"/>
      <c r="AA86" s="468"/>
      <c r="AB86" s="468"/>
      <c r="AC86" s="468"/>
      <c r="AD86" s="468"/>
      <c r="AE86" s="468"/>
      <c r="AF86" s="468"/>
      <c r="AG86" s="468"/>
      <c r="AH86" s="468"/>
      <c r="AI86" s="468"/>
      <c r="AJ86" s="469"/>
      <c r="AK86" s="469"/>
      <c r="AL86" s="470"/>
      <c r="AM86" s="470"/>
      <c r="AN86" s="470"/>
      <c r="AO86" s="470"/>
      <c r="AP86" s="470"/>
      <c r="AQ86" s="470"/>
      <c r="AR86" s="470"/>
      <c r="AS86" s="470"/>
      <c r="AT86" s="470"/>
      <c r="AU86" s="470"/>
      <c r="AV86" s="470"/>
      <c r="AW86" s="470"/>
      <c r="AX86" s="470"/>
      <c r="BM86" s="604"/>
      <c r="BN86" s="604"/>
      <c r="BO86" s="604"/>
      <c r="BP86" s="531"/>
      <c r="BQ86" s="607"/>
    </row>
    <row r="87" spans="1:69" ht="19.5" hidden="1" thickBot="1" x14ac:dyDescent="0.35">
      <c r="G87" s="407">
        <v>-2.1200180053710938E-3</v>
      </c>
      <c r="H87" s="304">
        <v>0</v>
      </c>
      <c r="I87" s="377">
        <v>2.1200180053710938E-3</v>
      </c>
      <c r="J87" s="117"/>
      <c r="K87" s="117"/>
      <c r="L87" s="117"/>
      <c r="M87" s="117"/>
      <c r="N87" s="117"/>
      <c r="O87" s="117"/>
      <c r="P87" s="117"/>
      <c r="Q87" s="117"/>
      <c r="R87" s="117"/>
      <c r="S87" s="117"/>
      <c r="T87" s="111">
        <v>49006743.600000001</v>
      </c>
      <c r="U87" s="117" t="s">
        <v>237</v>
      </c>
      <c r="V87" s="117"/>
      <c r="W87" s="117"/>
      <c r="X87" s="117"/>
      <c r="Y87" s="117"/>
      <c r="Z87" s="117"/>
      <c r="AA87" s="117"/>
      <c r="AB87" s="117"/>
      <c r="AC87" s="117"/>
      <c r="AD87" s="117"/>
      <c r="AE87" s="117"/>
      <c r="AF87" s="117"/>
      <c r="AG87" s="117"/>
      <c r="AH87" s="117"/>
      <c r="AI87" s="117"/>
      <c r="AL87" s="137">
        <f>AL23-AL11</f>
        <v>10179839.442763567</v>
      </c>
      <c r="AM87" s="137">
        <f>AM23-AM11</f>
        <v>10179839.438763499</v>
      </c>
      <c r="AO87" s="137">
        <f>AO23-AO11</f>
        <v>9808185.4527635574</v>
      </c>
      <c r="AP87" s="137">
        <f>AP23-AP11</f>
        <v>9808185.4487634897</v>
      </c>
      <c r="AQ87" s="137"/>
      <c r="AR87" s="137">
        <f t="shared" ref="AR87:AS87" si="71">AR23-AR11</f>
        <v>371653.98999999464</v>
      </c>
      <c r="AS87" s="137">
        <f t="shared" si="71"/>
        <v>371653.99000000209</v>
      </c>
    </row>
    <row r="88" spans="1:69" hidden="1" x14ac:dyDescent="0.3">
      <c r="D88" s="111">
        <f>D23-D11</f>
        <v>422059537.73753738</v>
      </c>
      <c r="G88" s="466"/>
      <c r="H88" s="466"/>
      <c r="I88" s="471"/>
      <c r="J88" s="117"/>
      <c r="K88" s="111"/>
      <c r="L88" s="111"/>
      <c r="M88" s="111"/>
      <c r="N88" s="117"/>
      <c r="O88" s="117"/>
      <c r="P88" s="117"/>
      <c r="Q88" s="117"/>
      <c r="R88" s="117"/>
      <c r="S88" s="117"/>
      <c r="T88" s="111">
        <f>T76-T87</f>
        <v>156608048.77000001</v>
      </c>
      <c r="U88" s="117" t="s">
        <v>197</v>
      </c>
      <c r="V88" s="117"/>
      <c r="W88" s="117"/>
      <c r="X88" s="117"/>
      <c r="Y88" s="117"/>
      <c r="Z88" s="117"/>
      <c r="AA88" s="117"/>
      <c r="AB88" s="117"/>
      <c r="AC88" s="117"/>
      <c r="AD88" s="117"/>
      <c r="AE88" s="117"/>
      <c r="AF88" s="117"/>
      <c r="AG88" s="117"/>
      <c r="AH88" s="117"/>
      <c r="AI88" s="117"/>
    </row>
    <row r="89" spans="1:69" hidden="1" x14ac:dyDescent="0.3">
      <c r="G89" s="157">
        <v>493797.8921200037</v>
      </c>
      <c r="H89" s="157">
        <v>493797.8900000155</v>
      </c>
      <c r="I89" s="157">
        <v>-2.1199882030487061E-3</v>
      </c>
      <c r="J89" s="117">
        <v>211</v>
      </c>
      <c r="K89" s="111">
        <v>170582.06</v>
      </c>
      <c r="L89" s="111"/>
      <c r="M89" s="111"/>
      <c r="N89" s="117"/>
      <c r="O89" s="117"/>
      <c r="P89" s="117"/>
      <c r="Q89" s="117"/>
      <c r="R89" s="117"/>
      <c r="S89" s="117"/>
      <c r="T89" s="117"/>
      <c r="U89" s="117"/>
      <c r="V89" s="117"/>
      <c r="W89" s="117"/>
      <c r="X89" s="117"/>
      <c r="Y89" s="117"/>
      <c r="Z89" s="117"/>
      <c r="AA89" s="117"/>
      <c r="AB89" s="117"/>
      <c r="AC89" s="117"/>
      <c r="AD89" s="117"/>
      <c r="AE89" s="117"/>
      <c r="AF89" s="117"/>
      <c r="AG89" s="117"/>
      <c r="AH89" s="117"/>
      <c r="AI89" s="117"/>
      <c r="AJ89" s="117">
        <v>211</v>
      </c>
      <c r="AK89" s="137">
        <v>109680.99846390169</v>
      </c>
      <c r="AO89" s="263"/>
      <c r="AP89" s="263"/>
      <c r="AQ89" s="263"/>
      <c r="AR89" s="137">
        <v>2818.05</v>
      </c>
      <c r="AS89" s="137"/>
      <c r="AT89" s="137"/>
      <c r="AU89" s="151">
        <v>221</v>
      </c>
      <c r="AV89" s="151"/>
      <c r="AW89" s="151"/>
      <c r="AX89" s="151"/>
    </row>
    <row r="90" spans="1:69" hidden="1" x14ac:dyDescent="0.3">
      <c r="G90" s="466">
        <v>493797.88999998569</v>
      </c>
      <c r="H90" s="466">
        <v>493797.8900000155</v>
      </c>
      <c r="I90" s="466">
        <v>2.9802322387695313E-8</v>
      </c>
      <c r="J90" s="117">
        <v>213</v>
      </c>
      <c r="K90" s="111">
        <f>K89*30.2%+0.01</f>
        <v>51515.792119999998</v>
      </c>
      <c r="L90" s="111"/>
      <c r="M90" s="111"/>
      <c r="N90" s="117"/>
      <c r="O90" s="117"/>
      <c r="P90" s="117"/>
      <c r="Q90" s="117"/>
      <c r="R90" s="117"/>
      <c r="S90" s="117"/>
      <c r="T90" s="117"/>
      <c r="U90" s="117"/>
      <c r="V90" s="117"/>
      <c r="W90" s="117"/>
      <c r="X90" s="117"/>
      <c r="Y90" s="117"/>
      <c r="Z90" s="117"/>
      <c r="AA90" s="117"/>
      <c r="AB90" s="117"/>
      <c r="AC90" s="117"/>
      <c r="AD90" s="117"/>
      <c r="AE90" s="117"/>
      <c r="AF90" s="117"/>
      <c r="AG90" s="117"/>
      <c r="AH90" s="117"/>
      <c r="AI90" s="117"/>
      <c r="AJ90" s="117">
        <v>213</v>
      </c>
      <c r="AK90" s="137">
        <v>33123.660000000003</v>
      </c>
      <c r="AO90" s="263"/>
      <c r="AP90" s="263"/>
      <c r="AQ90" s="263"/>
      <c r="AR90" s="137">
        <v>63920</v>
      </c>
      <c r="AS90" s="137"/>
      <c r="AT90" s="137"/>
      <c r="AU90" s="151">
        <v>310</v>
      </c>
      <c r="AV90" s="151"/>
      <c r="AW90" s="151"/>
      <c r="AX90" s="151"/>
    </row>
    <row r="91" spans="1:69" hidden="1" x14ac:dyDescent="0.3">
      <c r="G91" s="466" t="b">
        <v>0</v>
      </c>
      <c r="H91" s="466" t="b">
        <v>1</v>
      </c>
      <c r="I91" s="466" t="b">
        <v>0</v>
      </c>
      <c r="J91" s="117">
        <v>226</v>
      </c>
      <c r="K91" s="111">
        <v>176906.04</v>
      </c>
      <c r="L91" s="111"/>
      <c r="M91" s="111"/>
      <c r="N91" s="117"/>
      <c r="O91" s="117"/>
      <c r="P91" s="117"/>
      <c r="Q91" s="111"/>
      <c r="R91" s="111"/>
      <c r="S91" s="111"/>
      <c r="T91" s="111"/>
      <c r="U91" s="117"/>
      <c r="V91" s="117"/>
      <c r="W91" s="117"/>
      <c r="X91" s="117"/>
      <c r="Y91" s="117"/>
      <c r="Z91" s="117"/>
      <c r="AA91" s="117"/>
      <c r="AB91" s="117"/>
      <c r="AC91" s="117"/>
      <c r="AD91" s="117"/>
      <c r="AE91" s="117"/>
      <c r="AF91" s="117"/>
      <c r="AG91" s="117"/>
      <c r="AH91" s="117"/>
      <c r="AI91" s="117"/>
      <c r="AK91" s="137">
        <f>SUM(AK89:AK90)</f>
        <v>142804.65846390169</v>
      </c>
      <c r="AO91" s="264">
        <f>AO75</f>
        <v>9808185.4527635574</v>
      </c>
      <c r="AP91" s="264"/>
      <c r="AQ91" s="264"/>
      <c r="AR91" s="137">
        <v>1155747.52</v>
      </c>
      <c r="AS91" s="137"/>
      <c r="AT91" s="137"/>
      <c r="AU91" s="151">
        <v>340</v>
      </c>
      <c r="AV91" s="151"/>
      <c r="AW91" s="151"/>
      <c r="AX91" s="151"/>
    </row>
    <row r="92" spans="1:69" hidden="1" x14ac:dyDescent="0.3">
      <c r="G92" s="117"/>
      <c r="H92" s="117"/>
      <c r="I92" s="117"/>
      <c r="J92" s="117">
        <v>340</v>
      </c>
      <c r="K92" s="111">
        <v>94794</v>
      </c>
      <c r="L92" s="111"/>
      <c r="M92" s="111"/>
      <c r="N92" s="117"/>
      <c r="O92" s="117"/>
      <c r="P92" s="117"/>
      <c r="Q92" s="117"/>
      <c r="R92" s="117"/>
      <c r="S92" s="117"/>
      <c r="T92" s="117"/>
      <c r="U92" s="117"/>
      <c r="V92" s="117"/>
      <c r="W92" s="117"/>
      <c r="X92" s="117"/>
      <c r="Y92" s="117"/>
      <c r="Z92" s="117"/>
      <c r="AA92" s="117"/>
      <c r="AB92" s="117"/>
      <c r="AC92" s="117"/>
      <c r="AD92" s="117"/>
      <c r="AE92" s="117"/>
      <c r="AF92" s="117"/>
      <c r="AG92" s="117"/>
      <c r="AH92" s="117"/>
      <c r="AI92" s="117"/>
    </row>
    <row r="93" spans="1:69" s="531" customFormat="1" hidden="1" x14ac:dyDescent="0.3">
      <c r="C93" s="532"/>
      <c r="H93" s="535">
        <f>H23-H86</f>
        <v>239248393.09430078</v>
      </c>
      <c r="K93" s="533">
        <f>SUM(K89:K92)</f>
        <v>493797.89211999997</v>
      </c>
      <c r="L93" s="533"/>
      <c r="M93" s="533"/>
      <c r="AK93" s="534"/>
      <c r="AL93" s="534"/>
      <c r="AM93" s="534"/>
      <c r="AN93" s="534"/>
      <c r="BQ93" s="602"/>
    </row>
    <row r="94" spans="1:69" s="531" customFormat="1" hidden="1" x14ac:dyDescent="0.3">
      <c r="C94" s="532"/>
      <c r="G94" s="531" t="s">
        <v>450</v>
      </c>
      <c r="H94" s="535">
        <f>212239200+57300000</f>
        <v>269539200</v>
      </c>
      <c r="I94" s="533">
        <f>H94+H86</f>
        <v>270032997.88999999</v>
      </c>
      <c r="K94" s="533"/>
      <c r="L94" s="533"/>
      <c r="M94" s="533"/>
      <c r="AK94" s="534"/>
      <c r="AL94" s="534"/>
      <c r="AM94" s="534"/>
      <c r="AN94" s="534"/>
      <c r="BQ94" s="602"/>
    </row>
    <row r="95" spans="1:69" hidden="1" x14ac:dyDescent="0.3">
      <c r="G95" s="117"/>
      <c r="H95" s="111">
        <f>H94-H93</f>
        <v>30290806.905699223</v>
      </c>
      <c r="I95" s="117"/>
      <c r="J95" s="117"/>
      <c r="K95" s="111"/>
      <c r="L95" s="111"/>
      <c r="M95" s="111"/>
      <c r="N95" s="117"/>
      <c r="O95" s="117"/>
      <c r="P95" s="117"/>
      <c r="Q95" s="117"/>
      <c r="R95" s="117"/>
      <c r="S95" s="117"/>
      <c r="T95" s="117"/>
      <c r="U95" s="117"/>
      <c r="V95" s="117"/>
      <c r="W95" s="117"/>
      <c r="X95" s="117"/>
      <c r="Y95" s="117"/>
      <c r="Z95" s="117"/>
      <c r="AA95" s="117"/>
      <c r="AB95" s="117"/>
      <c r="AC95" s="117"/>
      <c r="AD95" s="117"/>
      <c r="AE95" s="117"/>
      <c r="AF95" s="117"/>
      <c r="AG95" s="117"/>
      <c r="AH95" s="117"/>
      <c r="AI95" s="117"/>
    </row>
    <row r="96" spans="1:69" hidden="1" x14ac:dyDescent="0.3">
      <c r="G96" s="117"/>
      <c r="H96" s="117"/>
      <c r="I96" s="117"/>
      <c r="J96" s="117"/>
      <c r="K96" s="117"/>
      <c r="L96" s="117"/>
      <c r="M96" s="117"/>
      <c r="N96" s="117"/>
      <c r="O96" s="117"/>
      <c r="P96" s="117"/>
      <c r="Q96" s="117"/>
      <c r="R96" s="117"/>
      <c r="S96" s="117"/>
      <c r="T96" s="117"/>
      <c r="U96" s="117"/>
      <c r="V96" s="117"/>
      <c r="W96" s="117"/>
      <c r="X96" s="117"/>
      <c r="Y96" s="117"/>
      <c r="Z96" s="117"/>
      <c r="AA96" s="117"/>
      <c r="AB96" s="117"/>
      <c r="AC96" s="117"/>
      <c r="AD96" s="117"/>
      <c r="AE96" s="117"/>
      <c r="AF96" s="117"/>
      <c r="AG96" s="117"/>
      <c r="AH96" s="117"/>
      <c r="AI96" s="117"/>
    </row>
    <row r="97" spans="5:69" hidden="1" x14ac:dyDescent="0.3">
      <c r="E97" s="111">
        <f>E45-T45-AM45</f>
        <v>1289985709.3800001</v>
      </c>
      <c r="G97" s="117"/>
      <c r="H97" s="117"/>
      <c r="I97" s="117"/>
      <c r="J97" s="117"/>
      <c r="K97" s="117"/>
      <c r="L97" s="117"/>
      <c r="M97" s="117"/>
      <c r="N97" s="117"/>
      <c r="O97" s="117"/>
      <c r="P97" s="117"/>
      <c r="Q97" s="117"/>
      <c r="R97" s="117"/>
      <c r="S97" s="117"/>
      <c r="T97" s="117"/>
      <c r="U97" s="117"/>
      <c r="V97" s="117"/>
      <c r="W97" s="117"/>
      <c r="X97" s="117"/>
      <c r="Y97" s="117"/>
      <c r="Z97" s="117"/>
      <c r="AA97" s="117"/>
      <c r="AB97" s="117"/>
      <c r="AC97" s="117"/>
      <c r="AD97" s="117"/>
      <c r="AE97" s="117"/>
      <c r="AF97" s="117"/>
      <c r="AG97" s="117"/>
      <c r="AH97" s="117"/>
      <c r="AI97" s="117"/>
    </row>
    <row r="98" spans="5:69" hidden="1" x14ac:dyDescent="0.3">
      <c r="G98" s="117"/>
      <c r="H98" s="117"/>
      <c r="I98" s="117"/>
      <c r="J98" s="117"/>
      <c r="K98" s="117"/>
      <c r="L98" s="117"/>
      <c r="M98" s="117"/>
      <c r="N98" s="117"/>
      <c r="O98" s="117"/>
      <c r="P98" s="117"/>
      <c r="Q98" s="117"/>
      <c r="R98" s="117"/>
      <c r="S98" s="117"/>
      <c r="T98" s="117"/>
      <c r="U98" s="117"/>
      <c r="V98" s="117"/>
      <c r="W98" s="117"/>
      <c r="X98" s="117"/>
      <c r="Y98" s="117"/>
      <c r="Z98" s="117"/>
      <c r="AA98" s="117"/>
      <c r="AB98" s="117"/>
      <c r="AC98" s="117"/>
      <c r="AD98" s="117"/>
      <c r="AE98" s="117"/>
      <c r="AF98" s="117"/>
      <c r="AG98" s="117"/>
      <c r="AH98" s="117"/>
      <c r="AI98" s="117"/>
    </row>
    <row r="99" spans="5:69" hidden="1" x14ac:dyDescent="0.3">
      <c r="G99" s="117"/>
      <c r="H99" s="117"/>
      <c r="I99" s="117"/>
      <c r="J99" s="117"/>
      <c r="K99" s="117"/>
      <c r="L99" s="117"/>
      <c r="M99" s="117"/>
      <c r="N99" s="117"/>
      <c r="O99" s="117"/>
      <c r="P99" s="117"/>
      <c r="Q99" s="117"/>
      <c r="R99" s="1030" t="s">
        <v>908</v>
      </c>
      <c r="S99" s="117"/>
      <c r="T99" s="117"/>
      <c r="U99" s="117"/>
      <c r="V99" s="602" t="s">
        <v>905</v>
      </c>
      <c r="W99" s="111">
        <f>SUM(W51:W98)</f>
        <v>1.0000001639127731E-2</v>
      </c>
      <c r="X99" s="602" t="s">
        <v>906</v>
      </c>
      <c r="Y99" s="117"/>
      <c r="Z99" s="117"/>
      <c r="AA99" s="117"/>
      <c r="AB99" s="602" t="s">
        <v>907</v>
      </c>
      <c r="AC99" s="117"/>
      <c r="AD99" s="117"/>
      <c r="AE99" s="117"/>
      <c r="AF99" s="117"/>
      <c r="AG99" s="117"/>
      <c r="AH99" s="117"/>
      <c r="AI99" s="117"/>
      <c r="BQ99" s="605"/>
    </row>
    <row r="100" spans="5:69" hidden="1" x14ac:dyDescent="0.3">
      <c r="E100" s="111"/>
      <c r="G100" s="117"/>
      <c r="H100" s="111">
        <f>H24-L100-L101-L102</f>
        <v>170782400.00430083</v>
      </c>
      <c r="I100" s="117"/>
      <c r="J100" s="117"/>
      <c r="K100" s="117">
        <v>211</v>
      </c>
      <c r="L100" s="111">
        <f>Санкционирование!AV25</f>
        <v>12712935.3365745</v>
      </c>
      <c r="M100" s="111">
        <f>L100</f>
        <v>12712935.3365745</v>
      </c>
      <c r="N100" s="117"/>
      <c r="O100" s="117"/>
      <c r="P100" s="117"/>
      <c r="Q100" s="880" t="s">
        <v>917</v>
      </c>
      <c r="R100" s="111">
        <v>146375908.19999999</v>
      </c>
      <c r="S100" s="117"/>
      <c r="T100" s="117"/>
      <c r="U100" s="117"/>
      <c r="V100" s="117">
        <v>211</v>
      </c>
      <c r="W100" s="117"/>
      <c r="X100" s="111">
        <f>'расчет норматив'!AC10</f>
        <v>130723623.19</v>
      </c>
      <c r="Y100" s="117"/>
      <c r="Z100" s="117"/>
      <c r="AA100" s="117"/>
      <c r="AB100" s="111">
        <f>115806600+15362600</f>
        <v>131169200</v>
      </c>
      <c r="AC100" s="117"/>
      <c r="AD100" s="117"/>
      <c r="AE100" s="117"/>
      <c r="AF100" s="117"/>
      <c r="AG100" s="117"/>
      <c r="AH100" s="117"/>
      <c r="AI100" s="117"/>
      <c r="AK100" s="1032">
        <v>530061.06000000006</v>
      </c>
      <c r="AP100" s="970">
        <v>9808185.4700000044</v>
      </c>
      <c r="AS100" s="111">
        <f>AS75-AR75</f>
        <v>7.4505805969238281E-9</v>
      </c>
      <c r="BP100" s="533">
        <f>BP75-AL75</f>
        <v>-17446203.48636353</v>
      </c>
      <c r="BQ100" s="605">
        <v>261252050.31999999</v>
      </c>
    </row>
    <row r="101" spans="5:69" hidden="1" x14ac:dyDescent="0.3">
      <c r="E101" s="117">
        <v>205614792.37</v>
      </c>
      <c r="G101" s="117"/>
      <c r="H101" s="111">
        <f>AB103-H100</f>
        <v>-4.3008327484130859E-3</v>
      </c>
      <c r="I101" s="117"/>
      <c r="J101" s="117"/>
      <c r="K101" s="117">
        <v>213</v>
      </c>
      <c r="L101" s="111">
        <f>Санкционирование!AV26</f>
        <v>4311035.7434254978</v>
      </c>
      <c r="M101" s="111">
        <f>'Лист2 (2)'!F13</f>
        <v>3811205.169999999</v>
      </c>
      <c r="N101" s="111">
        <f>L101-M101</f>
        <v>499830.57342549879</v>
      </c>
      <c r="O101" s="111">
        <f>'расчет норматив'!AC8+L100+L101</f>
        <v>187806371.08477378</v>
      </c>
      <c r="P101" s="117"/>
      <c r="Q101" s="880" t="s">
        <v>919</v>
      </c>
      <c r="R101" s="111">
        <v>429259.19</v>
      </c>
      <c r="S101" s="117"/>
      <c r="T101" s="117">
        <v>205614792.37</v>
      </c>
      <c r="U101" s="117"/>
      <c r="V101" s="117">
        <v>213</v>
      </c>
      <c r="W101" s="117"/>
      <c r="X101" s="111">
        <f>'расчет норматив'!AC11</f>
        <v>39613200</v>
      </c>
      <c r="Y101" s="117"/>
      <c r="Z101" s="117"/>
      <c r="AA101" s="117"/>
      <c r="AB101" s="111">
        <f>34973700+4639500</f>
        <v>39613200</v>
      </c>
      <c r="AC101" s="117"/>
      <c r="AD101" s="117"/>
      <c r="AE101" s="117"/>
      <c r="AF101" s="117"/>
      <c r="AG101" s="117"/>
      <c r="AH101" s="117"/>
      <c r="AI101" s="117"/>
      <c r="AJ101" s="117">
        <v>211</v>
      </c>
      <c r="AK101" s="1032">
        <f>AK100/1.302</f>
        <v>407112.94930875581</v>
      </c>
      <c r="BQ101" s="605">
        <f>BQ100-BQ76</f>
        <v>-971567.62999999523</v>
      </c>
    </row>
    <row r="102" spans="5:69" hidden="1" x14ac:dyDescent="0.3">
      <c r="E102" s="111">
        <f>E11+E75-E23</f>
        <v>205614792.36999989</v>
      </c>
      <c r="G102" s="117"/>
      <c r="H102" s="117"/>
      <c r="I102" s="117"/>
      <c r="J102" s="117"/>
      <c r="K102" s="117">
        <v>212</v>
      </c>
      <c r="L102" s="111">
        <f>Санкционирование!AV27</f>
        <v>79091.530000000028</v>
      </c>
      <c r="M102" s="117"/>
      <c r="N102" s="111">
        <f>L102</f>
        <v>79091.530000000028</v>
      </c>
      <c r="O102" s="111">
        <f>H24</f>
        <v>187885462.61430082</v>
      </c>
      <c r="P102" s="117"/>
      <c r="Q102" s="880" t="s">
        <v>918</v>
      </c>
      <c r="R102" s="111">
        <v>4389110</v>
      </c>
      <c r="S102" s="117"/>
      <c r="T102" s="117">
        <v>203001361.21000001</v>
      </c>
      <c r="U102" s="117"/>
      <c r="V102" s="117">
        <v>212</v>
      </c>
      <c r="W102" s="117"/>
      <c r="X102" s="111">
        <f>'расчет норматив'!AC12</f>
        <v>445576.81477379624</v>
      </c>
      <c r="Y102" s="117"/>
      <c r="Z102" s="117"/>
      <c r="AA102" s="117"/>
      <c r="AB102" s="117"/>
      <c r="AC102" s="117"/>
      <c r="AD102" s="117"/>
      <c r="AE102" s="117"/>
      <c r="AF102" s="117"/>
      <c r="AG102" s="117"/>
      <c r="AH102" s="117"/>
      <c r="AI102" s="117"/>
      <c r="AJ102" s="117">
        <v>213</v>
      </c>
      <c r="AK102" s="1032">
        <f>AK101*0.302</f>
        <v>122948.11069124425</v>
      </c>
    </row>
    <row r="103" spans="5:69" hidden="1" x14ac:dyDescent="0.3">
      <c r="G103" s="117"/>
      <c r="H103" s="117"/>
      <c r="I103" s="117"/>
      <c r="J103" s="117"/>
      <c r="K103" s="117">
        <v>221</v>
      </c>
      <c r="L103" s="111">
        <f>Санкционирование!AV47</f>
        <v>385393.10000000003</v>
      </c>
      <c r="M103" s="117"/>
      <c r="N103" s="111">
        <f t="shared" ref="N103:N113" si="72">L103</f>
        <v>385393.10000000003</v>
      </c>
      <c r="O103" s="117"/>
      <c r="P103" s="117"/>
      <c r="Q103" s="880" t="s">
        <v>920</v>
      </c>
      <c r="R103" s="111">
        <v>137961180.06</v>
      </c>
      <c r="S103" s="117"/>
      <c r="T103" s="117">
        <f>T101-T102</f>
        <v>2613431.1599999964</v>
      </c>
      <c r="U103" s="117"/>
      <c r="V103" s="117"/>
      <c r="W103" s="117"/>
      <c r="X103" s="111">
        <f>SUM(X100:X102)</f>
        <v>170782400.0047738</v>
      </c>
      <c r="Y103" s="117"/>
      <c r="Z103" s="117"/>
      <c r="AA103" s="117"/>
      <c r="AB103" s="111">
        <f>SUM(AB100:AB102)</f>
        <v>170782400</v>
      </c>
      <c r="AC103" s="117"/>
      <c r="AD103" s="117"/>
      <c r="AE103" s="137">
        <f>X103-AB103</f>
        <v>4.7737956047058105E-3</v>
      </c>
      <c r="AF103" s="117"/>
      <c r="AG103" s="117"/>
      <c r="AH103" s="117"/>
      <c r="AI103" s="117"/>
      <c r="AK103" s="1032">
        <f>AK101+AK102</f>
        <v>530061.06000000006</v>
      </c>
    </row>
    <row r="104" spans="5:69" hidden="1" x14ac:dyDescent="0.3">
      <c r="E104" s="111">
        <f>E75-D75</f>
        <v>-7.7877044677734375E-3</v>
      </c>
      <c r="G104" s="117"/>
      <c r="H104" s="117"/>
      <c r="I104" s="117"/>
      <c r="J104" s="117"/>
      <c r="K104" s="117">
        <v>222</v>
      </c>
      <c r="L104" s="111">
        <f>Санкционирование!AV48</f>
        <v>0</v>
      </c>
      <c r="M104" s="117"/>
      <c r="N104" s="111">
        <f t="shared" si="72"/>
        <v>0</v>
      </c>
      <c r="O104" s="117"/>
      <c r="P104" s="117"/>
      <c r="Q104" s="880" t="s">
        <v>922</v>
      </c>
      <c r="R104" s="111">
        <v>860103.18</v>
      </c>
      <c r="S104" s="117"/>
      <c r="T104" s="117"/>
      <c r="U104" s="117"/>
      <c r="V104" s="117"/>
      <c r="W104" s="117"/>
      <c r="X104" s="117"/>
      <c r="Y104" s="117"/>
      <c r="Z104" s="117"/>
      <c r="AA104" s="117"/>
      <c r="AB104" s="602" t="s">
        <v>908</v>
      </c>
      <c r="AC104" s="117"/>
      <c r="AD104" s="117"/>
      <c r="AE104" s="117"/>
      <c r="AF104" s="117"/>
      <c r="AG104" s="117"/>
      <c r="AH104" s="117"/>
      <c r="AI104" s="117"/>
    </row>
    <row r="105" spans="5:69" hidden="1" x14ac:dyDescent="0.3">
      <c r="G105" s="117"/>
      <c r="H105" s="117"/>
      <c r="I105" s="117"/>
      <c r="J105" s="117"/>
      <c r="K105" s="117">
        <v>223</v>
      </c>
      <c r="L105" s="111">
        <f>Санкционирование!AV49</f>
        <v>804094.59999999963</v>
      </c>
      <c r="M105" s="117"/>
      <c r="N105" s="111">
        <f t="shared" si="72"/>
        <v>804094.59999999963</v>
      </c>
      <c r="O105" s="117"/>
      <c r="P105" s="117"/>
      <c r="Q105" s="880" t="s">
        <v>921</v>
      </c>
      <c r="R105" s="111">
        <v>87456589.090000004</v>
      </c>
      <c r="S105" s="117"/>
      <c r="T105" s="117"/>
      <c r="U105" s="117"/>
      <c r="V105" s="117">
        <v>211</v>
      </c>
      <c r="W105" s="117"/>
      <c r="X105" s="111">
        <f>L100</f>
        <v>12712935.3365745</v>
      </c>
      <c r="Y105" s="117"/>
      <c r="Z105" s="117"/>
      <c r="AA105" s="117"/>
      <c r="AB105" s="111">
        <f>L100</f>
        <v>12712935.3365745</v>
      </c>
      <c r="AC105" s="117"/>
      <c r="AD105" s="117"/>
      <c r="AE105" s="117"/>
      <c r="AF105" s="117"/>
      <c r="AG105" s="117"/>
      <c r="AH105" s="117"/>
      <c r="AI105" s="117"/>
    </row>
    <row r="106" spans="5:69" hidden="1" x14ac:dyDescent="0.3">
      <c r="G106" s="117"/>
      <c r="H106" s="117"/>
      <c r="I106" s="117"/>
      <c r="J106" s="117"/>
      <c r="K106" s="117">
        <v>225</v>
      </c>
      <c r="L106" s="111">
        <f>Санкционирование!AV54</f>
        <v>9226.5200000004843</v>
      </c>
      <c r="M106" s="117"/>
      <c r="N106" s="111">
        <f t="shared" si="72"/>
        <v>9226.5200000004843</v>
      </c>
      <c r="O106" s="117"/>
      <c r="P106" s="117"/>
      <c r="Q106" s="880" t="s">
        <v>923</v>
      </c>
      <c r="R106" s="111">
        <v>5533016.0999999996</v>
      </c>
      <c r="S106" s="117"/>
      <c r="T106" s="117"/>
      <c r="U106" s="117"/>
      <c r="V106" s="117">
        <v>213</v>
      </c>
      <c r="W106" s="117"/>
      <c r="X106" s="111">
        <f>L101</f>
        <v>4311035.7434254978</v>
      </c>
      <c r="Y106" s="117"/>
      <c r="Z106" s="117"/>
      <c r="AA106" s="117"/>
      <c r="AB106" s="111">
        <f>L101</f>
        <v>4311035.7434254978</v>
      </c>
      <c r="AC106" s="117"/>
      <c r="AD106" s="117"/>
      <c r="AE106" s="117"/>
      <c r="AF106" s="117"/>
      <c r="AG106" s="117"/>
      <c r="AH106" s="117"/>
      <c r="AI106" s="117"/>
    </row>
    <row r="107" spans="5:69" hidden="1" x14ac:dyDescent="0.3">
      <c r="G107" s="117"/>
      <c r="H107" s="117"/>
      <c r="I107" s="117"/>
      <c r="J107" s="117"/>
      <c r="K107" s="117">
        <v>226</v>
      </c>
      <c r="L107" s="111">
        <f>Санкционирование!AV58</f>
        <v>213871.7200000002</v>
      </c>
      <c r="M107" s="117"/>
      <c r="N107" s="111">
        <f t="shared" si="72"/>
        <v>213871.7200000002</v>
      </c>
      <c r="O107" s="117"/>
      <c r="P107" s="117"/>
      <c r="Q107" s="880"/>
      <c r="R107" s="111"/>
      <c r="S107" s="117"/>
      <c r="T107" s="117"/>
      <c r="U107" s="117"/>
      <c r="V107" s="117">
        <v>212</v>
      </c>
      <c r="W107" s="117"/>
      <c r="X107" s="111">
        <f>L102</f>
        <v>79091.530000000028</v>
      </c>
      <c r="Y107" s="117"/>
      <c r="Z107" s="117"/>
      <c r="AA107" s="117"/>
      <c r="AB107" s="111">
        <f>L102</f>
        <v>79091.530000000028</v>
      </c>
      <c r="AC107" s="117"/>
      <c r="AD107" s="117"/>
      <c r="AE107" s="117"/>
      <c r="AF107" s="117"/>
      <c r="AG107" s="117"/>
      <c r="AH107" s="117"/>
      <c r="AI107" s="117"/>
    </row>
    <row r="108" spans="5:69" hidden="1" x14ac:dyDescent="0.3">
      <c r="G108" s="117"/>
      <c r="H108" s="117"/>
      <c r="I108" s="117"/>
      <c r="J108" s="117"/>
      <c r="K108" s="117">
        <v>290</v>
      </c>
      <c r="L108" s="111">
        <f>Санкционирование!AV60</f>
        <v>1034</v>
      </c>
      <c r="M108" s="117"/>
      <c r="N108" s="111">
        <f t="shared" si="72"/>
        <v>1034</v>
      </c>
      <c r="O108" s="117"/>
      <c r="P108" s="111">
        <v>3814919.6568</v>
      </c>
      <c r="Q108" s="880"/>
      <c r="R108" s="111"/>
      <c r="S108" s="117"/>
      <c r="T108" s="117"/>
      <c r="U108" s="117"/>
      <c r="V108" s="117"/>
      <c r="W108" s="117"/>
      <c r="X108" s="117"/>
      <c r="Y108" s="117"/>
      <c r="Z108" s="117"/>
      <c r="AA108" s="117"/>
      <c r="AB108" s="117"/>
      <c r="AC108" s="117"/>
      <c r="AD108" s="117"/>
      <c r="AE108" s="117"/>
      <c r="AF108" s="117"/>
      <c r="AG108" s="117"/>
      <c r="AH108" s="117"/>
      <c r="AI108" s="117"/>
    </row>
    <row r="109" spans="5:69" hidden="1" x14ac:dyDescent="0.3">
      <c r="G109" s="117"/>
      <c r="H109" s="117"/>
      <c r="I109" s="117"/>
      <c r="J109" s="117"/>
      <c r="K109" s="117">
        <v>310</v>
      </c>
      <c r="L109" s="111">
        <f>Санкционирование!AV62</f>
        <v>73247.479999999981</v>
      </c>
      <c r="M109" s="117"/>
      <c r="N109" s="111">
        <f t="shared" si="72"/>
        <v>73247.479999999981</v>
      </c>
      <c r="O109" s="117"/>
      <c r="P109" s="111">
        <f>P108+L111+L112+L113</f>
        <v>5201006.3068000004</v>
      </c>
      <c r="Q109" s="880"/>
      <c r="R109" s="111"/>
      <c r="S109" s="117"/>
      <c r="T109" s="117"/>
      <c r="U109" s="117"/>
      <c r="V109" s="117"/>
      <c r="W109" s="117"/>
      <c r="X109" s="111">
        <f>X100+X101+X102+X106+X105+X107</f>
        <v>187885462.61477378</v>
      </c>
      <c r="Y109" s="117"/>
      <c r="Z109" s="117"/>
      <c r="AA109" s="117"/>
      <c r="AB109" s="111">
        <f>AB100+AB101+AB105+AB106+AB107</f>
        <v>187885462.60999998</v>
      </c>
      <c r="AC109" s="117"/>
      <c r="AD109" s="117"/>
      <c r="AE109" s="137">
        <f>X109-AB109</f>
        <v>4.7737956047058105E-3</v>
      </c>
      <c r="AF109" s="117"/>
      <c r="AG109" s="117"/>
      <c r="AH109" s="117"/>
      <c r="AI109" s="117"/>
    </row>
    <row r="110" spans="5:69" hidden="1" x14ac:dyDescent="0.3">
      <c r="G110" s="117"/>
      <c r="H110" s="117"/>
      <c r="I110" s="117"/>
      <c r="J110" s="117"/>
      <c r="K110" s="117">
        <v>340</v>
      </c>
      <c r="L110" s="111">
        <f>Санкционирование!AV65</f>
        <v>1096574.299999997</v>
      </c>
      <c r="M110" s="117"/>
      <c r="N110" s="111">
        <f t="shared" si="72"/>
        <v>1096574.299999997</v>
      </c>
      <c r="O110" s="117"/>
      <c r="P110" s="117"/>
      <c r="Q110" s="880"/>
      <c r="R110" s="111"/>
      <c r="S110" s="117"/>
      <c r="T110" s="117"/>
      <c r="U110" s="117"/>
      <c r="V110" s="117"/>
      <c r="W110" s="117"/>
      <c r="X110" s="117"/>
      <c r="Y110" s="117"/>
      <c r="Z110" s="117"/>
      <c r="AA110" s="117"/>
      <c r="AB110" s="117"/>
      <c r="AC110" s="117"/>
      <c r="AD110" s="117"/>
      <c r="AE110" s="117"/>
      <c r="AF110" s="117"/>
      <c r="AG110" s="117"/>
      <c r="AH110" s="117"/>
      <c r="AI110" s="117"/>
    </row>
    <row r="111" spans="5:69" hidden="1" x14ac:dyDescent="0.3">
      <c r="G111" s="117"/>
      <c r="H111" s="117"/>
      <c r="I111" s="117"/>
      <c r="J111" s="117"/>
      <c r="K111" s="117">
        <v>851</v>
      </c>
      <c r="L111" s="111">
        <f>Санкционирование!AV37</f>
        <v>1075176.6200000001</v>
      </c>
      <c r="M111" s="117"/>
      <c r="N111" s="111">
        <f t="shared" si="72"/>
        <v>1075176.6200000001</v>
      </c>
      <c r="O111" s="117"/>
      <c r="P111" s="117"/>
      <c r="Q111" s="880"/>
      <c r="R111" s="111">
        <f>R75-S75</f>
        <v>593808468.51999998</v>
      </c>
      <c r="S111" s="117"/>
      <c r="T111" s="117"/>
      <c r="U111" s="117"/>
      <c r="V111" s="117"/>
      <c r="W111" s="117"/>
      <c r="X111" s="117"/>
      <c r="Y111" s="117"/>
      <c r="Z111" s="117"/>
      <c r="AA111" s="117"/>
      <c r="AB111" s="117"/>
      <c r="AC111" s="117"/>
      <c r="AD111" s="117"/>
      <c r="AE111" s="117"/>
      <c r="AF111" s="117"/>
      <c r="AG111" s="117"/>
      <c r="AH111" s="117"/>
      <c r="AI111" s="117"/>
    </row>
    <row r="112" spans="5:69" hidden="1" x14ac:dyDescent="0.3">
      <c r="G112" s="117"/>
      <c r="H112" s="117"/>
      <c r="I112" s="117"/>
      <c r="J112" s="117"/>
      <c r="K112" s="117">
        <v>852</v>
      </c>
      <c r="L112" s="111">
        <f>Санкционирование!AV38</f>
        <v>209267.46000000002</v>
      </c>
      <c r="M112" s="117"/>
      <c r="N112" s="111">
        <f t="shared" si="72"/>
        <v>209267.46000000002</v>
      </c>
      <c r="O112" s="117"/>
      <c r="P112" s="117"/>
      <c r="Q112" s="880"/>
      <c r="R112" s="111"/>
      <c r="S112" s="117"/>
      <c r="T112" s="117"/>
      <c r="U112" s="117"/>
      <c r="V112" s="117"/>
      <c r="W112" s="117"/>
      <c r="X112" s="117"/>
      <c r="Y112" s="117"/>
      <c r="Z112" s="117"/>
      <c r="AA112" s="117"/>
      <c r="AB112" s="117"/>
      <c r="AC112" s="117"/>
      <c r="AD112" s="117"/>
      <c r="AE112" s="117"/>
      <c r="AF112" s="117"/>
      <c r="AG112" s="117"/>
      <c r="AH112" s="117"/>
      <c r="AI112" s="117"/>
    </row>
    <row r="113" spans="7:35" hidden="1" x14ac:dyDescent="0.3">
      <c r="G113" s="117"/>
      <c r="H113" s="117"/>
      <c r="I113" s="117"/>
      <c r="J113" s="117"/>
      <c r="K113" s="117">
        <v>853</v>
      </c>
      <c r="L113" s="111">
        <f>Санкционирование!AV39</f>
        <v>101642.56999999999</v>
      </c>
      <c r="M113" s="117"/>
      <c r="N113" s="111">
        <f t="shared" si="72"/>
        <v>101642.56999999999</v>
      </c>
      <c r="O113" s="117"/>
      <c r="P113" s="117"/>
      <c r="Q113" s="880"/>
      <c r="R113" s="111"/>
      <c r="S113" s="117"/>
      <c r="T113" s="117"/>
      <c r="U113" s="111">
        <f>1216891000.01-V11</f>
        <v>0</v>
      </c>
      <c r="V113" s="117"/>
      <c r="W113" s="117"/>
      <c r="X113" s="117"/>
      <c r="Y113" s="117"/>
      <c r="Z113" s="117"/>
      <c r="AA113" s="117"/>
      <c r="AB113" s="117"/>
      <c r="AC113" s="117"/>
      <c r="AD113" s="117"/>
      <c r="AE113" s="117"/>
      <c r="AF113" s="117"/>
      <c r="AG113" s="117"/>
      <c r="AH113" s="117"/>
      <c r="AI113" s="117"/>
    </row>
    <row r="114" spans="7:35" hidden="1" x14ac:dyDescent="0.3">
      <c r="G114" s="117"/>
      <c r="H114" s="117"/>
      <c r="I114" s="117"/>
      <c r="J114" s="117"/>
      <c r="K114" s="880" t="s">
        <v>293</v>
      </c>
      <c r="L114" s="111">
        <f>SUM(L100:L113)</f>
        <v>21072590.98</v>
      </c>
      <c r="M114" s="117"/>
      <c r="N114" s="111">
        <f>SUM(N100:N113)</f>
        <v>4548450.4734254964</v>
      </c>
      <c r="O114" s="117"/>
      <c r="P114" s="117"/>
      <c r="Q114" s="880"/>
      <c r="R114" s="111"/>
      <c r="S114" s="117"/>
      <c r="T114" s="117"/>
      <c r="U114" s="117"/>
      <c r="V114" s="117"/>
      <c r="W114" s="117"/>
      <c r="X114" s="117"/>
      <c r="Y114" s="117"/>
      <c r="Z114" s="117"/>
      <c r="AA114" s="117"/>
      <c r="AB114" s="117"/>
      <c r="AC114" s="117"/>
      <c r="AD114" s="117"/>
      <c r="AE114" s="117"/>
      <c r="AF114" s="117"/>
      <c r="AG114" s="117"/>
      <c r="AH114" s="117"/>
      <c r="AI114" s="117"/>
    </row>
    <row r="115" spans="7:35" hidden="1" x14ac:dyDescent="0.3">
      <c r="G115" s="117"/>
      <c r="H115" s="117"/>
      <c r="I115" s="117"/>
      <c r="J115" s="117"/>
      <c r="K115" s="117"/>
      <c r="L115" s="111" t="b">
        <f>L114=Санкционирование!AV22</f>
        <v>1</v>
      </c>
      <c r="M115" s="117"/>
      <c r="N115" s="117"/>
      <c r="O115" s="117"/>
      <c r="P115" s="117"/>
      <c r="Q115" s="880"/>
      <c r="R115" s="117"/>
      <c r="S115" s="117"/>
      <c r="T115" s="117"/>
      <c r="U115" s="117"/>
      <c r="V115" s="117"/>
      <c r="W115" s="117"/>
      <c r="X115" s="117"/>
      <c r="Y115" s="117"/>
      <c r="Z115" s="117"/>
      <c r="AA115" s="117"/>
      <c r="AB115" s="117"/>
      <c r="AC115" s="117"/>
      <c r="AD115" s="117"/>
      <c r="AE115" s="117"/>
      <c r="AF115" s="117"/>
      <c r="AG115" s="117"/>
      <c r="AH115" s="117"/>
      <c r="AI115" s="117"/>
    </row>
    <row r="116" spans="7:35" hidden="1" x14ac:dyDescent="0.3">
      <c r="G116" s="117"/>
      <c r="H116" s="117"/>
      <c r="I116" s="117"/>
      <c r="J116" s="117"/>
      <c r="K116" s="117"/>
      <c r="L116" s="111">
        <f>'[2]декабрь 2018'!$M$39</f>
        <v>21072590.979999892</v>
      </c>
      <c r="M116" s="117"/>
      <c r="N116" s="117"/>
      <c r="O116" s="117"/>
      <c r="P116" s="117"/>
      <c r="Q116" s="880"/>
      <c r="R116" s="117"/>
      <c r="S116" s="117"/>
      <c r="T116" s="117"/>
      <c r="U116" s="117"/>
      <c r="V116" s="117"/>
      <c r="W116" s="117"/>
      <c r="X116" s="117"/>
      <c r="Y116" s="117"/>
      <c r="Z116" s="117"/>
      <c r="AA116" s="117"/>
      <c r="AB116" s="117"/>
      <c r="AC116" s="117"/>
      <c r="AD116" s="117"/>
      <c r="AE116" s="117"/>
      <c r="AF116" s="117"/>
      <c r="AG116" s="117"/>
      <c r="AH116" s="117"/>
      <c r="AI116" s="117"/>
    </row>
    <row r="117" spans="7:35" hidden="1" x14ac:dyDescent="0.3">
      <c r="G117" s="117"/>
      <c r="H117" s="117"/>
      <c r="I117" s="117"/>
      <c r="J117" s="117"/>
      <c r="K117" s="117"/>
      <c r="L117" s="111">
        <f>H75-L114</f>
        <v>9.8605826497077942E-4</v>
      </c>
      <c r="M117" s="117"/>
      <c r="N117" s="117"/>
      <c r="O117" s="117"/>
      <c r="P117" s="117"/>
      <c r="Q117" s="880"/>
      <c r="R117" s="117"/>
      <c r="S117" s="117"/>
      <c r="T117" s="117"/>
      <c r="U117" s="117"/>
      <c r="V117" s="117"/>
      <c r="W117" s="117"/>
      <c r="X117" s="117"/>
      <c r="Y117" s="117"/>
      <c r="Z117" s="117"/>
      <c r="AA117" s="117"/>
      <c r="AB117" s="117"/>
      <c r="AC117" s="117"/>
      <c r="AD117" s="117"/>
      <c r="AE117" s="117"/>
      <c r="AF117" s="117"/>
      <c r="AG117" s="117"/>
      <c r="AH117" s="117"/>
      <c r="AI117" s="117"/>
    </row>
    <row r="118" spans="7:35" hidden="1" x14ac:dyDescent="0.3">
      <c r="G118" s="117"/>
      <c r="H118" s="117"/>
      <c r="I118" s="117"/>
      <c r="J118" s="117"/>
      <c r="K118" s="117"/>
      <c r="L118" s="117"/>
      <c r="M118" s="117"/>
      <c r="N118" s="117"/>
      <c r="O118" s="117"/>
      <c r="P118" s="117"/>
      <c r="Q118" s="117"/>
      <c r="R118" s="117"/>
      <c r="S118" s="117"/>
      <c r="T118" s="117"/>
      <c r="U118" s="117"/>
      <c r="V118" s="117"/>
      <c r="W118" s="117"/>
      <c r="X118" s="117"/>
      <c r="Y118" s="117"/>
      <c r="Z118" s="117"/>
      <c r="AA118" s="117"/>
      <c r="AB118" s="117"/>
      <c r="AC118" s="117"/>
      <c r="AD118" s="117"/>
      <c r="AE118" s="117"/>
      <c r="AF118" s="117"/>
      <c r="AG118" s="117"/>
      <c r="AH118" s="117"/>
      <c r="AI118" s="117"/>
    </row>
    <row r="119" spans="7:35" hidden="1" x14ac:dyDescent="0.3">
      <c r="G119" s="117"/>
      <c r="H119" s="117"/>
      <c r="I119" s="117"/>
      <c r="J119" s="117"/>
      <c r="K119" s="117"/>
      <c r="L119" s="117"/>
      <c r="M119" s="117"/>
      <c r="N119" s="117"/>
      <c r="O119" s="117"/>
      <c r="P119" s="117"/>
      <c r="Q119" s="117"/>
      <c r="R119" s="117"/>
      <c r="S119" s="117"/>
      <c r="T119" s="117"/>
      <c r="U119" s="117"/>
      <c r="V119" s="117"/>
      <c r="W119" s="117"/>
      <c r="X119" s="117"/>
      <c r="Y119" s="117"/>
      <c r="Z119" s="117"/>
      <c r="AA119" s="117"/>
      <c r="AB119" s="117"/>
      <c r="AC119" s="117"/>
      <c r="AD119" s="117"/>
      <c r="AE119" s="117"/>
      <c r="AF119" s="117"/>
      <c r="AG119" s="117"/>
      <c r="AH119" s="117"/>
      <c r="AI119" s="117"/>
    </row>
    <row r="120" spans="7:35" hidden="1" x14ac:dyDescent="0.3">
      <c r="G120" s="117"/>
      <c r="H120" s="117"/>
      <c r="I120" s="117"/>
      <c r="J120" s="117"/>
      <c r="K120" s="117"/>
      <c r="L120" s="117"/>
      <c r="M120" s="117"/>
      <c r="N120" s="117"/>
      <c r="O120" s="117"/>
      <c r="P120" s="117"/>
      <c r="Q120" s="117"/>
      <c r="R120" s="117"/>
      <c r="S120" s="117"/>
      <c r="T120" s="117"/>
      <c r="U120" s="117"/>
      <c r="V120" s="117"/>
      <c r="W120" s="117"/>
      <c r="X120" s="117"/>
      <c r="Y120" s="117"/>
      <c r="Z120" s="117"/>
      <c r="AA120" s="117"/>
      <c r="AB120" s="117"/>
      <c r="AC120" s="117"/>
      <c r="AD120" s="117"/>
      <c r="AE120" s="117"/>
      <c r="AF120" s="117"/>
      <c r="AG120" s="117"/>
      <c r="AH120" s="117"/>
      <c r="AI120" s="117"/>
    </row>
    <row r="121" spans="7:35" hidden="1" x14ac:dyDescent="0.3">
      <c r="G121" s="117"/>
      <c r="H121" s="117"/>
      <c r="I121" s="117"/>
      <c r="J121" s="117"/>
      <c r="K121" s="117"/>
      <c r="L121" s="117"/>
      <c r="M121" s="117"/>
      <c r="N121" s="117"/>
      <c r="O121" s="117"/>
      <c r="P121" s="117"/>
      <c r="Q121" s="117"/>
      <c r="R121" s="117"/>
      <c r="S121" s="117"/>
      <c r="T121" s="117"/>
      <c r="U121" s="117"/>
      <c r="V121" s="117"/>
      <c r="W121" s="117"/>
      <c r="X121" s="117"/>
      <c r="Y121" s="117"/>
      <c r="Z121" s="117"/>
      <c r="AA121" s="117"/>
      <c r="AB121" s="117"/>
      <c r="AC121" s="117"/>
      <c r="AD121" s="117"/>
      <c r="AE121" s="117"/>
      <c r="AF121" s="117"/>
      <c r="AG121" s="117"/>
      <c r="AH121" s="117"/>
      <c r="AI121" s="117"/>
    </row>
    <row r="122" spans="7:35" hidden="1" x14ac:dyDescent="0.3">
      <c r="G122" s="117"/>
      <c r="H122" s="117"/>
      <c r="I122" s="117"/>
      <c r="J122" s="117"/>
      <c r="K122" s="117"/>
      <c r="L122" s="117"/>
      <c r="M122" s="117"/>
      <c r="N122" s="117"/>
      <c r="O122" s="117"/>
      <c r="P122" s="117"/>
      <c r="Q122" s="117"/>
      <c r="R122" s="117"/>
      <c r="S122" s="117"/>
      <c r="T122" s="117"/>
      <c r="U122" s="117"/>
      <c r="V122" s="117"/>
      <c r="W122" s="117"/>
      <c r="X122" s="117"/>
      <c r="Y122" s="117"/>
      <c r="Z122" s="117"/>
      <c r="AA122" s="117"/>
      <c r="AB122" s="117"/>
      <c r="AC122" s="117"/>
      <c r="AD122" s="117"/>
      <c r="AE122" s="117"/>
      <c r="AF122" s="117"/>
      <c r="AG122" s="117"/>
      <c r="AH122" s="117"/>
      <c r="AI122" s="117"/>
    </row>
  </sheetData>
  <mergeCells count="53">
    <mergeCell ref="A6:A9"/>
    <mergeCell ref="B6:B9"/>
    <mergeCell ref="C6:C9"/>
    <mergeCell ref="D6:AX6"/>
    <mergeCell ref="D7:D9"/>
    <mergeCell ref="E7:E9"/>
    <mergeCell ref="F7:F9"/>
    <mergeCell ref="G7:AX7"/>
    <mergeCell ref="G8:G9"/>
    <mergeCell ref="H8:H9"/>
    <mergeCell ref="B26:B28"/>
    <mergeCell ref="B29:B32"/>
    <mergeCell ref="AG8:AG9"/>
    <mergeCell ref="AH8:AH9"/>
    <mergeCell ref="AI8:AI9"/>
    <mergeCell ref="AA8:AA9"/>
    <mergeCell ref="AB8:AB9"/>
    <mergeCell ref="AC8:AC9"/>
    <mergeCell ref="AD8:AD9"/>
    <mergeCell ref="AE8:AE9"/>
    <mergeCell ref="AF8:AF9"/>
    <mergeCell ref="U8:U9"/>
    <mergeCell ref="V8:V9"/>
    <mergeCell ref="W8:W9"/>
    <mergeCell ref="X8:X9"/>
    <mergeCell ref="Y8:Y9"/>
    <mergeCell ref="C52:C54"/>
    <mergeCell ref="BG8:BH8"/>
    <mergeCell ref="BI8:BJ8"/>
    <mergeCell ref="BQ8:BR8"/>
    <mergeCell ref="BS8:BT8"/>
    <mergeCell ref="AJ8:AJ9"/>
    <mergeCell ref="AK8:AK9"/>
    <mergeCell ref="AL8:AX8"/>
    <mergeCell ref="Z8:Z9"/>
    <mergeCell ref="I8:I9"/>
    <mergeCell ref="J8:P8"/>
    <mergeCell ref="Q8:Q9"/>
    <mergeCell ref="R8:R9"/>
    <mergeCell ref="S8:S9"/>
    <mergeCell ref="T8:T9"/>
    <mergeCell ref="A31:A32"/>
    <mergeCell ref="B36:B40"/>
    <mergeCell ref="B42:B44"/>
    <mergeCell ref="B45:B46"/>
    <mergeCell ref="A52:A55"/>
    <mergeCell ref="C56:C58"/>
    <mergeCell ref="A60:A61"/>
    <mergeCell ref="A62:A63"/>
    <mergeCell ref="B62:B63"/>
    <mergeCell ref="A65:A66"/>
    <mergeCell ref="B65:B66"/>
    <mergeCell ref="A56:A59"/>
  </mergeCells>
  <pageMargins left="0" right="0" top="0.31496062992125984" bottom="0.15748031496062992" header="0.19685039370078741" footer="0.15748031496062992"/>
  <pageSetup paperSize="8" scale="48" fitToWidth="0" orientation="landscape" r:id="rId1"/>
  <rowBreaks count="1" manualBreakCount="1">
    <brk id="35" max="38" man="1"/>
  </rowBreaks>
  <legacy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E171"/>
  <sheetViews>
    <sheetView showZeros="0" topLeftCell="A37" zoomScaleNormal="100" workbookViewId="0">
      <selection activeCell="AG44" sqref="AG44"/>
    </sheetView>
  </sheetViews>
  <sheetFormatPr defaultRowHeight="15" x14ac:dyDescent="0.25"/>
  <cols>
    <col min="1" max="1" width="39.140625" style="472" customWidth="1"/>
    <col min="2" max="2" width="16.28515625" style="472" customWidth="1"/>
    <col min="3" max="3" width="17.28515625" style="472" customWidth="1"/>
    <col min="4" max="4" width="20.85546875" style="472" customWidth="1"/>
    <col min="5" max="5" width="19.85546875" style="472" customWidth="1"/>
    <col min="6" max="6" width="23" style="472" hidden="1" customWidth="1"/>
    <col min="7" max="7" width="0" style="472" hidden="1" customWidth="1"/>
    <col min="8" max="8" width="14.7109375" style="472" hidden="1" customWidth="1"/>
    <col min="9" max="9" width="13.28515625" style="472" hidden="1" customWidth="1"/>
    <col min="10" max="10" width="12.42578125" style="472" hidden="1" customWidth="1"/>
    <col min="11" max="11" width="0" style="472" hidden="1" customWidth="1"/>
    <col min="12" max="12" width="33" style="472" hidden="1" customWidth="1"/>
    <col min="13" max="29" width="0" style="472" hidden="1" customWidth="1"/>
    <col min="30" max="30" width="13.5703125" style="472" bestFit="1" customWidth="1"/>
    <col min="31" max="31" width="16.42578125" style="472" customWidth="1"/>
    <col min="32" max="16384" width="9.140625" style="472"/>
  </cols>
  <sheetData>
    <row r="1" spans="1:6" ht="15.75" x14ac:dyDescent="0.25">
      <c r="E1" s="488" t="s">
        <v>425</v>
      </c>
    </row>
    <row r="2" spans="1:6" ht="18.75" x14ac:dyDescent="0.25">
      <c r="A2" s="489"/>
    </row>
    <row r="3" spans="1:6" ht="18.75" x14ac:dyDescent="0.25">
      <c r="A3" s="1543" t="s">
        <v>426</v>
      </c>
      <c r="B3" s="1543"/>
      <c r="C3" s="1543"/>
      <c r="D3" s="1543"/>
      <c r="E3" s="1543"/>
    </row>
    <row r="4" spans="1:6" ht="18.75" x14ac:dyDescent="0.25">
      <c r="A4" s="1543" t="s">
        <v>427</v>
      </c>
      <c r="B4" s="1543"/>
      <c r="C4" s="1543"/>
      <c r="D4" s="1543"/>
      <c r="E4" s="1543"/>
    </row>
    <row r="5" spans="1:6" ht="18.75" x14ac:dyDescent="0.25">
      <c r="A5" s="1543" t="s">
        <v>428</v>
      </c>
      <c r="B5" s="1543"/>
      <c r="C5" s="1543"/>
      <c r="D5" s="1543"/>
      <c r="E5" s="1543"/>
    </row>
    <row r="6" spans="1:6" ht="150" customHeight="1" x14ac:dyDescent="0.25">
      <c r="A6" s="1519" t="s">
        <v>482</v>
      </c>
      <c r="B6" s="1519"/>
      <c r="C6" s="1519"/>
      <c r="D6" s="1519"/>
      <c r="E6" s="1519"/>
    </row>
    <row r="7" spans="1:6" ht="64.5" customHeight="1" x14ac:dyDescent="0.25">
      <c r="A7" s="1520" t="s">
        <v>483</v>
      </c>
      <c r="B7" s="1520"/>
      <c r="C7" s="1520"/>
      <c r="D7" s="1520"/>
      <c r="E7" s="1520"/>
      <c r="F7"/>
    </row>
    <row r="8" spans="1:6" ht="19.5" customHeight="1" thickBot="1" x14ac:dyDescent="0.3">
      <c r="A8" s="549"/>
      <c r="B8" s="549"/>
      <c r="C8" s="549"/>
      <c r="D8" s="549"/>
      <c r="E8" s="552" t="s">
        <v>408</v>
      </c>
      <c r="F8" s="551"/>
    </row>
    <row r="9" spans="1:6" ht="50.25" customHeight="1" thickBot="1" x14ac:dyDescent="0.3">
      <c r="A9" s="1521" t="s">
        <v>486</v>
      </c>
      <c r="B9" s="1522"/>
      <c r="C9" s="1523"/>
      <c r="D9" s="1524">
        <v>672053700</v>
      </c>
      <c r="E9" s="1525"/>
      <c r="F9" s="550"/>
    </row>
    <row r="10" spans="1:6" ht="63.75" customHeight="1" thickBot="1" x14ac:dyDescent="0.3">
      <c r="A10" s="1526" t="s">
        <v>485</v>
      </c>
      <c r="B10" s="1527"/>
      <c r="C10" s="1528"/>
      <c r="D10" s="1534" t="s">
        <v>502</v>
      </c>
      <c r="E10" s="1535"/>
      <c r="F10" s="550"/>
    </row>
    <row r="11" spans="1:6" ht="49.5" customHeight="1" thickBot="1" x14ac:dyDescent="0.3">
      <c r="A11" s="1521" t="s">
        <v>487</v>
      </c>
      <c r="B11" s="1522"/>
      <c r="C11" s="1523"/>
      <c r="D11" s="1524">
        <f>D9+D10</f>
        <v>824053700</v>
      </c>
      <c r="E11" s="1531"/>
      <c r="F11" s="550"/>
    </row>
    <row r="13" spans="1:6" ht="39" customHeight="1" x14ac:dyDescent="0.25">
      <c r="A13" s="1544" t="s">
        <v>453</v>
      </c>
      <c r="B13" s="1544"/>
      <c r="C13" s="1544"/>
      <c r="D13" s="1544"/>
      <c r="E13" s="1544"/>
    </row>
    <row r="14" spans="1:6" ht="23.25" customHeight="1" thickBot="1" x14ac:dyDescent="0.3">
      <c r="A14" s="473"/>
      <c r="B14" s="473"/>
      <c r="C14" s="473"/>
      <c r="D14" s="473"/>
      <c r="E14" s="474" t="s">
        <v>408</v>
      </c>
      <c r="F14" s="475"/>
    </row>
    <row r="15" spans="1:6" ht="16.5" customHeight="1" x14ac:dyDescent="0.25">
      <c r="A15" s="1545" t="s">
        <v>88</v>
      </c>
      <c r="B15" s="1545" t="s">
        <v>409</v>
      </c>
      <c r="C15" s="1545" t="s">
        <v>410</v>
      </c>
      <c r="D15" s="1545" t="s">
        <v>411</v>
      </c>
      <c r="E15" s="1545" t="s">
        <v>412</v>
      </c>
      <c r="F15" s="475"/>
    </row>
    <row r="16" spans="1:6" ht="16.5" customHeight="1" x14ac:dyDescent="0.25">
      <c r="A16" s="1546"/>
      <c r="B16" s="1546"/>
      <c r="C16" s="1546"/>
      <c r="D16" s="1546"/>
      <c r="E16" s="1546"/>
      <c r="F16" s="475"/>
    </row>
    <row r="17" spans="1:6" ht="21" customHeight="1" thickBot="1" x14ac:dyDescent="0.3">
      <c r="A17" s="1547"/>
      <c r="B17" s="1547"/>
      <c r="C17" s="1547"/>
      <c r="D17" s="1548"/>
      <c r="E17" s="476" t="s">
        <v>413</v>
      </c>
      <c r="F17" s="475"/>
    </row>
    <row r="18" spans="1:6" ht="39.75" customHeight="1" thickBot="1" x14ac:dyDescent="0.3">
      <c r="A18" s="477" t="s">
        <v>414</v>
      </c>
      <c r="B18" s="478">
        <v>110</v>
      </c>
      <c r="C18" s="483">
        <f>C20+C21+C22</f>
        <v>187885462.60657451</v>
      </c>
      <c r="D18" s="485">
        <f>E18-C18</f>
        <v>3.4255087375640869E-3</v>
      </c>
      <c r="E18" s="485">
        <f>E20+E21+E22</f>
        <v>187885462.61000001</v>
      </c>
      <c r="F18" s="475"/>
    </row>
    <row r="19" spans="1:6" ht="16.5" thickBot="1" x14ac:dyDescent="0.3">
      <c r="A19" s="479" t="s">
        <v>92</v>
      </c>
      <c r="B19" s="480"/>
      <c r="C19" s="481"/>
      <c r="D19" s="478"/>
      <c r="E19" s="476"/>
      <c r="F19" s="475"/>
    </row>
    <row r="20" spans="1:6" ht="24" customHeight="1" thickBot="1" x14ac:dyDescent="0.3">
      <c r="A20" s="479" t="s">
        <v>415</v>
      </c>
      <c r="B20" s="481">
        <v>111</v>
      </c>
      <c r="C20" s="482">
        <f>'ПФХД 2019 с разбивкой '!G26</f>
        <v>143436558.52657449</v>
      </c>
      <c r="D20" s="484">
        <f>E20-C20</f>
        <v>3.4255087375640869E-3</v>
      </c>
      <c r="E20" s="484">
        <f>'ПФХД 2019 с разбивкой '!H26</f>
        <v>143436558.53</v>
      </c>
      <c r="F20" s="475"/>
    </row>
    <row r="21" spans="1:6" ht="33" customHeight="1" thickBot="1" x14ac:dyDescent="0.3">
      <c r="A21" s="479" t="s">
        <v>416</v>
      </c>
      <c r="B21" s="481">
        <v>119</v>
      </c>
      <c r="C21" s="482">
        <f>'ПФХД 2019 с разбивкой '!G27</f>
        <v>43924235.740000002</v>
      </c>
      <c r="D21" s="484">
        <f>E21-C21</f>
        <v>0</v>
      </c>
      <c r="E21" s="484">
        <f>'ПФХД 2019 с разбивкой '!H27</f>
        <v>43924235.740000002</v>
      </c>
      <c r="F21" s="475"/>
    </row>
    <row r="22" spans="1:6" ht="42.75" customHeight="1" thickBot="1" x14ac:dyDescent="0.3">
      <c r="A22" s="479" t="s">
        <v>417</v>
      </c>
      <c r="B22" s="481">
        <v>112</v>
      </c>
      <c r="C22" s="482">
        <f>'ПФХД 2019 с разбивкой '!G28</f>
        <v>524668.34</v>
      </c>
      <c r="D22" s="484">
        <f>E22-C22</f>
        <v>0</v>
      </c>
      <c r="E22" s="482">
        <f>'ПФХД 2019 с разбивкой '!H28</f>
        <v>524668.34</v>
      </c>
      <c r="F22" s="475"/>
    </row>
    <row r="23" spans="1:6" ht="40.5" customHeight="1" thickBot="1" x14ac:dyDescent="0.3">
      <c r="A23" s="477" t="s">
        <v>418</v>
      </c>
      <c r="B23" s="478">
        <v>850</v>
      </c>
      <c r="C23" s="483">
        <f>C25+C27+C28</f>
        <v>5201007.6000000006</v>
      </c>
      <c r="D23" s="484">
        <f t="shared" ref="D23" si="0">E23-C23</f>
        <v>0</v>
      </c>
      <c r="E23" s="483">
        <f>E25+E27+E28</f>
        <v>5201007.6000000006</v>
      </c>
      <c r="F23" s="475"/>
    </row>
    <row r="24" spans="1:6" ht="16.5" thickBot="1" x14ac:dyDescent="0.3">
      <c r="A24" s="479" t="s">
        <v>92</v>
      </c>
      <c r="B24" s="480"/>
      <c r="C24" s="481"/>
      <c r="D24" s="478"/>
      <c r="E24" s="476"/>
      <c r="F24" s="475"/>
    </row>
    <row r="25" spans="1:6" ht="21.75" customHeight="1" x14ac:dyDescent="0.25">
      <c r="A25" s="1539" t="s">
        <v>171</v>
      </c>
      <c r="B25" s="1541">
        <v>851</v>
      </c>
      <c r="C25" s="1537">
        <f>'ПФХД 2019 с разбивкой '!G38</f>
        <v>4890097.57</v>
      </c>
      <c r="D25" s="1537">
        <f>E25-C25</f>
        <v>0</v>
      </c>
      <c r="E25" s="1537">
        <f>'ПФХД 2019 с разбивкой '!H38</f>
        <v>4890097.57</v>
      </c>
      <c r="F25" s="1536"/>
    </row>
    <row r="26" spans="1:6" ht="15.75" thickBot="1" x14ac:dyDescent="0.3">
      <c r="A26" s="1540"/>
      <c r="B26" s="1542"/>
      <c r="C26" s="1538"/>
      <c r="D26" s="1542"/>
      <c r="E26" s="1538">
        <v>5545243.1200000001</v>
      </c>
      <c r="F26" s="1536"/>
    </row>
    <row r="27" spans="1:6" ht="24.75" customHeight="1" thickBot="1" x14ac:dyDescent="0.3">
      <c r="A27" s="479" t="s">
        <v>172</v>
      </c>
      <c r="B27" s="481">
        <v>852</v>
      </c>
      <c r="C27" s="482">
        <f>'ПФХД 2019 с разбивкой '!G39</f>
        <v>209267.46000000002</v>
      </c>
      <c r="D27" s="484">
        <f>E27-C27</f>
        <v>0</v>
      </c>
      <c r="E27" s="482">
        <f>'ПФХД 2019 с разбивкой '!H39</f>
        <v>209267.46</v>
      </c>
      <c r="F27" s="475"/>
    </row>
    <row r="28" spans="1:6" ht="28.5" customHeight="1" thickBot="1" x14ac:dyDescent="0.3">
      <c r="A28" s="479" t="s">
        <v>173</v>
      </c>
      <c r="B28" s="481">
        <v>853</v>
      </c>
      <c r="C28" s="482">
        <f>'ПФХД 2019 с разбивкой '!G40</f>
        <v>101642.56999999999</v>
      </c>
      <c r="D28" s="484">
        <f>E28-C28</f>
        <v>0</v>
      </c>
      <c r="E28" s="482">
        <f>'ПФХД 2019 с разбивкой '!H40</f>
        <v>101642.57</v>
      </c>
      <c r="F28" s="475"/>
    </row>
    <row r="29" spans="1:6" ht="36.75" customHeight="1" thickBot="1" x14ac:dyDescent="0.3">
      <c r="A29" s="477" t="s">
        <v>176</v>
      </c>
      <c r="B29" s="478">
        <v>240</v>
      </c>
      <c r="C29" s="483">
        <f>C31+C32+C33+C34+C36+C37+C35</f>
        <v>46655720.769999996</v>
      </c>
      <c r="D29" s="483">
        <f>E29-C29</f>
        <v>0</v>
      </c>
      <c r="E29" s="485">
        <f>E31+E32+E33+E34+E36+E37+E35</f>
        <v>46655720.769999996</v>
      </c>
      <c r="F29" s="475"/>
    </row>
    <row r="30" spans="1:6" ht="16.5" thickBot="1" x14ac:dyDescent="0.3">
      <c r="A30" s="479" t="s">
        <v>92</v>
      </c>
      <c r="B30" s="480"/>
      <c r="C30" s="481"/>
      <c r="D30" s="478"/>
      <c r="E30" s="476"/>
      <c r="F30" s="475"/>
    </row>
    <row r="31" spans="1:6" ht="26.25" customHeight="1" thickBot="1" x14ac:dyDescent="0.3">
      <c r="A31" s="479" t="s">
        <v>419</v>
      </c>
      <c r="B31" s="481">
        <v>221</v>
      </c>
      <c r="C31" s="482">
        <f>'ПФХД 2019 с разбивкой '!G48</f>
        <v>935479.38</v>
      </c>
      <c r="D31" s="482">
        <f>E31-C31</f>
        <v>0</v>
      </c>
      <c r="E31" s="482">
        <f>'ПФХД 2019 с разбивкой '!H48</f>
        <v>935479.38</v>
      </c>
      <c r="F31" s="475"/>
    </row>
    <row r="32" spans="1:6" ht="30" customHeight="1" thickBot="1" x14ac:dyDescent="0.3">
      <c r="A32" s="479" t="s">
        <v>420</v>
      </c>
      <c r="B32" s="481">
        <v>223</v>
      </c>
      <c r="C32" s="482">
        <f>'ПФХД 2019 с разбивкой '!G50</f>
        <v>11180271.91</v>
      </c>
      <c r="D32" s="482">
        <f t="shared" ref="D32:D39" si="1">E32-C32</f>
        <v>0</v>
      </c>
      <c r="E32" s="482">
        <f>'ПФХД 2019 с разбивкой '!H50</f>
        <v>11180271.91</v>
      </c>
      <c r="F32" s="475"/>
    </row>
    <row r="33" spans="1:16" ht="41.25" customHeight="1" thickBot="1" x14ac:dyDescent="0.3">
      <c r="A33" s="479" t="s">
        <v>421</v>
      </c>
      <c r="B33" s="481">
        <v>225</v>
      </c>
      <c r="C33" s="482">
        <f>'ПФХД 2019 с разбивкой '!G55</f>
        <v>6515818.2999999998</v>
      </c>
      <c r="D33" s="482">
        <f t="shared" si="1"/>
        <v>0</v>
      </c>
      <c r="E33" s="482">
        <f>'ПФХД 2019 с разбивкой '!H55</f>
        <v>6515818.2999999998</v>
      </c>
      <c r="F33" s="475"/>
    </row>
    <row r="34" spans="1:16" ht="32.25" customHeight="1" thickBot="1" x14ac:dyDescent="0.3">
      <c r="A34" s="479" t="s">
        <v>422</v>
      </c>
      <c r="B34" s="481">
        <v>226</v>
      </c>
      <c r="C34" s="482">
        <f>'ПФХД 2019 с разбивкой '!G59</f>
        <v>3819615.4699999997</v>
      </c>
      <c r="D34" s="482">
        <f t="shared" si="1"/>
        <v>0</v>
      </c>
      <c r="E34" s="482">
        <f>'ПФХД 2019 с разбивкой '!H59</f>
        <v>3819615.4699999997</v>
      </c>
      <c r="F34" s="475"/>
    </row>
    <row r="35" spans="1:16" ht="32.25" customHeight="1" thickBot="1" x14ac:dyDescent="0.3">
      <c r="A35" s="536" t="s">
        <v>184</v>
      </c>
      <c r="B35" s="481">
        <v>290</v>
      </c>
      <c r="C35" s="482">
        <f>'ПФХД 2019 с разбивкой '!G61</f>
        <v>1034</v>
      </c>
      <c r="D35" s="482">
        <f t="shared" si="1"/>
        <v>0</v>
      </c>
      <c r="E35" s="482">
        <f>'ПФХД 2019 с разбивкой '!H61</f>
        <v>1034</v>
      </c>
      <c r="F35" s="475"/>
    </row>
    <row r="36" spans="1:16" ht="39.75" customHeight="1" thickBot="1" x14ac:dyDescent="0.3">
      <c r="A36" s="479" t="s">
        <v>423</v>
      </c>
      <c r="B36" s="481">
        <v>310</v>
      </c>
      <c r="C36" s="482">
        <f>'ПФХД 2019 с разбивкой '!G63</f>
        <v>2019992.7</v>
      </c>
      <c r="D36" s="482">
        <f t="shared" si="1"/>
        <v>0</v>
      </c>
      <c r="E36" s="482">
        <f>'ПФХД 2019 с разбивкой '!H63</f>
        <v>2019992.7000000002</v>
      </c>
      <c r="F36" s="475"/>
    </row>
    <row r="37" spans="1:16" ht="36" customHeight="1" thickBot="1" x14ac:dyDescent="0.3">
      <c r="A37" s="479" t="s">
        <v>424</v>
      </c>
      <c r="B37" s="481">
        <v>340</v>
      </c>
      <c r="C37" s="482">
        <f>'ПФХД 2019 с разбивкой '!G66</f>
        <v>22183509.009999998</v>
      </c>
      <c r="D37" s="482">
        <f t="shared" si="1"/>
        <v>0</v>
      </c>
      <c r="E37" s="482">
        <f>'ПФХД 2019 с разбивкой '!H66</f>
        <v>22183509.009999998</v>
      </c>
      <c r="F37" s="475"/>
    </row>
    <row r="38" spans="1:16" ht="27" customHeight="1" thickBot="1" x14ac:dyDescent="0.3">
      <c r="A38" s="477" t="s">
        <v>160</v>
      </c>
      <c r="B38" s="478" t="s">
        <v>149</v>
      </c>
      <c r="C38" s="483">
        <f>C18+C23+C29</f>
        <v>239742190.97657448</v>
      </c>
      <c r="D38" s="483">
        <f t="shared" si="1"/>
        <v>3.4255385398864746E-3</v>
      </c>
      <c r="E38" s="483">
        <f>E18+E23+E29</f>
        <v>239742190.98000002</v>
      </c>
      <c r="F38" s="475"/>
    </row>
    <row r="39" spans="1:16" ht="31.5" customHeight="1" thickBot="1" x14ac:dyDescent="0.3">
      <c r="A39" s="477" t="s">
        <v>194</v>
      </c>
      <c r="B39" s="478" t="s">
        <v>149</v>
      </c>
      <c r="C39" s="483">
        <f>'ПФХД 2019 с разбивкой '!G75</f>
        <v>21072590.976574481</v>
      </c>
      <c r="D39" s="483">
        <f t="shared" si="1"/>
        <v>3.4255385398864746E-3</v>
      </c>
      <c r="E39" s="483">
        <f>'ПФХД 2019 с разбивкой '!H75</f>
        <v>21072590.980000019</v>
      </c>
      <c r="F39" s="475"/>
    </row>
    <row r="40" spans="1:16" ht="27.75" customHeight="1" thickBot="1" x14ac:dyDescent="0.3">
      <c r="A40" s="477" t="s">
        <v>195</v>
      </c>
      <c r="B40" s="478" t="s">
        <v>149</v>
      </c>
      <c r="C40" s="509">
        <f>'ПФХД 2019 с разбивкой '!G11+пояснительная!C39-пояснительная!C38</f>
        <v>0</v>
      </c>
      <c r="D40" s="509">
        <f>SUM(D18:D39)</f>
        <v>1.3702094554901123E-2</v>
      </c>
      <c r="E40" s="508">
        <f>'ПФХД 2019 с разбивкой '!H11+пояснительная!E39-пояснительная!E38</f>
        <v>0</v>
      </c>
      <c r="F40" s="475"/>
    </row>
    <row r="41" spans="1:16" ht="20.25" customHeight="1" x14ac:dyDescent="0.25">
      <c r="A41" s="510"/>
      <c r="B41" s="511"/>
      <c r="C41" s="512"/>
      <c r="D41" s="512"/>
      <c r="E41" s="513"/>
      <c r="F41" s="475"/>
      <c r="L41" s="1519" t="s">
        <v>463</v>
      </c>
      <c r="M41" s="1519"/>
      <c r="N41" s="1519"/>
      <c r="O41" s="1519"/>
      <c r="P41" s="1519"/>
    </row>
    <row r="42" spans="1:16" ht="44.25" customHeight="1" x14ac:dyDescent="0.25">
      <c r="A42" s="1519" t="s">
        <v>466</v>
      </c>
      <c r="B42" s="1519"/>
      <c r="C42" s="1519"/>
      <c r="D42" s="1519"/>
      <c r="E42" s="1519"/>
      <c r="F42" s="475"/>
      <c r="L42" s="1519" t="s">
        <v>464</v>
      </c>
      <c r="M42" s="1519"/>
      <c r="N42" s="1519"/>
      <c r="O42" s="1519"/>
      <c r="P42" s="1519"/>
    </row>
    <row r="43" spans="1:16" ht="59.25" customHeight="1" x14ac:dyDescent="0.25">
      <c r="A43" s="1518" t="s">
        <v>467</v>
      </c>
      <c r="B43" s="1518"/>
      <c r="C43" s="1518"/>
      <c r="D43" s="1518"/>
      <c r="E43" s="1518"/>
      <c r="F43" s="475"/>
      <c r="G43" s="475"/>
      <c r="L43" s="559"/>
      <c r="M43" s="559"/>
      <c r="N43" s="559"/>
      <c r="O43" s="559"/>
      <c r="P43" s="559"/>
    </row>
    <row r="44" spans="1:16" ht="44.25" customHeight="1" x14ac:dyDescent="0.25">
      <c r="A44" s="1518" t="s">
        <v>478</v>
      </c>
      <c r="B44" s="1518">
        <v>57.3</v>
      </c>
      <c r="C44" s="1518"/>
      <c r="D44" s="1518"/>
      <c r="E44" s="1518"/>
      <c r="L44" s="559" t="s">
        <v>468</v>
      </c>
      <c r="M44" s="559"/>
      <c r="N44" s="559"/>
      <c r="O44" s="559"/>
      <c r="P44" s="559"/>
    </row>
    <row r="45" spans="1:16" ht="60.75" customHeight="1" x14ac:dyDescent="0.25">
      <c r="A45" s="1519" t="s">
        <v>454</v>
      </c>
      <c r="B45" s="1519"/>
      <c r="C45" s="1519"/>
      <c r="D45" s="1519"/>
      <c r="E45" s="1519"/>
      <c r="L45" s="1519" t="s">
        <v>465</v>
      </c>
      <c r="M45" s="1519"/>
      <c r="N45" s="1519"/>
      <c r="O45" s="1519"/>
      <c r="P45" s="1519"/>
    </row>
    <row r="46" spans="1:16" ht="28.5" customHeight="1" x14ac:dyDescent="0.25">
      <c r="A46" s="1518" t="s">
        <v>469</v>
      </c>
      <c r="B46" s="1518"/>
      <c r="C46" s="1518"/>
      <c r="D46" s="1518"/>
      <c r="E46" s="1518"/>
      <c r="L46" s="559"/>
      <c r="M46" s="559"/>
      <c r="N46" s="559"/>
      <c r="O46" s="559"/>
      <c r="P46" s="559"/>
    </row>
    <row r="47" spans="1:16" ht="42" customHeight="1" x14ac:dyDescent="0.25">
      <c r="A47" s="1518" t="s">
        <v>473</v>
      </c>
      <c r="B47" s="1518"/>
      <c r="C47" s="1518"/>
      <c r="D47" s="1518"/>
      <c r="E47" s="1518"/>
      <c r="L47" s="559"/>
      <c r="M47" s="559"/>
      <c r="N47" s="559"/>
      <c r="O47" s="559"/>
      <c r="P47" s="559"/>
    </row>
    <row r="48" spans="1:16" ht="42.75" customHeight="1" x14ac:dyDescent="0.25">
      <c r="A48" s="1518" t="s">
        <v>474</v>
      </c>
      <c r="B48" s="1518"/>
      <c r="C48" s="1518"/>
      <c r="D48" s="1518"/>
      <c r="E48" s="1518"/>
      <c r="L48" s="559"/>
      <c r="M48" s="559"/>
      <c r="N48" s="559"/>
      <c r="O48" s="559"/>
      <c r="P48" s="559"/>
    </row>
    <row r="49" spans="1:9" x14ac:dyDescent="0.25">
      <c r="C49" s="487"/>
    </row>
    <row r="50" spans="1:9" ht="57.75" customHeight="1" x14ac:dyDescent="0.25">
      <c r="A50" s="1520" t="s">
        <v>452</v>
      </c>
      <c r="B50" s="1520"/>
      <c r="C50" s="1520"/>
      <c r="D50" s="1520"/>
      <c r="E50" s="1520"/>
    </row>
    <row r="51" spans="1:9" ht="21.75" customHeight="1" thickBot="1" x14ac:dyDescent="0.3">
      <c r="A51" s="549"/>
      <c r="B51" s="549"/>
      <c r="C51" s="549"/>
      <c r="D51" s="549"/>
      <c r="E51" s="552" t="s">
        <v>408</v>
      </c>
    </row>
    <row r="52" spans="1:9" ht="46.5" customHeight="1" thickBot="1" x14ac:dyDescent="0.3">
      <c r="A52" s="1521" t="s">
        <v>451</v>
      </c>
      <c r="B52" s="1522"/>
      <c r="C52" s="1523"/>
      <c r="D52" s="1524">
        <f>'ПФХД 2019 с разбивкой '!AL11</f>
        <v>389458704.59170002</v>
      </c>
      <c r="E52" s="1525"/>
    </row>
    <row r="53" spans="1:9" ht="55.5" customHeight="1" thickBot="1" x14ac:dyDescent="0.3">
      <c r="A53" s="1526" t="s">
        <v>451</v>
      </c>
      <c r="B53" s="1527"/>
      <c r="C53" s="1528"/>
      <c r="D53" s="1529">
        <f>'ПФХД 2019 с разбивкой '!AN11</f>
        <v>-1.1700034141540527E-2</v>
      </c>
      <c r="E53" s="1530"/>
    </row>
    <row r="54" spans="1:9" ht="54.75" customHeight="1" thickBot="1" x14ac:dyDescent="0.3">
      <c r="A54" s="1521" t="s">
        <v>451</v>
      </c>
      <c r="B54" s="1522"/>
      <c r="C54" s="1523"/>
      <c r="D54" s="1524">
        <f>D52+D53</f>
        <v>389458704.57999998</v>
      </c>
      <c r="E54" s="1531"/>
    </row>
    <row r="55" spans="1:9" x14ac:dyDescent="0.25">
      <c r="C55" s="487"/>
    </row>
    <row r="56" spans="1:9" x14ac:dyDescent="0.25">
      <c r="C56" s="487"/>
    </row>
    <row r="57" spans="1:9" ht="51" customHeight="1" x14ac:dyDescent="0.25">
      <c r="A57" s="1520" t="s">
        <v>429</v>
      </c>
      <c r="B57" s="1520"/>
      <c r="C57" s="1520"/>
      <c r="D57" s="1520"/>
      <c r="E57" s="1520"/>
    </row>
    <row r="58" spans="1:9" ht="15.75" thickBot="1" x14ac:dyDescent="0.3"/>
    <row r="59" spans="1:9" ht="31.5" x14ac:dyDescent="0.25">
      <c r="A59" s="1515" t="s">
        <v>88</v>
      </c>
      <c r="B59" s="1515" t="s">
        <v>409</v>
      </c>
      <c r="C59" s="490" t="s">
        <v>430</v>
      </c>
      <c r="D59" s="1515" t="s">
        <v>411</v>
      </c>
      <c r="E59" s="490" t="s">
        <v>431</v>
      </c>
    </row>
    <row r="60" spans="1:9" ht="15.75" x14ac:dyDescent="0.25">
      <c r="A60" s="1516"/>
      <c r="B60" s="1516"/>
      <c r="C60" s="491" t="s">
        <v>431</v>
      </c>
      <c r="D60" s="1516"/>
      <c r="E60" s="491" t="s">
        <v>432</v>
      </c>
    </row>
    <row r="61" spans="1:9" ht="16.5" thickBot="1" x14ac:dyDescent="0.3">
      <c r="A61" s="1517"/>
      <c r="B61" s="1517"/>
      <c r="C61" s="492" t="s">
        <v>244</v>
      </c>
      <c r="D61" s="1517"/>
      <c r="E61" s="492" t="s">
        <v>413</v>
      </c>
    </row>
    <row r="62" spans="1:9" ht="16.5" thickBot="1" x14ac:dyDescent="0.3">
      <c r="A62" s="493" t="s">
        <v>414</v>
      </c>
      <c r="B62" s="492">
        <v>110</v>
      </c>
      <c r="C62" s="502">
        <f>C64+C65+C66</f>
        <v>209193760.26000002</v>
      </c>
      <c r="D62" s="502">
        <f>E62-C62</f>
        <v>270347.93000000715</v>
      </c>
      <c r="E62" s="502">
        <f>E64+E65+E66</f>
        <v>209464108.19000003</v>
      </c>
      <c r="H62" s="486"/>
      <c r="I62" s="472" t="b">
        <f>F63=H62</f>
        <v>1</v>
      </c>
    </row>
    <row r="63" spans="1:9" ht="16.5" thickBot="1" x14ac:dyDescent="0.3">
      <c r="A63" s="493" t="s">
        <v>92</v>
      </c>
      <c r="B63" s="492"/>
      <c r="C63" s="492"/>
      <c r="D63" s="492"/>
      <c r="E63" s="492"/>
      <c r="F63" s="486"/>
    </row>
    <row r="64" spans="1:9" ht="16.5" thickBot="1" x14ac:dyDescent="0.3">
      <c r="A64" s="496" t="s">
        <v>433</v>
      </c>
      <c r="B64" s="497">
        <v>111</v>
      </c>
      <c r="C64" s="501">
        <f>'ПФХД 2019 с разбивкой '!AL26</f>
        <v>160289139.99000001</v>
      </c>
      <c r="D64" s="501">
        <f t="shared" ref="D64:D69" si="2">E64-C64</f>
        <v>0</v>
      </c>
      <c r="E64" s="501">
        <f>'ПФХД 2019 с разбивкой '!AM26</f>
        <v>160289139.99000001</v>
      </c>
    </row>
    <row r="65" spans="1:9" ht="32.25" thickBot="1" x14ac:dyDescent="0.3">
      <c r="A65" s="496" t="s">
        <v>434</v>
      </c>
      <c r="B65" s="497">
        <v>119</v>
      </c>
      <c r="C65" s="501">
        <f>'ПФХД 2019 с разбивкой '!AL27</f>
        <v>48407320.270000003</v>
      </c>
      <c r="D65" s="501">
        <f t="shared" si="2"/>
        <v>0</v>
      </c>
      <c r="E65" s="501">
        <f>'ПФХД 2019 с разбивкой '!AM27</f>
        <v>48407320.270000003</v>
      </c>
    </row>
    <row r="66" spans="1:9" ht="48" thickBot="1" x14ac:dyDescent="0.3">
      <c r="A66" s="496" t="s">
        <v>417</v>
      </c>
      <c r="B66" s="497">
        <v>112</v>
      </c>
      <c r="C66" s="501">
        <f>'ПФХД 2019 с разбивкой '!AL28</f>
        <v>497300</v>
      </c>
      <c r="D66" s="501">
        <f t="shared" si="2"/>
        <v>270347.93000000005</v>
      </c>
      <c r="E66" s="501">
        <f>'ПФХД 2019 с разбивкой '!AM28</f>
        <v>767647.93</v>
      </c>
    </row>
    <row r="67" spans="1:9" ht="16.5" thickBot="1" x14ac:dyDescent="0.3">
      <c r="A67" s="493" t="s">
        <v>435</v>
      </c>
      <c r="B67" s="492">
        <v>830</v>
      </c>
      <c r="C67" s="502">
        <f>C68</f>
        <v>500000</v>
      </c>
      <c r="D67" s="502">
        <f t="shared" si="2"/>
        <v>0</v>
      </c>
      <c r="E67" s="502">
        <f>E68</f>
        <v>500000</v>
      </c>
    </row>
    <row r="68" spans="1:9" ht="63.75" thickBot="1" x14ac:dyDescent="0.3">
      <c r="A68" s="496" t="s">
        <v>169</v>
      </c>
      <c r="B68" s="497">
        <v>831</v>
      </c>
      <c r="C68" s="501">
        <f>'ПФХД 2019 с разбивкой '!AL34</f>
        <v>500000</v>
      </c>
      <c r="D68" s="501">
        <f t="shared" si="2"/>
        <v>0</v>
      </c>
      <c r="E68" s="501">
        <f>'ПФХД 2019 с разбивкой '!AM34</f>
        <v>500000</v>
      </c>
    </row>
    <row r="69" spans="1:9" ht="32.25" thickBot="1" x14ac:dyDescent="0.3">
      <c r="A69" s="493" t="s">
        <v>436</v>
      </c>
      <c r="B69" s="492">
        <v>850</v>
      </c>
      <c r="C69" s="502">
        <f>C71+C72+C73</f>
        <v>6804881.3199999994</v>
      </c>
      <c r="D69" s="502">
        <f t="shared" si="2"/>
        <v>0</v>
      </c>
      <c r="E69" s="502">
        <f>E71+E72+E73</f>
        <v>6804881.3199999994</v>
      </c>
    </row>
    <row r="70" spans="1:9" ht="16.5" thickBot="1" x14ac:dyDescent="0.3">
      <c r="A70" s="496" t="s">
        <v>92</v>
      </c>
      <c r="B70" s="497"/>
      <c r="C70" s="497"/>
      <c r="D70" s="497"/>
      <c r="E70" s="497"/>
    </row>
    <row r="71" spans="1:9" ht="32.25" thickBot="1" x14ac:dyDescent="0.3">
      <c r="A71" s="496" t="s">
        <v>437</v>
      </c>
      <c r="B71" s="497">
        <v>851</v>
      </c>
      <c r="C71" s="501">
        <f>'ПФХД 2019 с разбивкой '!AL38</f>
        <v>5562881.3199999994</v>
      </c>
      <c r="D71" s="501">
        <f>E71-C71</f>
        <v>0</v>
      </c>
      <c r="E71" s="501">
        <f>'ПФХД 2019 с разбивкой '!AM38</f>
        <v>5562881.3199999994</v>
      </c>
    </row>
    <row r="72" spans="1:9" ht="16.5" thickBot="1" x14ac:dyDescent="0.3">
      <c r="A72" s="496" t="s">
        <v>438</v>
      </c>
      <c r="B72" s="497">
        <v>852</v>
      </c>
      <c r="C72" s="501">
        <f>'ПФХД 2019 с разбивкой '!AL39</f>
        <v>635000</v>
      </c>
      <c r="D72" s="501">
        <f>E72-C72</f>
        <v>0</v>
      </c>
      <c r="E72" s="501">
        <f>'ПФХД 2019 с разбивкой '!AM39</f>
        <v>635000</v>
      </c>
    </row>
    <row r="73" spans="1:9" ht="16.5" thickBot="1" x14ac:dyDescent="0.3">
      <c r="A73" s="496" t="s">
        <v>439</v>
      </c>
      <c r="B73" s="497">
        <v>853</v>
      </c>
      <c r="C73" s="501">
        <f>'ПФХД 2019 с разбивкой '!AL40</f>
        <v>607000</v>
      </c>
      <c r="D73" s="501">
        <f>E73-C73</f>
        <v>0</v>
      </c>
      <c r="E73" s="501">
        <f>'ПФХД 2019 с разбивкой '!AM40</f>
        <v>607000</v>
      </c>
    </row>
    <row r="74" spans="1:9" ht="32.25" thickBot="1" x14ac:dyDescent="0.3">
      <c r="A74" s="493" t="s">
        <v>176</v>
      </c>
      <c r="B74" s="492">
        <v>240</v>
      </c>
      <c r="C74" s="502">
        <f>C76+C77+C78+C79+C80+C82+C83+C81</f>
        <v>183139902.45446354</v>
      </c>
      <c r="D74" s="502">
        <f>E74-C74</f>
        <v>-270347.94946354628</v>
      </c>
      <c r="E74" s="502">
        <f>E76+E77+E78+E79+E80+E81+E82+E83</f>
        <v>182869554.505</v>
      </c>
    </row>
    <row r="75" spans="1:9" ht="16.5" thickBot="1" x14ac:dyDescent="0.3">
      <c r="A75" s="496" t="s">
        <v>92</v>
      </c>
      <c r="B75" s="497"/>
      <c r="C75" s="497"/>
      <c r="D75" s="497"/>
      <c r="E75" s="497"/>
      <c r="F75" s="486"/>
    </row>
    <row r="76" spans="1:9" ht="16.5" thickBot="1" x14ac:dyDescent="0.3">
      <c r="A76" s="496" t="s">
        <v>419</v>
      </c>
      <c r="B76" s="497">
        <v>244</v>
      </c>
      <c r="C76" s="501">
        <f>'ПФХД 2019 с разбивкой '!AL48</f>
        <v>1214906.8064000001</v>
      </c>
      <c r="D76" s="501">
        <f>E76-C76</f>
        <v>3.599999938160181E-3</v>
      </c>
      <c r="E76" s="498">
        <f>'ПФХД 2019 с разбивкой '!AM48</f>
        <v>1214906.81</v>
      </c>
    </row>
    <row r="77" spans="1:9" ht="16.5" thickBot="1" x14ac:dyDescent="0.3">
      <c r="A77" s="496" t="s">
        <v>440</v>
      </c>
      <c r="B77" s="497">
        <v>244</v>
      </c>
      <c r="C77" s="501">
        <f>'ПФХД 2019 с разбивкой '!AL49</f>
        <v>161040</v>
      </c>
      <c r="D77" s="501">
        <f t="shared" ref="D77:D85" si="3">E77-C77</f>
        <v>0</v>
      </c>
      <c r="E77" s="498">
        <f>'ПФХД 2019 с разбивкой '!AM49</f>
        <v>161040</v>
      </c>
    </row>
    <row r="78" spans="1:9" ht="16.5" thickBot="1" x14ac:dyDescent="0.3">
      <c r="A78" s="496" t="s">
        <v>420</v>
      </c>
      <c r="B78" s="497">
        <v>244</v>
      </c>
      <c r="C78" s="501">
        <f>'ПФХД 2019 с разбивкой '!AL50</f>
        <v>22369194.312063538</v>
      </c>
      <c r="D78" s="501">
        <f t="shared" si="3"/>
        <v>-2.0635351538658142E-3</v>
      </c>
      <c r="E78" s="498">
        <f>'ПФХД 2019 с разбивкой '!AM50</f>
        <v>22369194.310000002</v>
      </c>
      <c r="I78" s="486">
        <f>D66+D72+D80+D82</f>
        <v>2276708.1589999972</v>
      </c>
    </row>
    <row r="79" spans="1:9" ht="32.25" thickBot="1" x14ac:dyDescent="0.3">
      <c r="A79" s="496" t="s">
        <v>441</v>
      </c>
      <c r="B79" s="497">
        <v>244</v>
      </c>
      <c r="C79" s="501">
        <f>'ПФХД 2019 с разбивкой '!AL55</f>
        <v>43147614.686000004</v>
      </c>
      <c r="D79" s="501">
        <f t="shared" si="3"/>
        <v>3.9999932050704956E-3</v>
      </c>
      <c r="E79" s="498">
        <f>'ПФХД 2019 с разбивкой '!AM55</f>
        <v>43147614.689999998</v>
      </c>
    </row>
    <row r="80" spans="1:9" ht="16.5" thickBot="1" x14ac:dyDescent="0.3">
      <c r="A80" s="496" t="s">
        <v>422</v>
      </c>
      <c r="B80" s="497">
        <v>244</v>
      </c>
      <c r="C80" s="501">
        <f>'ПФХД 2019 с разбивкой '!AL59</f>
        <v>19778685.696000002</v>
      </c>
      <c r="D80" s="501">
        <f t="shared" si="3"/>
        <v>3.9999969303607941E-3</v>
      </c>
      <c r="E80" s="498">
        <f>'ПФХД 2019 с разбивкой '!AM59</f>
        <v>19778685.699999999</v>
      </c>
    </row>
    <row r="81" spans="1:14" ht="16.5" thickBot="1" x14ac:dyDescent="0.3">
      <c r="A81" s="496" t="s">
        <v>184</v>
      </c>
      <c r="B81" s="497">
        <v>244</v>
      </c>
      <c r="C81" s="501">
        <f>'ПФХД 2019 с разбивкой '!AL61</f>
        <v>0</v>
      </c>
      <c r="D81" s="501">
        <f t="shared" si="3"/>
        <v>0</v>
      </c>
      <c r="E81" s="501">
        <f>'ПФХД 2019 с разбивкой '!AM61</f>
        <v>0</v>
      </c>
    </row>
    <row r="82" spans="1:14" ht="32.25" thickBot="1" x14ac:dyDescent="0.3">
      <c r="A82" s="496" t="s">
        <v>423</v>
      </c>
      <c r="B82" s="497">
        <v>244</v>
      </c>
      <c r="C82" s="501">
        <f>'ПФХД 2019 с разбивкой '!AL63</f>
        <v>745524.42</v>
      </c>
      <c r="D82" s="501">
        <f t="shared" si="3"/>
        <v>2006360.2250000001</v>
      </c>
      <c r="E82" s="501">
        <f>'ПФХД 2019 с разбивкой '!AM63</f>
        <v>2751884.645</v>
      </c>
      <c r="F82" s="486"/>
    </row>
    <row r="83" spans="1:14" ht="32.25" thickBot="1" x14ac:dyDescent="0.3">
      <c r="A83" s="496" t="s">
        <v>424</v>
      </c>
      <c r="B83" s="497">
        <v>244</v>
      </c>
      <c r="C83" s="501">
        <f>'ПФХД 2019 с разбивкой '!AL66</f>
        <v>95722936.533999994</v>
      </c>
      <c r="D83" s="501">
        <f t="shared" si="3"/>
        <v>-2276708.1839999855</v>
      </c>
      <c r="E83" s="501">
        <f>'ПФХД 2019 с разбивкой '!AM66</f>
        <v>93446228.350000009</v>
      </c>
    </row>
    <row r="84" spans="1:14" ht="20.25" customHeight="1" thickBot="1" x14ac:dyDescent="0.3">
      <c r="A84" s="499" t="s">
        <v>160</v>
      </c>
      <c r="B84" s="500">
        <v>200</v>
      </c>
      <c r="C84" s="503">
        <f>C62+C67+C69+C74</f>
        <v>399638544.03446352</v>
      </c>
      <c r="D84" s="502">
        <f t="shared" si="3"/>
        <v>-1.9463539123535156E-2</v>
      </c>
      <c r="E84" s="503">
        <f>E62+E67+E69+E74</f>
        <v>399638544.01499999</v>
      </c>
      <c r="I84" s="486">
        <f>-D84+I78</f>
        <v>2276708.1784635363</v>
      </c>
      <c r="J84" s="486">
        <f>I84-I78</f>
        <v>1.9463539123535156E-2</v>
      </c>
    </row>
    <row r="85" spans="1:14" ht="21.75" customHeight="1" thickBot="1" x14ac:dyDescent="0.3">
      <c r="A85" s="499" t="s">
        <v>442</v>
      </c>
      <c r="B85" s="500"/>
      <c r="C85" s="503">
        <f>'ПФХД 2019 с разбивкой '!AL75</f>
        <v>10179839.442763567</v>
      </c>
      <c r="D85" s="501">
        <f t="shared" si="3"/>
        <v>-7.7635645866394043E-3</v>
      </c>
      <c r="E85" s="503">
        <f>'ПФХД 2019 с разбивкой '!AM75</f>
        <v>10179839.435000002</v>
      </c>
    </row>
    <row r="86" spans="1:14" ht="21.75" customHeight="1" thickBot="1" x14ac:dyDescent="0.3">
      <c r="A86" s="499" t="s">
        <v>443</v>
      </c>
      <c r="B86" s="500"/>
      <c r="C86" s="503">
        <f>'ПФХД 2019 с разбивкой '!AL11+пояснительная!C85-пояснительная!C84</f>
        <v>0</v>
      </c>
      <c r="D86" s="503">
        <f>E86-C86</f>
        <v>0</v>
      </c>
      <c r="E86" s="503">
        <f>'ПФХД 2019 с разбивкой '!AM11+пояснительная!E85-пояснительная!E84</f>
        <v>0</v>
      </c>
    </row>
    <row r="88" spans="1:14" ht="77.25" customHeight="1" x14ac:dyDescent="0.25">
      <c r="A88" s="1519" t="s">
        <v>470</v>
      </c>
      <c r="B88" s="1519"/>
      <c r="C88" s="1519"/>
      <c r="D88" s="1519"/>
      <c r="E88" s="1519"/>
      <c r="H88" s="472">
        <f>385000+2980630.87</f>
        <v>3365630.87</v>
      </c>
    </row>
    <row r="89" spans="1:14" ht="30" customHeight="1" x14ac:dyDescent="0.25">
      <c r="A89" s="1519" t="s">
        <v>471</v>
      </c>
      <c r="B89" s="1519"/>
      <c r="C89" s="1519"/>
      <c r="D89" s="1519"/>
      <c r="E89" s="1519"/>
      <c r="J89" s="1518"/>
      <c r="K89" s="1518"/>
      <c r="L89" s="1518"/>
      <c r="M89" s="1518"/>
      <c r="N89" s="1518"/>
    </row>
    <row r="90" spans="1:14" ht="83.25" customHeight="1" x14ac:dyDescent="0.25">
      <c r="A90" s="1519" t="s">
        <v>472</v>
      </c>
      <c r="B90" s="1519"/>
      <c r="C90" s="1519"/>
      <c r="D90" s="1519"/>
      <c r="E90" s="1519"/>
    </row>
    <row r="91" spans="1:14" ht="41.25" customHeight="1" x14ac:dyDescent="0.25">
      <c r="A91" s="1519" t="s">
        <v>475</v>
      </c>
      <c r="B91" s="1519"/>
      <c r="C91" s="1519"/>
      <c r="D91" s="1519"/>
      <c r="E91" s="1519"/>
    </row>
    <row r="92" spans="1:14" ht="48" customHeight="1" x14ac:dyDescent="0.25">
      <c r="A92" s="1514" t="s">
        <v>476</v>
      </c>
      <c r="B92" s="1514"/>
      <c r="C92" s="1514"/>
      <c r="D92" s="1514"/>
      <c r="E92" s="1514"/>
    </row>
    <row r="93" spans="1:14" ht="54" customHeight="1" x14ac:dyDescent="0.25">
      <c r="A93" s="1519" t="s">
        <v>477</v>
      </c>
      <c r="B93" s="1519"/>
      <c r="C93" s="1519"/>
      <c r="D93" s="1519"/>
      <c r="E93" s="1519"/>
    </row>
    <row r="94" spans="1:14" ht="17.25" customHeight="1" x14ac:dyDescent="0.25"/>
    <row r="95" spans="1:14" ht="63" customHeight="1" x14ac:dyDescent="0.25">
      <c r="A95" s="1520" t="s">
        <v>484</v>
      </c>
      <c r="B95" s="1520"/>
      <c r="C95" s="1520"/>
      <c r="D95" s="1520"/>
      <c r="E95" s="1520"/>
    </row>
    <row r="96" spans="1:14" ht="16.5" thickBot="1" x14ac:dyDescent="0.3">
      <c r="A96" s="494"/>
      <c r="B96" s="494"/>
      <c r="C96" s="504"/>
      <c r="D96" s="494"/>
      <c r="E96" s="505" t="s">
        <v>408</v>
      </c>
    </row>
    <row r="97" spans="1:5" ht="31.5" x14ac:dyDescent="0.25">
      <c r="A97" s="1515" t="s">
        <v>88</v>
      </c>
      <c r="B97" s="1515" t="s">
        <v>409</v>
      </c>
      <c r="C97" s="491" t="s">
        <v>430</v>
      </c>
      <c r="D97" s="1515" t="s">
        <v>411</v>
      </c>
      <c r="E97" s="491" t="s">
        <v>431</v>
      </c>
    </row>
    <row r="98" spans="1:5" ht="15.75" x14ac:dyDescent="0.25">
      <c r="A98" s="1516"/>
      <c r="B98" s="1516"/>
      <c r="C98" s="491" t="s">
        <v>431</v>
      </c>
      <c r="D98" s="1516"/>
      <c r="E98" s="491" t="s">
        <v>432</v>
      </c>
    </row>
    <row r="99" spans="1:5" ht="16.5" thickBot="1" x14ac:dyDescent="0.3">
      <c r="A99" s="1517"/>
      <c r="B99" s="1517"/>
      <c r="C99" s="492" t="s">
        <v>244</v>
      </c>
      <c r="D99" s="1517"/>
      <c r="E99" s="492" t="s">
        <v>413</v>
      </c>
    </row>
    <row r="100" spans="1:5" ht="16.5" thickBot="1" x14ac:dyDescent="0.3">
      <c r="A100" s="493" t="s">
        <v>414</v>
      </c>
      <c r="B100" s="492">
        <v>110</v>
      </c>
      <c r="C100" s="502">
        <f>C102+C103</f>
        <v>24940779.410000004</v>
      </c>
      <c r="D100" s="502">
        <f>E100-C100</f>
        <v>0</v>
      </c>
      <c r="E100" s="506">
        <f>E102+E103</f>
        <v>24940779.41</v>
      </c>
    </row>
    <row r="101" spans="1:5" ht="16.5" thickBot="1" x14ac:dyDescent="0.3">
      <c r="A101" s="496" t="s">
        <v>92</v>
      </c>
      <c r="B101" s="492"/>
      <c r="C101" s="492"/>
      <c r="D101" s="492"/>
      <c r="E101" s="495"/>
    </row>
    <row r="102" spans="1:5" ht="16.5" thickBot="1" x14ac:dyDescent="0.3">
      <c r="A102" s="496" t="s">
        <v>433</v>
      </c>
      <c r="B102" s="497">
        <v>111</v>
      </c>
      <c r="C102" s="501">
        <f>'ПФХД 2019 с разбивкой '!Q26</f>
        <v>19155752.181443933</v>
      </c>
      <c r="D102" s="501">
        <f>E102-C102</f>
        <v>0</v>
      </c>
      <c r="E102" s="498">
        <f>'ПФХД 2019 с разбивкой '!R26</f>
        <v>19155752.181443933</v>
      </c>
    </row>
    <row r="103" spans="1:5" ht="32.25" thickBot="1" x14ac:dyDescent="0.3">
      <c r="A103" s="496" t="s">
        <v>434</v>
      </c>
      <c r="B103" s="497">
        <v>119</v>
      </c>
      <c r="C103" s="501">
        <f>'ПФХД 2019 с разбивкой '!Q27</f>
        <v>5785027.2285560705</v>
      </c>
      <c r="D103" s="501">
        <f>E103-C103</f>
        <v>0</v>
      </c>
      <c r="E103" s="498">
        <f>'ПФХД 2019 с разбивкой '!R27</f>
        <v>5785027.2285560677</v>
      </c>
    </row>
    <row r="104" spans="1:5" ht="32.25" thickBot="1" x14ac:dyDescent="0.3">
      <c r="A104" s="493" t="s">
        <v>436</v>
      </c>
      <c r="B104" s="492">
        <v>850</v>
      </c>
      <c r="C104" s="502">
        <f>C106+C107</f>
        <v>1914231.98</v>
      </c>
      <c r="D104" s="502">
        <f>E104-C104</f>
        <v>0</v>
      </c>
      <c r="E104" s="506">
        <f>E106+E107</f>
        <v>1914231.98</v>
      </c>
    </row>
    <row r="105" spans="1:5" ht="16.5" thickBot="1" x14ac:dyDescent="0.3">
      <c r="A105" s="496" t="s">
        <v>92</v>
      </c>
      <c r="B105" s="492"/>
      <c r="C105" s="492"/>
      <c r="D105" s="492"/>
      <c r="E105" s="495"/>
    </row>
    <row r="106" spans="1:5" ht="32.25" thickBot="1" x14ac:dyDescent="0.3">
      <c r="A106" s="496" t="s">
        <v>437</v>
      </c>
      <c r="B106" s="497">
        <v>851</v>
      </c>
      <c r="C106" s="501">
        <f>'ПФХД 2019 с разбивкой '!Q38</f>
        <v>1914231.98</v>
      </c>
      <c r="D106" s="501">
        <f>E106-C106</f>
        <v>0</v>
      </c>
      <c r="E106" s="498">
        <f>'ПФХД 2019 с разбивкой '!R38</f>
        <v>1914231.98</v>
      </c>
    </row>
    <row r="107" spans="1:5" ht="20.25" customHeight="1" thickBot="1" x14ac:dyDescent="0.3">
      <c r="A107" s="496" t="s">
        <v>438</v>
      </c>
      <c r="B107" s="497">
        <v>852</v>
      </c>
      <c r="C107" s="501">
        <f>'ПФХД 2019 с разбивкой '!Q39</f>
        <v>0</v>
      </c>
      <c r="D107" s="501">
        <f>E107-C107</f>
        <v>0</v>
      </c>
      <c r="E107" s="498">
        <f>'ПФХД 2019 с разбивкой '!R39</f>
        <v>0</v>
      </c>
    </row>
    <row r="108" spans="1:5" ht="32.25" thickBot="1" x14ac:dyDescent="0.3">
      <c r="A108" s="493" t="s">
        <v>176</v>
      </c>
      <c r="B108" s="492">
        <v>240</v>
      </c>
      <c r="C108" s="502">
        <f>C110+C111+C112+C113+C114+C115+C117+C118</f>
        <v>1630613561.5799999</v>
      </c>
      <c r="D108" s="502">
        <f>D112+D113+D114+D115+D117+D118+D111</f>
        <v>1004999999.9999999</v>
      </c>
      <c r="E108" s="502">
        <f>E110+E111+E112+E113+E114+E115+E117+E118</f>
        <v>2635613561.5799999</v>
      </c>
    </row>
    <row r="109" spans="1:5" ht="16.5" thickBot="1" x14ac:dyDescent="0.3">
      <c r="A109" s="496" t="s">
        <v>92</v>
      </c>
      <c r="B109" s="492"/>
      <c r="C109" s="507"/>
      <c r="D109" s="492"/>
      <c r="E109" s="492"/>
    </row>
    <row r="110" spans="1:5" ht="22.5" customHeight="1" thickBot="1" x14ac:dyDescent="0.3">
      <c r="A110" s="496" t="s">
        <v>419</v>
      </c>
      <c r="B110" s="497">
        <v>244</v>
      </c>
      <c r="C110" s="501">
        <f>'ПФХД 2019 с разбивкой '!Q48</f>
        <v>255973.67</v>
      </c>
      <c r="D110" s="498">
        <f t="shared" ref="D110:D121" si="4">E110-C110</f>
        <v>0</v>
      </c>
      <c r="E110" s="498">
        <f>'ПФХД 2019 с разбивкой '!R48</f>
        <v>255973.67</v>
      </c>
    </row>
    <row r="111" spans="1:5" ht="22.5" customHeight="1" thickBot="1" x14ac:dyDescent="0.3">
      <c r="A111" s="496" t="s">
        <v>420</v>
      </c>
      <c r="B111" s="497">
        <v>244</v>
      </c>
      <c r="C111" s="501">
        <f>'ПФХД 2019 с разбивкой '!Q50</f>
        <v>11762136.630000001</v>
      </c>
      <c r="D111" s="498">
        <f t="shared" si="4"/>
        <v>-1640628.870000001</v>
      </c>
      <c r="E111" s="498">
        <f>'ПФХД 2019 с разбивкой '!R50</f>
        <v>10121507.76</v>
      </c>
    </row>
    <row r="112" spans="1:5" ht="16.5" thickBot="1" x14ac:dyDescent="0.3">
      <c r="A112" s="1532" t="s">
        <v>441</v>
      </c>
      <c r="B112" s="497">
        <v>243</v>
      </c>
      <c r="C112" s="501">
        <f>'ПФХД 2019 с разбивкой '!Q52</f>
        <v>1003324908.2</v>
      </c>
      <c r="D112" s="498">
        <f t="shared" si="4"/>
        <v>249691000</v>
      </c>
      <c r="E112" s="498">
        <f>'ПФХД 2019 с разбивкой '!R52</f>
        <v>1253015908.2</v>
      </c>
    </row>
    <row r="113" spans="1:31" ht="16.5" thickBot="1" x14ac:dyDescent="0.3">
      <c r="A113" s="1533"/>
      <c r="B113" s="497">
        <v>244</v>
      </c>
      <c r="C113" s="501">
        <f>'ПФХД 2019 с разбивкой '!Q55</f>
        <v>4671847.25</v>
      </c>
      <c r="D113" s="498">
        <f t="shared" si="4"/>
        <v>38646728.879999995</v>
      </c>
      <c r="E113" s="498">
        <f>'ПФХД 2019 с разбивкой '!R55</f>
        <v>43318576.129999995</v>
      </c>
      <c r="H113" s="486">
        <f>D112+D113+D117</f>
        <v>334889230.26999998</v>
      </c>
    </row>
    <row r="114" spans="1:31" ht="16.5" thickBot="1" x14ac:dyDescent="0.3">
      <c r="A114" s="1532" t="s">
        <v>422</v>
      </c>
      <c r="B114" s="497">
        <v>243</v>
      </c>
      <c r="C114" s="501">
        <f>'ПФХД 2019 с разбивкой '!Q56</f>
        <v>52389110</v>
      </c>
      <c r="D114" s="498">
        <f t="shared" si="4"/>
        <v>63458147.709999993</v>
      </c>
      <c r="E114" s="498">
        <f>'ПФХД 2019 с разбивкой '!R56</f>
        <v>115847257.70999999</v>
      </c>
      <c r="H114" s="486">
        <f>-D114-D115-D118</f>
        <v>-671751398.60000002</v>
      </c>
    </row>
    <row r="115" spans="1:31" ht="16.5" thickBot="1" x14ac:dyDescent="0.3">
      <c r="A115" s="1533"/>
      <c r="B115" s="497">
        <v>244</v>
      </c>
      <c r="C115" s="501">
        <f>'ПФХД 2019 с разбивкой '!Q59</f>
        <v>297440872.04000002</v>
      </c>
      <c r="D115" s="498">
        <f t="shared" si="4"/>
        <v>544397552.28999996</v>
      </c>
      <c r="E115" s="498">
        <f>'ПФХД 2019 с разбивкой '!R59</f>
        <v>841838424.32999992</v>
      </c>
      <c r="H115" s="486">
        <f>H113-H114</f>
        <v>1006640628.87</v>
      </c>
    </row>
    <row r="116" spans="1:31" ht="16.5" thickBot="1" x14ac:dyDescent="0.3">
      <c r="A116" s="546" t="s">
        <v>184</v>
      </c>
      <c r="B116" s="497">
        <v>244</v>
      </c>
      <c r="C116" s="501"/>
      <c r="D116" s="498">
        <f t="shared" si="4"/>
        <v>0</v>
      </c>
      <c r="E116" s="501"/>
    </row>
    <row r="117" spans="1:31" ht="32.25" thickBot="1" x14ac:dyDescent="0.3">
      <c r="A117" s="496" t="s">
        <v>423</v>
      </c>
      <c r="B117" s="497">
        <v>244</v>
      </c>
      <c r="C117" s="501">
        <f>'ПФХД 2019 с разбивкой '!Q63</f>
        <v>226004857.31</v>
      </c>
      <c r="D117" s="498">
        <f t="shared" si="4"/>
        <v>46551501.389999986</v>
      </c>
      <c r="E117" s="498">
        <f>'ПФХД 2019 с разбивкой '!R63</f>
        <v>272556358.69999999</v>
      </c>
      <c r="H117" s="486">
        <f>D117-D119</f>
        <v>-958448498.60999978</v>
      </c>
    </row>
    <row r="118" spans="1:31" ht="32.25" thickBot="1" x14ac:dyDescent="0.3">
      <c r="A118" s="496" t="s">
        <v>424</v>
      </c>
      <c r="B118" s="497">
        <v>244</v>
      </c>
      <c r="C118" s="501">
        <f>'ПФХД 2019 с разбивкой '!Q66</f>
        <v>34763856.479999997</v>
      </c>
      <c r="D118" s="498">
        <f t="shared" si="4"/>
        <v>63895698.600000001</v>
      </c>
      <c r="E118" s="498">
        <f>'ПФХД 2019 с разбивкой '!R66</f>
        <v>98659555.079999998</v>
      </c>
    </row>
    <row r="119" spans="1:31" ht="20.25" customHeight="1" thickBot="1" x14ac:dyDescent="0.3">
      <c r="A119" s="493" t="s">
        <v>160</v>
      </c>
      <c r="B119" s="492">
        <v>200</v>
      </c>
      <c r="C119" s="502">
        <f>C100+C104+C108</f>
        <v>1657468572.97</v>
      </c>
      <c r="D119" s="506">
        <f t="shared" si="4"/>
        <v>1004999999.9999998</v>
      </c>
      <c r="E119" s="502">
        <f>E100+E104+E108</f>
        <v>2662468572.9699998</v>
      </c>
      <c r="AE119" s="486"/>
    </row>
    <row r="120" spans="1:31" ht="37.5" customHeight="1" thickBot="1" x14ac:dyDescent="0.3">
      <c r="A120" s="576" t="s">
        <v>191</v>
      </c>
      <c r="B120" s="492">
        <v>400</v>
      </c>
      <c r="C120" s="502">
        <v>-49011428.340000004</v>
      </c>
      <c r="D120" s="506">
        <v>0</v>
      </c>
      <c r="E120" s="502">
        <f>'Часть 3'!D71</f>
        <v>0</v>
      </c>
    </row>
    <row r="121" spans="1:31" ht="27.75" customHeight="1" thickBot="1" x14ac:dyDescent="0.3">
      <c r="A121" s="499" t="s">
        <v>442</v>
      </c>
      <c r="B121" s="492">
        <v>500</v>
      </c>
      <c r="C121" s="502">
        <f>'ПФХД 2019 с разбивкой '!Q75</f>
        <v>593808468.51999998</v>
      </c>
      <c r="D121" s="506">
        <f t="shared" si="4"/>
        <v>0</v>
      </c>
      <c r="E121" s="502">
        <f>'ПФХД 2019 с разбивкой '!R75</f>
        <v>593808468.51999998</v>
      </c>
      <c r="AD121" s="486"/>
    </row>
    <row r="122" spans="1:31" ht="29.25" customHeight="1" thickBot="1" x14ac:dyDescent="0.3">
      <c r="A122" s="493" t="s">
        <v>195</v>
      </c>
      <c r="B122" s="492">
        <v>600</v>
      </c>
      <c r="C122" s="502">
        <v>0</v>
      </c>
      <c r="D122" s="506"/>
      <c r="E122" s="506">
        <v>0</v>
      </c>
      <c r="AD122" s="486"/>
    </row>
    <row r="124" spans="1:31" ht="68.25" customHeight="1" x14ac:dyDescent="0.25">
      <c r="A124" s="1514" t="s">
        <v>493</v>
      </c>
      <c r="B124" s="1514"/>
      <c r="C124" s="1514"/>
      <c r="D124" s="1514"/>
      <c r="E124" s="1514"/>
      <c r="F124" s="553"/>
    </row>
    <row r="125" spans="1:31" ht="58.5" customHeight="1" x14ac:dyDescent="0.25">
      <c r="A125" s="1514" t="s">
        <v>494</v>
      </c>
      <c r="B125" s="1514"/>
      <c r="C125" s="1514"/>
      <c r="D125" s="1514"/>
      <c r="E125" s="1514"/>
      <c r="F125" s="553"/>
    </row>
    <row r="126" spans="1:31" ht="60.75" customHeight="1" x14ac:dyDescent="0.25">
      <c r="A126" s="1514" t="s">
        <v>495</v>
      </c>
      <c r="B126" s="1514"/>
      <c r="C126" s="1514"/>
      <c r="D126" s="1514"/>
      <c r="E126" s="1514"/>
      <c r="F126" s="553"/>
    </row>
    <row r="127" spans="1:31" ht="45" customHeight="1" x14ac:dyDescent="0.25">
      <c r="A127" s="1514" t="s">
        <v>496</v>
      </c>
      <c r="B127" s="1514"/>
      <c r="C127" s="1514"/>
      <c r="D127" s="1514"/>
      <c r="E127" s="1514"/>
      <c r="F127" s="553"/>
    </row>
    <row r="128" spans="1:31" ht="52.5" customHeight="1" x14ac:dyDescent="0.25">
      <c r="A128" s="1514" t="s">
        <v>497</v>
      </c>
      <c r="B128" s="1514"/>
      <c r="C128" s="1514"/>
      <c r="D128" s="1514"/>
      <c r="E128" s="1514"/>
      <c r="F128" s="553"/>
    </row>
    <row r="129" spans="1:31" ht="62.25" customHeight="1" x14ac:dyDescent="0.25">
      <c r="A129" s="1514" t="s">
        <v>498</v>
      </c>
      <c r="B129" s="1514"/>
      <c r="C129" s="1514"/>
      <c r="D129" s="1514"/>
      <c r="E129" s="1514"/>
      <c r="F129" s="553"/>
    </row>
    <row r="130" spans="1:31" ht="63" customHeight="1" x14ac:dyDescent="0.25">
      <c r="A130" s="1514" t="s">
        <v>499</v>
      </c>
      <c r="B130" s="1514"/>
      <c r="C130" s="1514"/>
      <c r="D130" s="1514"/>
      <c r="E130" s="1514"/>
      <c r="F130" s="553"/>
    </row>
    <row r="131" spans="1:31" ht="74.25" customHeight="1" x14ac:dyDescent="0.25">
      <c r="A131" s="1514" t="s">
        <v>500</v>
      </c>
      <c r="B131" s="1514"/>
      <c r="C131" s="1514"/>
      <c r="D131" s="1514"/>
      <c r="E131" s="1514"/>
      <c r="F131" s="553"/>
    </row>
    <row r="132" spans="1:31" ht="63" customHeight="1" x14ac:dyDescent="0.25">
      <c r="A132" s="1514" t="s">
        <v>501</v>
      </c>
      <c r="B132" s="1514"/>
      <c r="C132" s="1514"/>
      <c r="D132" s="1514"/>
      <c r="E132" s="1514"/>
      <c r="F132" s="553"/>
    </row>
    <row r="135" spans="1:31" ht="18.75" x14ac:dyDescent="0.25">
      <c r="A135" s="520" t="s">
        <v>447</v>
      </c>
    </row>
    <row r="136" spans="1:31" ht="18.75" x14ac:dyDescent="0.25">
      <c r="A136" s="520" t="s">
        <v>449</v>
      </c>
      <c r="E136" s="520" t="s">
        <v>448</v>
      </c>
    </row>
    <row r="137" spans="1:31" ht="18.75" x14ac:dyDescent="0.25">
      <c r="A137" s="520"/>
      <c r="E137" s="520"/>
    </row>
    <row r="138" spans="1:31" ht="18.75" x14ac:dyDescent="0.25">
      <c r="A138" s="520"/>
      <c r="E138" s="520"/>
    </row>
    <row r="139" spans="1:31" ht="18.75" x14ac:dyDescent="0.25">
      <c r="A139" s="520"/>
      <c r="E139" s="520"/>
      <c r="AE139" s="472">
        <f>AE137-AE138</f>
        <v>0</v>
      </c>
    </row>
    <row r="140" spans="1:31" ht="18.75" x14ac:dyDescent="0.25">
      <c r="A140" s="520"/>
      <c r="E140" s="520"/>
    </row>
    <row r="141" spans="1:31" ht="18.75" x14ac:dyDescent="0.25">
      <c r="A141" s="520"/>
      <c r="E141" s="520"/>
    </row>
    <row r="142" spans="1:31" ht="18.75" x14ac:dyDescent="0.25">
      <c r="A142" s="520"/>
      <c r="E142" s="520"/>
    </row>
    <row r="143" spans="1:31" ht="18.75" x14ac:dyDescent="0.25">
      <c r="A143" s="520"/>
      <c r="E143" s="520"/>
    </row>
    <row r="144" spans="1:31" ht="18.75" x14ac:dyDescent="0.25">
      <c r="A144" s="520"/>
      <c r="E144" s="520"/>
    </row>
    <row r="145" spans="1:5" ht="18.75" x14ac:dyDescent="0.25">
      <c r="A145" s="520"/>
      <c r="E145" s="520"/>
    </row>
    <row r="146" spans="1:5" ht="18.75" x14ac:dyDescent="0.25">
      <c r="A146" s="520"/>
      <c r="E146" s="520"/>
    </row>
    <row r="147" spans="1:5" ht="18.75" x14ac:dyDescent="0.25">
      <c r="A147" s="520"/>
      <c r="E147" s="520"/>
    </row>
    <row r="148" spans="1:5" ht="18.75" x14ac:dyDescent="0.25">
      <c r="A148" s="520"/>
      <c r="E148" s="520"/>
    </row>
    <row r="149" spans="1:5" ht="18.75" x14ac:dyDescent="0.25">
      <c r="A149" s="520"/>
      <c r="E149" s="520"/>
    </row>
    <row r="150" spans="1:5" ht="18.75" x14ac:dyDescent="0.25">
      <c r="A150" s="520"/>
      <c r="E150" s="520"/>
    </row>
    <row r="151" spans="1:5" ht="18.75" x14ac:dyDescent="0.25">
      <c r="A151" s="520"/>
      <c r="E151" s="520"/>
    </row>
    <row r="152" spans="1:5" ht="18.75" x14ac:dyDescent="0.25">
      <c r="A152" s="520"/>
      <c r="E152" s="520"/>
    </row>
    <row r="153" spans="1:5" ht="18.75" x14ac:dyDescent="0.25">
      <c r="A153" s="520"/>
      <c r="E153" s="520"/>
    </row>
    <row r="154" spans="1:5" ht="18.75" x14ac:dyDescent="0.25">
      <c r="A154" s="520"/>
      <c r="E154" s="520"/>
    </row>
    <row r="155" spans="1:5" ht="18.75" x14ac:dyDescent="0.25">
      <c r="A155" s="520"/>
      <c r="E155" s="520"/>
    </row>
    <row r="156" spans="1:5" ht="18.75" x14ac:dyDescent="0.25">
      <c r="A156" s="520"/>
      <c r="E156" s="520"/>
    </row>
    <row r="157" spans="1:5" ht="18.75" x14ac:dyDescent="0.25">
      <c r="A157" s="520"/>
      <c r="E157" s="520"/>
    </row>
    <row r="158" spans="1:5" ht="18.75" x14ac:dyDescent="0.25">
      <c r="A158" s="520"/>
      <c r="E158" s="520"/>
    </row>
    <row r="159" spans="1:5" ht="18.75" x14ac:dyDescent="0.25">
      <c r="A159" s="520"/>
      <c r="E159" s="520"/>
    </row>
    <row r="160" spans="1:5" ht="18.75" x14ac:dyDescent="0.25">
      <c r="A160" s="520"/>
      <c r="E160" s="520"/>
    </row>
    <row r="161" spans="1:5" ht="18.75" x14ac:dyDescent="0.25">
      <c r="A161" s="520"/>
      <c r="E161" s="520"/>
    </row>
    <row r="162" spans="1:5" ht="18.75" x14ac:dyDescent="0.25">
      <c r="A162" s="520"/>
      <c r="E162" s="520"/>
    </row>
    <row r="163" spans="1:5" ht="18.75" x14ac:dyDescent="0.25">
      <c r="A163" s="520"/>
      <c r="E163" s="520"/>
    </row>
    <row r="164" spans="1:5" ht="18.75" x14ac:dyDescent="0.25">
      <c r="A164" s="520"/>
      <c r="E164" s="520"/>
    </row>
    <row r="165" spans="1:5" ht="18.75" x14ac:dyDescent="0.25">
      <c r="A165" s="520"/>
      <c r="E165" s="520"/>
    </row>
    <row r="166" spans="1:5" ht="18.75" x14ac:dyDescent="0.25">
      <c r="A166" s="520"/>
      <c r="E166" s="520"/>
    </row>
    <row r="167" spans="1:5" ht="19.5" customHeight="1" x14ac:dyDescent="0.25">
      <c r="A167" s="520"/>
    </row>
    <row r="168" spans="1:5" x14ac:dyDescent="0.25">
      <c r="A168" s="518"/>
    </row>
    <row r="169" spans="1:5" x14ac:dyDescent="0.25">
      <c r="A169" s="518" t="s">
        <v>444</v>
      </c>
    </row>
    <row r="170" spans="1:5" x14ac:dyDescent="0.25">
      <c r="A170" s="519" t="s">
        <v>445</v>
      </c>
    </row>
    <row r="171" spans="1:5" x14ac:dyDescent="0.25">
      <c r="A171" s="519" t="s">
        <v>446</v>
      </c>
    </row>
  </sheetData>
  <mergeCells count="66">
    <mergeCell ref="D59:D61"/>
    <mergeCell ref="A88:E88"/>
    <mergeCell ref="A95:E95"/>
    <mergeCell ref="A13:E13"/>
    <mergeCell ref="A15:A17"/>
    <mergeCell ref="B15:B17"/>
    <mergeCell ref="C15:C17"/>
    <mergeCell ref="D15:D17"/>
    <mergeCell ref="E15:E16"/>
    <mergeCell ref="D25:D26"/>
    <mergeCell ref="A42:E42"/>
    <mergeCell ref="A45:E45"/>
    <mergeCell ref="A46:E46"/>
    <mergeCell ref="A47:E47"/>
    <mergeCell ref="A48:E48"/>
    <mergeCell ref="A3:E3"/>
    <mergeCell ref="A4:E4"/>
    <mergeCell ref="A5:E5"/>
    <mergeCell ref="A6:E6"/>
    <mergeCell ref="A7:E7"/>
    <mergeCell ref="F25:F26"/>
    <mergeCell ref="E25:E26"/>
    <mergeCell ref="A25:A26"/>
    <mergeCell ref="B25:B26"/>
    <mergeCell ref="C25:C26"/>
    <mergeCell ref="A9:C9"/>
    <mergeCell ref="D9:E9"/>
    <mergeCell ref="A11:C11"/>
    <mergeCell ref="D11:E11"/>
    <mergeCell ref="A10:C10"/>
    <mergeCell ref="D10:E10"/>
    <mergeCell ref="A124:E124"/>
    <mergeCell ref="A50:E50"/>
    <mergeCell ref="A52:C52"/>
    <mergeCell ref="D52:E52"/>
    <mergeCell ref="A93:E93"/>
    <mergeCell ref="A53:C53"/>
    <mergeCell ref="D53:E53"/>
    <mergeCell ref="A54:C54"/>
    <mergeCell ref="D54:E54"/>
    <mergeCell ref="A57:E57"/>
    <mergeCell ref="A112:A113"/>
    <mergeCell ref="A59:A61"/>
    <mergeCell ref="B59:B61"/>
    <mergeCell ref="A114:A115"/>
    <mergeCell ref="A97:A99"/>
    <mergeCell ref="B97:B99"/>
    <mergeCell ref="L41:P41"/>
    <mergeCell ref="L42:P42"/>
    <mergeCell ref="L45:P45"/>
    <mergeCell ref="A43:E43"/>
    <mergeCell ref="A44:E44"/>
    <mergeCell ref="D97:D99"/>
    <mergeCell ref="J89:N89"/>
    <mergeCell ref="A89:E89"/>
    <mergeCell ref="A90:E90"/>
    <mergeCell ref="A91:E91"/>
    <mergeCell ref="A92:E92"/>
    <mergeCell ref="A130:E130"/>
    <mergeCell ref="A131:E131"/>
    <mergeCell ref="A132:E132"/>
    <mergeCell ref="A125:E125"/>
    <mergeCell ref="A126:E126"/>
    <mergeCell ref="A127:E127"/>
    <mergeCell ref="A128:E128"/>
    <mergeCell ref="A129:E129"/>
  </mergeCells>
  <pageMargins left="0.70866141732283472" right="0.70866141732283472" top="0.55118110236220474" bottom="0.55118110236220474" header="0.31496062992125984" footer="0.31496062992125984"/>
  <pageSetup paperSize="9" scale="60" fitToHeight="0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H190"/>
  <sheetViews>
    <sheetView showZeros="0" topLeftCell="A127" zoomScaleNormal="100" workbookViewId="0">
      <selection activeCell="AF150" sqref="AF150"/>
    </sheetView>
  </sheetViews>
  <sheetFormatPr defaultRowHeight="15" x14ac:dyDescent="0.25"/>
  <cols>
    <col min="1" max="1" width="39.140625" style="472" customWidth="1"/>
    <col min="2" max="2" width="16.28515625" style="472" customWidth="1"/>
    <col min="3" max="3" width="17.28515625" style="472" customWidth="1"/>
    <col min="4" max="4" width="20.85546875" style="472" customWidth="1"/>
    <col min="5" max="5" width="19.85546875" style="472" customWidth="1"/>
    <col min="6" max="6" width="23" style="472" hidden="1" customWidth="1"/>
    <col min="7" max="7" width="0" style="472" hidden="1" customWidth="1"/>
    <col min="8" max="8" width="14.7109375" style="472" hidden="1" customWidth="1"/>
    <col min="9" max="9" width="13.28515625" style="472" hidden="1" customWidth="1"/>
    <col min="10" max="10" width="12.42578125" style="472" hidden="1" customWidth="1"/>
    <col min="11" max="11" width="0" style="472" hidden="1" customWidth="1"/>
    <col min="12" max="12" width="33" style="472" hidden="1" customWidth="1"/>
    <col min="13" max="29" width="0" style="472" hidden="1" customWidth="1"/>
    <col min="30" max="30" width="13.5703125" style="472" bestFit="1" customWidth="1"/>
    <col min="31" max="31" width="16.42578125" style="472" customWidth="1"/>
    <col min="32" max="32" width="10.7109375" style="472" customWidth="1"/>
    <col min="33" max="33" width="12" style="472" customWidth="1"/>
    <col min="34" max="34" width="14.42578125" style="472" customWidth="1"/>
    <col min="35" max="35" width="13.5703125" style="472" customWidth="1"/>
    <col min="36" max="16384" width="9.140625" style="472"/>
  </cols>
  <sheetData>
    <row r="1" spans="1:6" ht="15.75" x14ac:dyDescent="0.25">
      <c r="E1" s="488" t="s">
        <v>425</v>
      </c>
    </row>
    <row r="2" spans="1:6" ht="18.75" x14ac:dyDescent="0.25">
      <c r="A2" s="588"/>
    </row>
    <row r="3" spans="1:6" ht="18.75" x14ac:dyDescent="0.25">
      <c r="A3" s="1543" t="s">
        <v>426</v>
      </c>
      <c r="B3" s="1543"/>
      <c r="C3" s="1543"/>
      <c r="D3" s="1543"/>
      <c r="E3" s="1543"/>
    </row>
    <row r="4" spans="1:6" ht="18.75" x14ac:dyDescent="0.25">
      <c r="A4" s="1543" t="s">
        <v>427</v>
      </c>
      <c r="B4" s="1543"/>
      <c r="C4" s="1543"/>
      <c r="D4" s="1543"/>
      <c r="E4" s="1543"/>
    </row>
    <row r="5" spans="1:6" ht="18.75" x14ac:dyDescent="0.25">
      <c r="A5" s="1543" t="s">
        <v>428</v>
      </c>
      <c r="B5" s="1543"/>
      <c r="C5" s="1543"/>
      <c r="D5" s="1543"/>
      <c r="E5" s="1543"/>
    </row>
    <row r="6" spans="1:6" ht="150" customHeight="1" x14ac:dyDescent="0.25">
      <c r="A6" s="1519" t="s">
        <v>511</v>
      </c>
      <c r="B6" s="1519"/>
      <c r="C6" s="1519"/>
      <c r="D6" s="1519"/>
      <c r="E6" s="1519"/>
    </row>
    <row r="8" spans="1:6" ht="39" customHeight="1" x14ac:dyDescent="0.25">
      <c r="A8" s="1544" t="s">
        <v>453</v>
      </c>
      <c r="B8" s="1544"/>
      <c r="C8" s="1544"/>
      <c r="D8" s="1544"/>
      <c r="E8" s="1544"/>
    </row>
    <row r="9" spans="1:6" ht="23.25" customHeight="1" thickBot="1" x14ac:dyDescent="0.3">
      <c r="A9" s="473"/>
      <c r="B9" s="473"/>
      <c r="C9" s="473"/>
      <c r="D9" s="473"/>
      <c r="E9" s="474" t="s">
        <v>408</v>
      </c>
      <c r="F9" s="475"/>
    </row>
    <row r="10" spans="1:6" ht="16.5" customHeight="1" x14ac:dyDescent="0.25">
      <c r="A10" s="1545" t="s">
        <v>88</v>
      </c>
      <c r="B10" s="1545" t="s">
        <v>409</v>
      </c>
      <c r="C10" s="1545" t="s">
        <v>410</v>
      </c>
      <c r="D10" s="1545" t="s">
        <v>411</v>
      </c>
      <c r="E10" s="1545" t="s">
        <v>412</v>
      </c>
      <c r="F10" s="475"/>
    </row>
    <row r="11" spans="1:6" ht="16.5" customHeight="1" x14ac:dyDescent="0.25">
      <c r="A11" s="1546"/>
      <c r="B11" s="1546"/>
      <c r="C11" s="1546"/>
      <c r="D11" s="1546"/>
      <c r="E11" s="1546"/>
      <c r="F11" s="475"/>
    </row>
    <row r="12" spans="1:6" ht="21" customHeight="1" thickBot="1" x14ac:dyDescent="0.3">
      <c r="A12" s="1547"/>
      <c r="B12" s="1547"/>
      <c r="C12" s="1547"/>
      <c r="D12" s="1548"/>
      <c r="E12" s="476" t="s">
        <v>413</v>
      </c>
      <c r="F12" s="475"/>
    </row>
    <row r="13" spans="1:6" ht="39.75" customHeight="1" thickBot="1" x14ac:dyDescent="0.3">
      <c r="A13" s="477" t="s">
        <v>414</v>
      </c>
      <c r="B13" s="478">
        <v>110</v>
      </c>
      <c r="C13" s="483">
        <f>C15+C16+C17</f>
        <v>187885462.60657451</v>
      </c>
      <c r="D13" s="485">
        <f>E13-C13</f>
        <v>3.4255087375640869E-3</v>
      </c>
      <c r="E13" s="485">
        <f>E15+E16+E17</f>
        <v>187885462.61000001</v>
      </c>
      <c r="F13" s="475"/>
    </row>
    <row r="14" spans="1:6" ht="16.5" thickBot="1" x14ac:dyDescent="0.3">
      <c r="A14" s="589" t="s">
        <v>92</v>
      </c>
      <c r="B14" s="480"/>
      <c r="C14" s="481"/>
      <c r="D14" s="478"/>
      <c r="E14" s="476"/>
      <c r="F14" s="475"/>
    </row>
    <row r="15" spans="1:6" ht="24" customHeight="1" thickBot="1" x14ac:dyDescent="0.3">
      <c r="A15" s="589" t="s">
        <v>415</v>
      </c>
      <c r="B15" s="481">
        <v>111</v>
      </c>
      <c r="C15" s="482">
        <f>'ПФХД 2019 с разбивкой '!G26</f>
        <v>143436558.52657449</v>
      </c>
      <c r="D15" s="484">
        <f>E15-C15</f>
        <v>3.4255087375640869E-3</v>
      </c>
      <c r="E15" s="484">
        <f>'ПФХД 2019 с разбивкой '!H26</f>
        <v>143436558.53</v>
      </c>
      <c r="F15" s="475"/>
    </row>
    <row r="16" spans="1:6" ht="33" customHeight="1" thickBot="1" x14ac:dyDescent="0.3">
      <c r="A16" s="589" t="s">
        <v>416</v>
      </c>
      <c r="B16" s="481">
        <v>119</v>
      </c>
      <c r="C16" s="482">
        <f>'ПФХД 2019 с разбивкой '!G27</f>
        <v>43924235.740000002</v>
      </c>
      <c r="D16" s="484">
        <f>E16-C16</f>
        <v>0</v>
      </c>
      <c r="E16" s="484">
        <f>'ПФХД 2019 с разбивкой '!H27</f>
        <v>43924235.740000002</v>
      </c>
      <c r="F16" s="475"/>
    </row>
    <row r="17" spans="1:6" ht="42.75" customHeight="1" thickBot="1" x14ac:dyDescent="0.3">
      <c r="A17" s="589" t="s">
        <v>417</v>
      </c>
      <c r="B17" s="481">
        <v>112</v>
      </c>
      <c r="C17" s="482">
        <f>'ПФХД 2019 с разбивкой '!G28</f>
        <v>524668.34</v>
      </c>
      <c r="D17" s="484">
        <f>E17-C17</f>
        <v>0</v>
      </c>
      <c r="E17" s="482">
        <f>'ПФХД 2019 с разбивкой '!H28</f>
        <v>524668.34</v>
      </c>
      <c r="F17" s="475"/>
    </row>
    <row r="18" spans="1:6" ht="40.5" customHeight="1" thickBot="1" x14ac:dyDescent="0.3">
      <c r="A18" s="477" t="s">
        <v>418</v>
      </c>
      <c r="B18" s="478">
        <v>850</v>
      </c>
      <c r="C18" s="483">
        <f>C20+C22+C23</f>
        <v>5201007.6000000006</v>
      </c>
      <c r="D18" s="484">
        <f t="shared" ref="D18" si="0">E18-C18</f>
        <v>0</v>
      </c>
      <c r="E18" s="483">
        <f>E20+E22+E23</f>
        <v>5201007.6000000006</v>
      </c>
      <c r="F18" s="475"/>
    </row>
    <row r="19" spans="1:6" ht="16.5" thickBot="1" x14ac:dyDescent="0.3">
      <c r="A19" s="589" t="s">
        <v>92</v>
      </c>
      <c r="B19" s="480"/>
      <c r="C19" s="481"/>
      <c r="D19" s="478"/>
      <c r="E19" s="476"/>
      <c r="F19" s="475"/>
    </row>
    <row r="20" spans="1:6" ht="21.75" customHeight="1" x14ac:dyDescent="0.25">
      <c r="A20" s="1539" t="s">
        <v>171</v>
      </c>
      <c r="B20" s="1541">
        <v>851</v>
      </c>
      <c r="C20" s="1537">
        <f>'ПФХД 2019 с разбивкой '!G38</f>
        <v>4890097.57</v>
      </c>
      <c r="D20" s="1537">
        <f>E20-C20</f>
        <v>0</v>
      </c>
      <c r="E20" s="1537">
        <f>'ПФХД 2019 с разбивкой '!H38</f>
        <v>4890097.57</v>
      </c>
      <c r="F20" s="1536"/>
    </row>
    <row r="21" spans="1:6" ht="15.75" thickBot="1" x14ac:dyDescent="0.3">
      <c r="A21" s="1540"/>
      <c r="B21" s="1542"/>
      <c r="C21" s="1538"/>
      <c r="D21" s="1542"/>
      <c r="E21" s="1538">
        <v>5545243.1200000001</v>
      </c>
      <c r="F21" s="1536"/>
    </row>
    <row r="22" spans="1:6" ht="24.75" customHeight="1" thickBot="1" x14ac:dyDescent="0.3">
      <c r="A22" s="589" t="s">
        <v>172</v>
      </c>
      <c r="B22" s="481">
        <v>852</v>
      </c>
      <c r="C22" s="482">
        <f>'ПФХД 2019 с разбивкой '!G39</f>
        <v>209267.46000000002</v>
      </c>
      <c r="D22" s="484">
        <f>E22-C22</f>
        <v>0</v>
      </c>
      <c r="E22" s="482">
        <f>'ПФХД 2019 с разбивкой '!H39</f>
        <v>209267.46</v>
      </c>
      <c r="F22" s="475"/>
    </row>
    <row r="23" spans="1:6" ht="28.5" customHeight="1" thickBot="1" x14ac:dyDescent="0.3">
      <c r="A23" s="589" t="s">
        <v>173</v>
      </c>
      <c r="B23" s="481">
        <v>853</v>
      </c>
      <c r="C23" s="482">
        <f>'ПФХД 2019 с разбивкой '!G40</f>
        <v>101642.56999999999</v>
      </c>
      <c r="D23" s="484">
        <f>E23-C23</f>
        <v>0</v>
      </c>
      <c r="E23" s="482">
        <f>'ПФХД 2019 с разбивкой '!H40</f>
        <v>101642.57</v>
      </c>
      <c r="F23" s="475"/>
    </row>
    <row r="24" spans="1:6" ht="36.75" customHeight="1" thickBot="1" x14ac:dyDescent="0.3">
      <c r="A24" s="477" t="s">
        <v>176</v>
      </c>
      <c r="B24" s="478">
        <v>240</v>
      </c>
      <c r="C24" s="483">
        <f>C26+C27+C28+C29+C31+C32+C30</f>
        <v>46655720.769999996</v>
      </c>
      <c r="D24" s="483">
        <f>E24-C24</f>
        <v>0</v>
      </c>
      <c r="E24" s="485">
        <f>E26+E27+E28+E29+E31+E32+E30</f>
        <v>46655720.769999996</v>
      </c>
      <c r="F24" s="475"/>
    </row>
    <row r="25" spans="1:6" ht="16.5" thickBot="1" x14ac:dyDescent="0.3">
      <c r="A25" s="589" t="s">
        <v>92</v>
      </c>
      <c r="B25" s="480"/>
      <c r="C25" s="481"/>
      <c r="D25" s="478"/>
      <c r="E25" s="476"/>
      <c r="F25" s="475"/>
    </row>
    <row r="26" spans="1:6" ht="26.25" customHeight="1" thickBot="1" x14ac:dyDescent="0.3">
      <c r="A26" s="589" t="s">
        <v>419</v>
      </c>
      <c r="B26" s="481">
        <v>244</v>
      </c>
      <c r="C26" s="482">
        <f>'ПФХД 2019 с разбивкой '!G48</f>
        <v>935479.38</v>
      </c>
      <c r="D26" s="482">
        <f>E26-C26</f>
        <v>0</v>
      </c>
      <c r="E26" s="482">
        <f>'ПФХД 2019 с разбивкой '!H48</f>
        <v>935479.38</v>
      </c>
      <c r="F26" s="475"/>
    </row>
    <row r="27" spans="1:6" ht="30" customHeight="1" thickBot="1" x14ac:dyDescent="0.3">
      <c r="A27" s="589" t="s">
        <v>420</v>
      </c>
      <c r="B27" s="481">
        <v>244</v>
      </c>
      <c r="C27" s="482">
        <f>'ПФХД 2019 с разбивкой '!G50</f>
        <v>11180271.91</v>
      </c>
      <c r="D27" s="482">
        <f t="shared" ref="D27:D34" si="1">E27-C27</f>
        <v>0</v>
      </c>
      <c r="E27" s="482">
        <f>'ПФХД 2019 с разбивкой '!H50</f>
        <v>11180271.91</v>
      </c>
      <c r="F27" s="475"/>
    </row>
    <row r="28" spans="1:6" ht="41.25" customHeight="1" thickBot="1" x14ac:dyDescent="0.3">
      <c r="A28" s="589" t="s">
        <v>421</v>
      </c>
      <c r="B28" s="481">
        <v>244</v>
      </c>
      <c r="C28" s="482">
        <f>'ПФХД 2019 с разбивкой '!G55</f>
        <v>6515818.2999999998</v>
      </c>
      <c r="D28" s="482">
        <f t="shared" si="1"/>
        <v>0</v>
      </c>
      <c r="E28" s="482">
        <f>'ПФХД 2019 с разбивкой '!H55</f>
        <v>6515818.2999999998</v>
      </c>
      <c r="F28" s="475"/>
    </row>
    <row r="29" spans="1:6" ht="32.25" customHeight="1" thickBot="1" x14ac:dyDescent="0.3">
      <c r="A29" s="589" t="s">
        <v>422</v>
      </c>
      <c r="B29" s="481">
        <v>244</v>
      </c>
      <c r="C29" s="482">
        <f>'ПФХД 2019 с разбивкой '!G59</f>
        <v>3819615.4699999997</v>
      </c>
      <c r="D29" s="482">
        <f t="shared" si="1"/>
        <v>0</v>
      </c>
      <c r="E29" s="482">
        <f>'ПФХД 2019 с разбивкой '!H59</f>
        <v>3819615.4699999997</v>
      </c>
      <c r="F29" s="475"/>
    </row>
    <row r="30" spans="1:6" ht="32.25" customHeight="1" thickBot="1" x14ac:dyDescent="0.3">
      <c r="A30" s="589" t="s">
        <v>184</v>
      </c>
      <c r="B30" s="481">
        <v>244</v>
      </c>
      <c r="C30" s="482">
        <f>'ПФХД 2019 с разбивкой '!G61</f>
        <v>1034</v>
      </c>
      <c r="D30" s="482">
        <f t="shared" si="1"/>
        <v>0</v>
      </c>
      <c r="E30" s="482">
        <f>'ПФХД 2019 с разбивкой '!H61</f>
        <v>1034</v>
      </c>
      <c r="F30" s="475"/>
    </row>
    <row r="31" spans="1:6" ht="39.75" customHeight="1" thickBot="1" x14ac:dyDescent="0.3">
      <c r="A31" s="589" t="s">
        <v>423</v>
      </c>
      <c r="B31" s="481">
        <v>244</v>
      </c>
      <c r="C31" s="482">
        <f>'ПФХД 2019 с разбивкой '!G63</f>
        <v>2019992.7</v>
      </c>
      <c r="D31" s="482">
        <f t="shared" si="1"/>
        <v>0</v>
      </c>
      <c r="E31" s="482">
        <f>'ПФХД 2019 с разбивкой '!H63</f>
        <v>2019992.7000000002</v>
      </c>
      <c r="F31" s="475"/>
    </row>
    <row r="32" spans="1:6" ht="36" customHeight="1" thickBot="1" x14ac:dyDescent="0.3">
      <c r="A32" s="589" t="s">
        <v>424</v>
      </c>
      <c r="B32" s="481">
        <v>244</v>
      </c>
      <c r="C32" s="482">
        <f>'ПФХД 2019 с разбивкой '!G66</f>
        <v>22183509.009999998</v>
      </c>
      <c r="D32" s="482">
        <f t="shared" si="1"/>
        <v>0</v>
      </c>
      <c r="E32" s="482">
        <f>'ПФХД 2019 с разбивкой '!H66</f>
        <v>22183509.009999998</v>
      </c>
      <c r="F32" s="475"/>
    </row>
    <row r="33" spans="1:34" ht="27" customHeight="1" thickBot="1" x14ac:dyDescent="0.3">
      <c r="A33" s="477" t="s">
        <v>160</v>
      </c>
      <c r="B33" s="478" t="s">
        <v>149</v>
      </c>
      <c r="C33" s="483">
        <f>C13+C18+C24</f>
        <v>239742190.97657448</v>
      </c>
      <c r="D33" s="483">
        <f t="shared" si="1"/>
        <v>3.4255385398864746E-3</v>
      </c>
      <c r="E33" s="483">
        <f>E13+E18+E24</f>
        <v>239742190.98000002</v>
      </c>
      <c r="F33" s="475"/>
    </row>
    <row r="34" spans="1:34" ht="31.5" customHeight="1" thickBot="1" x14ac:dyDescent="0.3">
      <c r="A34" s="477" t="s">
        <v>194</v>
      </c>
      <c r="B34" s="478" t="s">
        <v>149</v>
      </c>
      <c r="C34" s="483">
        <f>'ПФХД 2019 с разбивкой '!G75</f>
        <v>21072590.976574481</v>
      </c>
      <c r="D34" s="483">
        <f t="shared" si="1"/>
        <v>3.4255385398864746E-3</v>
      </c>
      <c r="E34" s="483">
        <f>'ПФХД 2019 с разбивкой '!H75</f>
        <v>21072590.980000019</v>
      </c>
      <c r="F34" s="475"/>
      <c r="AE34" s="486">
        <f>D15+D17+D30</f>
        <v>3.4255087375640869E-3</v>
      </c>
    </row>
    <row r="35" spans="1:34" ht="27.75" customHeight="1" thickBot="1" x14ac:dyDescent="0.3">
      <c r="A35" s="477" t="s">
        <v>195</v>
      </c>
      <c r="B35" s="478" t="s">
        <v>149</v>
      </c>
      <c r="C35" s="509">
        <f>'ПФХД 2019 с разбивкой '!G11+'пояснительная (2)'!C34-'пояснительная (2)'!C33</f>
        <v>0</v>
      </c>
      <c r="D35" s="509">
        <f>SUM(D13:D34)</f>
        <v>1.3702094554901123E-2</v>
      </c>
      <c r="E35" s="508">
        <f>'ПФХД 2019 с разбивкой '!H11+'пояснительная (2)'!E34-'пояснительная (2)'!E33</f>
        <v>0</v>
      </c>
      <c r="F35" s="475"/>
      <c r="AE35" s="486">
        <f>-D16-D27-D28-D29-D31</f>
        <v>0</v>
      </c>
    </row>
    <row r="36" spans="1:34" ht="20.25" customHeight="1" x14ac:dyDescent="0.25">
      <c r="A36" s="510"/>
      <c r="B36" s="511"/>
      <c r="C36" s="512"/>
      <c r="D36" s="512"/>
      <c r="E36" s="513"/>
      <c r="F36" s="475"/>
      <c r="L36" s="1519" t="s">
        <v>463</v>
      </c>
      <c r="M36" s="1519"/>
      <c r="N36" s="1519"/>
      <c r="O36" s="1519"/>
      <c r="P36" s="1519"/>
    </row>
    <row r="37" spans="1:34" ht="44.25" customHeight="1" x14ac:dyDescent="0.25">
      <c r="A37" s="1519" t="s">
        <v>521</v>
      </c>
      <c r="B37" s="1519"/>
      <c r="C37" s="1519"/>
      <c r="D37" s="1519"/>
      <c r="E37" s="1519"/>
      <c r="F37" s="475"/>
      <c r="L37" s="1519" t="s">
        <v>464</v>
      </c>
      <c r="M37" s="1519"/>
      <c r="N37" s="1519"/>
      <c r="O37" s="1519"/>
      <c r="P37" s="1519"/>
    </row>
    <row r="38" spans="1:34" ht="32.25" customHeight="1" x14ac:dyDescent="0.25">
      <c r="A38" s="1519" t="s">
        <v>534</v>
      </c>
      <c r="B38" s="1519"/>
      <c r="C38" s="1519"/>
      <c r="D38" s="1519"/>
      <c r="E38" s="1519"/>
      <c r="F38" s="475"/>
      <c r="L38" s="633"/>
      <c r="M38" s="633"/>
      <c r="N38" s="633"/>
      <c r="O38" s="633"/>
      <c r="P38" s="633"/>
    </row>
    <row r="39" spans="1:34" ht="63.75" customHeight="1" x14ac:dyDescent="0.25">
      <c r="A39" s="1519" t="s">
        <v>536</v>
      </c>
      <c r="B39" s="1519"/>
      <c r="C39" s="1519"/>
      <c r="D39" s="1519"/>
      <c r="E39" s="1519"/>
      <c r="F39" s="475"/>
      <c r="L39" s="637"/>
      <c r="M39" s="637"/>
      <c r="N39" s="637"/>
      <c r="O39" s="637"/>
      <c r="P39" s="637"/>
    </row>
    <row r="40" spans="1:34" ht="78.75" customHeight="1" x14ac:dyDescent="0.25">
      <c r="A40" s="1519" t="s">
        <v>535</v>
      </c>
      <c r="B40" s="1519"/>
      <c r="C40" s="1519"/>
      <c r="D40" s="1519"/>
      <c r="E40" s="1519"/>
      <c r="F40" s="475"/>
      <c r="L40" s="637"/>
      <c r="M40" s="637"/>
      <c r="N40" s="637"/>
      <c r="O40" s="637"/>
      <c r="P40" s="637"/>
    </row>
    <row r="41" spans="1:34" ht="81.75" customHeight="1" x14ac:dyDescent="0.25">
      <c r="A41" s="1519" t="s">
        <v>510</v>
      </c>
      <c r="B41" s="1519"/>
      <c r="C41" s="1519"/>
      <c r="D41" s="1519"/>
      <c r="E41" s="1519"/>
      <c r="F41" s="475"/>
      <c r="L41" s="633"/>
      <c r="M41" s="633"/>
      <c r="N41" s="633"/>
      <c r="O41" s="633"/>
      <c r="P41" s="633"/>
    </row>
    <row r="42" spans="1:34" ht="44.25" customHeight="1" x14ac:dyDescent="0.25">
      <c r="A42" s="1519" t="s">
        <v>512</v>
      </c>
      <c r="B42" s="1519"/>
      <c r="C42" s="1519"/>
      <c r="D42" s="1519"/>
      <c r="E42" s="1519"/>
      <c r="F42" s="475"/>
      <c r="L42" s="633"/>
      <c r="M42" s="633"/>
      <c r="N42" s="633"/>
      <c r="O42" s="633"/>
      <c r="P42" s="633"/>
    </row>
    <row r="43" spans="1:34" ht="45.75" customHeight="1" x14ac:dyDescent="0.25">
      <c r="A43" s="1519" t="s">
        <v>522</v>
      </c>
      <c r="B43" s="1519"/>
      <c r="C43" s="1519"/>
      <c r="D43" s="1519"/>
      <c r="E43" s="1519"/>
      <c r="L43" s="1519" t="s">
        <v>465</v>
      </c>
      <c r="M43" s="1519"/>
      <c r="N43" s="1519"/>
      <c r="O43" s="1519"/>
      <c r="P43" s="1519"/>
      <c r="AH43" s="472">
        <v>1268199.5999999978</v>
      </c>
    </row>
    <row r="44" spans="1:34" ht="42" customHeight="1" x14ac:dyDescent="0.25">
      <c r="A44" s="1518" t="s">
        <v>530</v>
      </c>
      <c r="B44" s="1518"/>
      <c r="C44" s="1518"/>
      <c r="D44" s="1518"/>
      <c r="E44" s="1518"/>
      <c r="L44" s="587"/>
      <c r="M44" s="587"/>
      <c r="N44" s="587"/>
      <c r="O44" s="587"/>
      <c r="P44" s="587"/>
    </row>
    <row r="45" spans="1:34" ht="60" customHeight="1" x14ac:dyDescent="0.25">
      <c r="A45" s="1519" t="s">
        <v>513</v>
      </c>
      <c r="B45" s="1519"/>
      <c r="C45" s="1519"/>
      <c r="D45" s="1519"/>
      <c r="E45" s="1519"/>
      <c r="L45" s="633"/>
      <c r="M45" s="633"/>
      <c r="N45" s="633"/>
      <c r="O45" s="633"/>
      <c r="P45" s="633"/>
    </row>
    <row r="46" spans="1:34" ht="42" customHeight="1" x14ac:dyDescent="0.25">
      <c r="A46" s="1514" t="s">
        <v>524</v>
      </c>
      <c r="B46" s="1514"/>
      <c r="C46" s="1514"/>
      <c r="D46" s="1514"/>
      <c r="E46" s="1514"/>
      <c r="L46" s="633"/>
      <c r="M46" s="633"/>
      <c r="N46" s="633"/>
      <c r="O46" s="633"/>
      <c r="P46" s="633"/>
    </row>
    <row r="47" spans="1:34" ht="42" customHeight="1" x14ac:dyDescent="0.25">
      <c r="A47" s="1514" t="s">
        <v>525</v>
      </c>
      <c r="B47" s="1514"/>
      <c r="C47" s="1514"/>
      <c r="D47" s="1514"/>
      <c r="E47" s="1514"/>
      <c r="L47" s="633"/>
      <c r="M47" s="633"/>
      <c r="N47" s="633"/>
      <c r="O47" s="633"/>
      <c r="P47" s="633"/>
    </row>
    <row r="48" spans="1:34" ht="42" customHeight="1" x14ac:dyDescent="0.25">
      <c r="A48" s="1519" t="s">
        <v>526</v>
      </c>
      <c r="B48" s="1519"/>
      <c r="C48" s="1519"/>
      <c r="D48" s="1519"/>
      <c r="E48" s="1519"/>
      <c r="L48" s="633"/>
      <c r="M48" s="633"/>
      <c r="N48" s="633"/>
      <c r="O48" s="633"/>
      <c r="P48" s="633"/>
    </row>
    <row r="49" spans="1:5" x14ac:dyDescent="0.25">
      <c r="C49" s="487"/>
    </row>
    <row r="50" spans="1:5" ht="48.75" customHeight="1" x14ac:dyDescent="0.25">
      <c r="A50" s="1520" t="s">
        <v>452</v>
      </c>
      <c r="B50" s="1520"/>
      <c r="C50" s="1520"/>
      <c r="D50" s="1520"/>
      <c r="E50" s="1520"/>
    </row>
    <row r="51" spans="1:5" ht="26.25" customHeight="1" thickBot="1" x14ac:dyDescent="0.3">
      <c r="A51" s="638"/>
      <c r="B51" s="638"/>
      <c r="C51" s="638"/>
      <c r="D51" s="638"/>
      <c r="E51" s="638"/>
    </row>
    <row r="52" spans="1:5" ht="21" customHeight="1" x14ac:dyDescent="0.25">
      <c r="A52" s="1549" t="s">
        <v>88</v>
      </c>
      <c r="B52" s="1549" t="s">
        <v>409</v>
      </c>
      <c r="C52" s="1552" t="s">
        <v>540</v>
      </c>
      <c r="D52" s="1549" t="s">
        <v>411</v>
      </c>
      <c r="E52" s="1555" t="s">
        <v>412</v>
      </c>
    </row>
    <row r="53" spans="1:5" ht="4.5" customHeight="1" x14ac:dyDescent="0.25">
      <c r="A53" s="1550"/>
      <c r="B53" s="1550"/>
      <c r="C53" s="1553"/>
      <c r="D53" s="1550"/>
      <c r="E53" s="1556"/>
    </row>
    <row r="54" spans="1:5" ht="24.75" customHeight="1" thickBot="1" x14ac:dyDescent="0.3">
      <c r="A54" s="1551"/>
      <c r="B54" s="1551"/>
      <c r="C54" s="1554"/>
      <c r="D54" s="1551"/>
      <c r="E54" s="644" t="s">
        <v>413</v>
      </c>
    </row>
    <row r="55" spans="1:5" ht="15.75" x14ac:dyDescent="0.25">
      <c r="A55" s="645" t="s">
        <v>148</v>
      </c>
      <c r="B55" s="648">
        <v>100</v>
      </c>
      <c r="C55" s="653">
        <f>C58+C65+C66</f>
        <v>389458704.58170003</v>
      </c>
      <c r="D55" s="660">
        <f t="shared" ref="D55:D66" si="2">E55-C55</f>
        <v>-1.7000436782836914E-3</v>
      </c>
      <c r="E55" s="640">
        <f>E58+E65+E66</f>
        <v>389458704.57999998</v>
      </c>
    </row>
    <row r="56" spans="1:5" ht="15.75" x14ac:dyDescent="0.25">
      <c r="A56" s="646" t="s">
        <v>137</v>
      </c>
      <c r="B56" s="649"/>
      <c r="C56" s="654"/>
      <c r="D56" s="658">
        <f t="shared" si="2"/>
        <v>0</v>
      </c>
      <c r="E56" s="641"/>
    </row>
    <row r="57" spans="1:5" ht="15.75" x14ac:dyDescent="0.25">
      <c r="A57" s="646" t="s">
        <v>150</v>
      </c>
      <c r="B57" s="650">
        <v>110</v>
      </c>
      <c r="C57" s="655"/>
      <c r="D57" s="658">
        <f t="shared" si="2"/>
        <v>0</v>
      </c>
      <c r="E57" s="642"/>
    </row>
    <row r="58" spans="1:5" ht="15.75" x14ac:dyDescent="0.25">
      <c r="A58" s="646" t="s">
        <v>151</v>
      </c>
      <c r="B58" s="650">
        <v>120</v>
      </c>
      <c r="C58" s="655">
        <f>C59+C60+C61</f>
        <v>354559479.07170004</v>
      </c>
      <c r="D58" s="658">
        <f t="shared" si="2"/>
        <v>-1.7000436782836914E-3</v>
      </c>
      <c r="E58" s="642">
        <f>E59+E60+E61</f>
        <v>354559479.06999999</v>
      </c>
    </row>
    <row r="59" spans="1:5" ht="15.75" x14ac:dyDescent="0.25">
      <c r="A59" s="646" t="s">
        <v>152</v>
      </c>
      <c r="B59" s="649"/>
      <c r="C59" s="655">
        <f>'ПФХД 2019 с разбивкой '!AL15</f>
        <v>338355908.77170002</v>
      </c>
      <c r="D59" s="658"/>
      <c r="E59" s="642">
        <f>'ПФХД 2019 с разбивкой '!AM15</f>
        <v>338355908.76999998</v>
      </c>
    </row>
    <row r="60" spans="1:5" ht="15.75" x14ac:dyDescent="0.25">
      <c r="A60" s="646" t="s">
        <v>153</v>
      </c>
      <c r="B60" s="649"/>
      <c r="C60" s="656">
        <f>'ПФХД 2019 с разбивкой '!AL16</f>
        <v>0</v>
      </c>
      <c r="D60" s="658">
        <f t="shared" si="2"/>
        <v>0</v>
      </c>
      <c r="E60" s="643">
        <f>'ПФХД 2019 с разбивкой '!AM16</f>
        <v>0</v>
      </c>
    </row>
    <row r="61" spans="1:5" ht="15.75" x14ac:dyDescent="0.25">
      <c r="A61" s="646" t="s">
        <v>154</v>
      </c>
      <c r="B61" s="649"/>
      <c r="C61" s="655">
        <f>'ПФХД 2019 с разбивкой '!AL17</f>
        <v>16203570.300000001</v>
      </c>
      <c r="D61" s="658">
        <f t="shared" si="2"/>
        <v>0</v>
      </c>
      <c r="E61" s="642">
        <f>'ПФХД 2019 с разбивкой '!AM17</f>
        <v>16203570.300000001</v>
      </c>
    </row>
    <row r="62" spans="1:5" ht="15" customHeight="1" x14ac:dyDescent="0.25">
      <c r="A62" s="646" t="s">
        <v>155</v>
      </c>
      <c r="B62" s="650">
        <v>130</v>
      </c>
      <c r="C62" s="656"/>
      <c r="D62" s="658">
        <f t="shared" si="2"/>
        <v>0</v>
      </c>
      <c r="E62" s="643"/>
    </row>
    <row r="63" spans="1:5" ht="15.75" customHeight="1" x14ac:dyDescent="0.25">
      <c r="A63" s="646" t="s">
        <v>156</v>
      </c>
      <c r="B63" s="650">
        <v>140</v>
      </c>
      <c r="C63" s="656"/>
      <c r="D63" s="658">
        <f t="shared" si="2"/>
        <v>0</v>
      </c>
      <c r="E63" s="643"/>
    </row>
    <row r="64" spans="1:5" ht="31.5" x14ac:dyDescent="0.25">
      <c r="A64" s="646" t="s">
        <v>157</v>
      </c>
      <c r="B64" s="650">
        <v>150</v>
      </c>
      <c r="C64" s="656"/>
      <c r="D64" s="658">
        <f t="shared" si="2"/>
        <v>0</v>
      </c>
      <c r="E64" s="643"/>
    </row>
    <row r="65" spans="1:9" ht="15.75" x14ac:dyDescent="0.25">
      <c r="A65" s="646" t="s">
        <v>158</v>
      </c>
      <c r="B65" s="650">
        <v>160</v>
      </c>
      <c r="C65" s="655">
        <f>'ПФХД 2019 с разбивкой '!AL21</f>
        <v>34899225.510000005</v>
      </c>
      <c r="D65" s="658">
        <f t="shared" si="2"/>
        <v>0</v>
      </c>
      <c r="E65" s="642">
        <f>'ПФХД 2019 с разбивкой '!AM21</f>
        <v>34899225.510000005</v>
      </c>
    </row>
    <row r="66" spans="1:9" ht="16.5" thickBot="1" x14ac:dyDescent="0.3">
      <c r="A66" s="647" t="s">
        <v>159</v>
      </c>
      <c r="B66" s="651">
        <v>180</v>
      </c>
      <c r="C66" s="657">
        <f>'ПФХД 2019 с разбивкой '!AL22</f>
        <v>0</v>
      </c>
      <c r="D66" s="659">
        <f t="shared" si="2"/>
        <v>0</v>
      </c>
      <c r="E66" s="652">
        <f>'ПФХД 2019 с разбивкой '!AM22</f>
        <v>0</v>
      </c>
    </row>
    <row r="67" spans="1:9" x14ac:dyDescent="0.25">
      <c r="C67" s="487"/>
    </row>
    <row r="68" spans="1:9" ht="43.5" customHeight="1" x14ac:dyDescent="0.25">
      <c r="A68" s="1519" t="s">
        <v>541</v>
      </c>
      <c r="B68" s="1519"/>
      <c r="C68" s="1519"/>
      <c r="D68" s="1519"/>
      <c r="E68" s="1519"/>
    </row>
    <row r="69" spans="1:9" ht="39.75" customHeight="1" x14ac:dyDescent="0.25">
      <c r="A69" s="1519" t="s">
        <v>542</v>
      </c>
      <c r="B69" s="1519"/>
      <c r="C69" s="1519"/>
      <c r="D69" s="1519"/>
      <c r="E69" s="1519"/>
    </row>
    <row r="70" spans="1:9" ht="41.25" customHeight="1" x14ac:dyDescent="0.25">
      <c r="A70" s="1519" t="s">
        <v>543</v>
      </c>
      <c r="B70" s="1519"/>
      <c r="C70" s="1519"/>
      <c r="D70" s="1519"/>
      <c r="E70" s="1519"/>
    </row>
    <row r="71" spans="1:9" ht="27.75" customHeight="1" x14ac:dyDescent="0.25">
      <c r="A71" s="1519" t="s">
        <v>544</v>
      </c>
      <c r="B71" s="1519"/>
      <c r="C71" s="1519"/>
      <c r="D71" s="1519"/>
      <c r="E71" s="1519"/>
    </row>
    <row r="72" spans="1:9" x14ac:dyDescent="0.25">
      <c r="C72" s="487"/>
    </row>
    <row r="73" spans="1:9" x14ac:dyDescent="0.25">
      <c r="C73" s="487"/>
    </row>
    <row r="74" spans="1:9" ht="51" customHeight="1" x14ac:dyDescent="0.25">
      <c r="A74" s="1520" t="s">
        <v>538</v>
      </c>
      <c r="B74" s="1520"/>
      <c r="C74" s="1520"/>
      <c r="D74" s="1520"/>
      <c r="E74" s="1520"/>
    </row>
    <row r="75" spans="1:9" ht="15.75" thickBot="1" x14ac:dyDescent="0.3"/>
    <row r="76" spans="1:9" ht="31.5" x14ac:dyDescent="0.25">
      <c r="A76" s="1515" t="s">
        <v>88</v>
      </c>
      <c r="B76" s="1515" t="s">
        <v>409</v>
      </c>
      <c r="C76" s="490" t="s">
        <v>430</v>
      </c>
      <c r="D76" s="1515" t="s">
        <v>411</v>
      </c>
      <c r="E76" s="490" t="s">
        <v>431</v>
      </c>
    </row>
    <row r="77" spans="1:9" ht="15.75" x14ac:dyDescent="0.25">
      <c r="A77" s="1516"/>
      <c r="B77" s="1516"/>
      <c r="C77" s="491" t="s">
        <v>431</v>
      </c>
      <c r="D77" s="1516"/>
      <c r="E77" s="491" t="s">
        <v>432</v>
      </c>
    </row>
    <row r="78" spans="1:9" ht="16.5" thickBot="1" x14ac:dyDescent="0.3">
      <c r="A78" s="1517"/>
      <c r="B78" s="1517"/>
      <c r="C78" s="492" t="s">
        <v>244</v>
      </c>
      <c r="D78" s="1517"/>
      <c r="E78" s="492" t="s">
        <v>413</v>
      </c>
    </row>
    <row r="79" spans="1:9" ht="16.5" thickBot="1" x14ac:dyDescent="0.3">
      <c r="A79" s="493" t="s">
        <v>414</v>
      </c>
      <c r="B79" s="492">
        <v>110</v>
      </c>
      <c r="C79" s="502">
        <f>C81+C82+C83</f>
        <v>209193760.26000002</v>
      </c>
      <c r="D79" s="502">
        <f>E79-C79</f>
        <v>270347.93000000715</v>
      </c>
      <c r="E79" s="502">
        <f>E81+E82+E83</f>
        <v>209464108.19000003</v>
      </c>
      <c r="H79" s="486"/>
      <c r="I79" s="472" t="b">
        <f>F80=H79</f>
        <v>1</v>
      </c>
    </row>
    <row r="80" spans="1:9" ht="16.5" thickBot="1" x14ac:dyDescent="0.3">
      <c r="A80" s="493" t="s">
        <v>92</v>
      </c>
      <c r="B80" s="492"/>
      <c r="C80" s="492"/>
      <c r="D80" s="492"/>
      <c r="E80" s="492"/>
      <c r="F80" s="486"/>
    </row>
    <row r="81" spans="1:9" ht="16.5" thickBot="1" x14ac:dyDescent="0.3">
      <c r="A81" s="590" t="s">
        <v>433</v>
      </c>
      <c r="B81" s="497">
        <v>111</v>
      </c>
      <c r="C81" s="501">
        <f>'ПФХД 2019 с разбивкой '!AL26</f>
        <v>160289139.99000001</v>
      </c>
      <c r="D81" s="501">
        <f t="shared" ref="D81:D86" si="3">E81-C81</f>
        <v>0</v>
      </c>
      <c r="E81" s="501">
        <f>'ПФХД 2019 с разбивкой '!AM26</f>
        <v>160289139.99000001</v>
      </c>
    </row>
    <row r="82" spans="1:9" ht="32.25" thickBot="1" x14ac:dyDescent="0.3">
      <c r="A82" s="590" t="s">
        <v>434</v>
      </c>
      <c r="B82" s="497">
        <v>119</v>
      </c>
      <c r="C82" s="501">
        <f>'ПФХД 2019 с разбивкой '!AL27</f>
        <v>48407320.270000003</v>
      </c>
      <c r="D82" s="501">
        <f t="shared" si="3"/>
        <v>0</v>
      </c>
      <c r="E82" s="501">
        <f>'ПФХД 2019 с разбивкой '!AM27</f>
        <v>48407320.270000003</v>
      </c>
    </row>
    <row r="83" spans="1:9" ht="48" thickBot="1" x14ac:dyDescent="0.3">
      <c r="A83" s="590" t="s">
        <v>417</v>
      </c>
      <c r="B83" s="497">
        <v>112</v>
      </c>
      <c r="C83" s="501">
        <f>'ПФХД 2019 с разбивкой '!AL28</f>
        <v>497300</v>
      </c>
      <c r="D83" s="501">
        <f t="shared" si="3"/>
        <v>270347.93000000005</v>
      </c>
      <c r="E83" s="501">
        <f>'ПФХД 2019 с разбивкой '!AM28</f>
        <v>767647.93</v>
      </c>
    </row>
    <row r="84" spans="1:9" ht="16.5" thickBot="1" x14ac:dyDescent="0.3">
      <c r="A84" s="493" t="s">
        <v>435</v>
      </c>
      <c r="B84" s="492">
        <v>830</v>
      </c>
      <c r="C84" s="502">
        <f>C85</f>
        <v>500000</v>
      </c>
      <c r="D84" s="502">
        <f t="shared" si="3"/>
        <v>0</v>
      </c>
      <c r="E84" s="502">
        <f>E85</f>
        <v>500000</v>
      </c>
    </row>
    <row r="85" spans="1:9" ht="63.75" thickBot="1" x14ac:dyDescent="0.3">
      <c r="A85" s="590" t="s">
        <v>169</v>
      </c>
      <c r="B85" s="497">
        <v>831</v>
      </c>
      <c r="C85" s="501">
        <f>'ПФХД 2019 с разбивкой '!AL34</f>
        <v>500000</v>
      </c>
      <c r="D85" s="501">
        <f t="shared" si="3"/>
        <v>0</v>
      </c>
      <c r="E85" s="501">
        <f>'ПФХД 2019 с разбивкой '!AM34</f>
        <v>500000</v>
      </c>
    </row>
    <row r="86" spans="1:9" ht="32.25" thickBot="1" x14ac:dyDescent="0.3">
      <c r="A86" s="493" t="s">
        <v>436</v>
      </c>
      <c r="B86" s="492">
        <v>850</v>
      </c>
      <c r="C86" s="502">
        <f>C88+C89+C90</f>
        <v>6804881.3199999994</v>
      </c>
      <c r="D86" s="502">
        <f t="shared" si="3"/>
        <v>0</v>
      </c>
      <c r="E86" s="502">
        <f>E88+E89+E90</f>
        <v>6804881.3199999994</v>
      </c>
    </row>
    <row r="87" spans="1:9" ht="16.5" thickBot="1" x14ac:dyDescent="0.3">
      <c r="A87" s="590" t="s">
        <v>92</v>
      </c>
      <c r="B87" s="497"/>
      <c r="C87" s="497"/>
      <c r="D87" s="497"/>
      <c r="E87" s="497"/>
    </row>
    <row r="88" spans="1:9" ht="32.25" thickBot="1" x14ac:dyDescent="0.3">
      <c r="A88" s="590" t="s">
        <v>437</v>
      </c>
      <c r="B88" s="497">
        <v>851</v>
      </c>
      <c r="C88" s="501">
        <f>'ПФХД 2019 с разбивкой '!AL38</f>
        <v>5562881.3199999994</v>
      </c>
      <c r="D88" s="501">
        <f>E88-C88</f>
        <v>0</v>
      </c>
      <c r="E88" s="501">
        <f>'ПФХД 2019 с разбивкой '!AM38</f>
        <v>5562881.3199999994</v>
      </c>
    </row>
    <row r="89" spans="1:9" ht="16.5" thickBot="1" x14ac:dyDescent="0.3">
      <c r="A89" s="590" t="s">
        <v>438</v>
      </c>
      <c r="B89" s="497">
        <v>852</v>
      </c>
      <c r="C89" s="501">
        <f>'ПФХД 2019 с разбивкой '!AL39</f>
        <v>635000</v>
      </c>
      <c r="D89" s="501">
        <f>E89-C89</f>
        <v>0</v>
      </c>
      <c r="E89" s="501">
        <f>'ПФХД 2019 с разбивкой '!AM39</f>
        <v>635000</v>
      </c>
    </row>
    <row r="90" spans="1:9" ht="16.5" thickBot="1" x14ac:dyDescent="0.3">
      <c r="A90" s="590" t="s">
        <v>439</v>
      </c>
      <c r="B90" s="497">
        <v>853</v>
      </c>
      <c r="C90" s="501">
        <f>'ПФХД 2019 с разбивкой '!AL40</f>
        <v>607000</v>
      </c>
      <c r="D90" s="501">
        <f>E90-C90</f>
        <v>0</v>
      </c>
      <c r="E90" s="501">
        <f>'ПФХД 2019 с разбивкой '!AM40</f>
        <v>607000</v>
      </c>
    </row>
    <row r="91" spans="1:9" ht="32.25" thickBot="1" x14ac:dyDescent="0.3">
      <c r="A91" s="493" t="s">
        <v>176</v>
      </c>
      <c r="B91" s="492">
        <v>240</v>
      </c>
      <c r="C91" s="502">
        <f>C93+C94+C95+C96+C97+C99+C100+C98</f>
        <v>183139902.45446354</v>
      </c>
      <c r="D91" s="502">
        <f>E91-C91</f>
        <v>-270347.94946354628</v>
      </c>
      <c r="E91" s="502">
        <f>E93+E94+E95+E96+E97+E98+E99+E100</f>
        <v>182869554.505</v>
      </c>
    </row>
    <row r="92" spans="1:9" ht="16.5" thickBot="1" x14ac:dyDescent="0.3">
      <c r="A92" s="590" t="s">
        <v>92</v>
      </c>
      <c r="B92" s="497"/>
      <c r="C92" s="497"/>
      <c r="D92" s="497"/>
      <c r="E92" s="497"/>
      <c r="F92" s="486"/>
    </row>
    <row r="93" spans="1:9" ht="16.5" thickBot="1" x14ac:dyDescent="0.3">
      <c r="A93" s="590" t="s">
        <v>419</v>
      </c>
      <c r="B93" s="497">
        <v>244</v>
      </c>
      <c r="C93" s="501">
        <f>'ПФХД 2019 с разбивкой '!AL48</f>
        <v>1214906.8064000001</v>
      </c>
      <c r="D93" s="501">
        <f>E93-C93</f>
        <v>3.599999938160181E-3</v>
      </c>
      <c r="E93" s="498">
        <f>'ПФХД 2019 с разбивкой '!AM48</f>
        <v>1214906.81</v>
      </c>
    </row>
    <row r="94" spans="1:9" ht="16.5" thickBot="1" x14ac:dyDescent="0.3">
      <c r="A94" s="590" t="s">
        <v>440</v>
      </c>
      <c r="B94" s="497">
        <v>244</v>
      </c>
      <c r="C94" s="501">
        <f>'ПФХД 2019 с разбивкой '!AL49</f>
        <v>161040</v>
      </c>
      <c r="D94" s="501">
        <f t="shared" ref="D94:D102" si="4">E94-C94</f>
        <v>0</v>
      </c>
      <c r="E94" s="498">
        <f>'ПФХД 2019 с разбивкой '!AM49</f>
        <v>161040</v>
      </c>
    </row>
    <row r="95" spans="1:9" ht="16.5" thickBot="1" x14ac:dyDescent="0.3">
      <c r="A95" s="590" t="s">
        <v>420</v>
      </c>
      <c r="B95" s="497">
        <v>244</v>
      </c>
      <c r="C95" s="501">
        <f>'ПФХД 2019 с разбивкой '!AL50</f>
        <v>22369194.312063538</v>
      </c>
      <c r="D95" s="501">
        <f t="shared" si="4"/>
        <v>-2.0635351538658142E-3</v>
      </c>
      <c r="E95" s="498">
        <f>'ПФХД 2019 с разбивкой '!AM50</f>
        <v>22369194.310000002</v>
      </c>
      <c r="I95" s="486">
        <f>D83+D89+D97+D99</f>
        <v>2276708.1589999972</v>
      </c>
    </row>
    <row r="96" spans="1:9" ht="32.25" thickBot="1" x14ac:dyDescent="0.3">
      <c r="A96" s="590" t="s">
        <v>441</v>
      </c>
      <c r="B96" s="497">
        <v>244</v>
      </c>
      <c r="C96" s="501">
        <f>'ПФХД 2019 с разбивкой '!AL55</f>
        <v>43147614.686000004</v>
      </c>
      <c r="D96" s="501">
        <f t="shared" si="4"/>
        <v>3.9999932050704956E-3</v>
      </c>
      <c r="E96" s="498">
        <f>'ПФХД 2019 с разбивкой '!AM55</f>
        <v>43147614.689999998</v>
      </c>
    </row>
    <row r="97" spans="1:33" ht="16.5" thickBot="1" x14ac:dyDescent="0.3">
      <c r="A97" s="590" t="s">
        <v>422</v>
      </c>
      <c r="B97" s="497">
        <v>244</v>
      </c>
      <c r="C97" s="501">
        <f>'ПФХД 2019 с разбивкой '!AL59</f>
        <v>19778685.696000002</v>
      </c>
      <c r="D97" s="501">
        <f t="shared" si="4"/>
        <v>3.9999969303607941E-3</v>
      </c>
      <c r="E97" s="498">
        <f>'ПФХД 2019 с разбивкой '!AM59</f>
        <v>19778685.699999999</v>
      </c>
    </row>
    <row r="98" spans="1:33" ht="16.5" thickBot="1" x14ac:dyDescent="0.3">
      <c r="A98" s="590" t="s">
        <v>184</v>
      </c>
      <c r="B98" s="497">
        <v>244</v>
      </c>
      <c r="C98" s="501">
        <f>'ПФХД 2019 с разбивкой '!AL61</f>
        <v>0</v>
      </c>
      <c r="D98" s="501">
        <f t="shared" si="4"/>
        <v>0</v>
      </c>
      <c r="E98" s="501">
        <f>'ПФХД 2019 с разбивкой '!AM61</f>
        <v>0</v>
      </c>
    </row>
    <row r="99" spans="1:33" ht="32.25" thickBot="1" x14ac:dyDescent="0.3">
      <c r="A99" s="590" t="s">
        <v>423</v>
      </c>
      <c r="B99" s="497">
        <v>244</v>
      </c>
      <c r="C99" s="501">
        <f>'ПФХД 2019 с разбивкой '!AL63</f>
        <v>745524.42</v>
      </c>
      <c r="D99" s="501">
        <f t="shared" si="4"/>
        <v>2006360.2250000001</v>
      </c>
      <c r="E99" s="501">
        <f>'ПФХД 2019 с разбивкой '!AM63</f>
        <v>2751884.645</v>
      </c>
      <c r="F99" s="486"/>
    </row>
    <row r="100" spans="1:33" ht="32.25" thickBot="1" x14ac:dyDescent="0.3">
      <c r="A100" s="590" t="s">
        <v>424</v>
      </c>
      <c r="B100" s="497">
        <v>244</v>
      </c>
      <c r="C100" s="501">
        <f>'ПФХД 2019 с разбивкой '!AL66</f>
        <v>95722936.533999994</v>
      </c>
      <c r="D100" s="501">
        <f t="shared" si="4"/>
        <v>-2276708.1839999855</v>
      </c>
      <c r="E100" s="501">
        <f>'ПФХД 2019 с разбивкой '!AM66</f>
        <v>93446228.350000009</v>
      </c>
      <c r="AE100" s="486">
        <f>D89+D96+D97+D98+D100</f>
        <v>-2276708.1759999953</v>
      </c>
    </row>
    <row r="101" spans="1:33" ht="20.25" customHeight="1" thickBot="1" x14ac:dyDescent="0.3">
      <c r="A101" s="499" t="s">
        <v>160</v>
      </c>
      <c r="B101" s="500">
        <v>200</v>
      </c>
      <c r="C101" s="503">
        <f>C79+C84+C86+C91</f>
        <v>399638544.03446352</v>
      </c>
      <c r="D101" s="502">
        <f t="shared" si="4"/>
        <v>-1.9463539123535156E-2</v>
      </c>
      <c r="E101" s="503">
        <f>E79+E84+E86+E91</f>
        <v>399638544.01499999</v>
      </c>
      <c r="I101" s="486">
        <f>-D101+I95</f>
        <v>2276708.1784635363</v>
      </c>
      <c r="J101" s="486">
        <f>I101-I95</f>
        <v>1.9463539123535156E-2</v>
      </c>
      <c r="AE101" s="486">
        <f>-D82-D85-D88-D90-D94-D95</f>
        <v>2.0635351538658142E-3</v>
      </c>
    </row>
    <row r="102" spans="1:33" ht="21.75" customHeight="1" thickBot="1" x14ac:dyDescent="0.3">
      <c r="A102" s="499" t="s">
        <v>442</v>
      </c>
      <c r="B102" s="500"/>
      <c r="C102" s="503">
        <f>'ПФХД 2019 с разбивкой '!AL75</f>
        <v>10179839.442763567</v>
      </c>
      <c r="D102" s="502">
        <f t="shared" si="4"/>
        <v>-7.7635645866394043E-3</v>
      </c>
      <c r="E102" s="503">
        <f>'ПФХД 2019 с разбивкой '!AM75</f>
        <v>10179839.435000002</v>
      </c>
    </row>
    <row r="103" spans="1:33" ht="21.75" customHeight="1" thickBot="1" x14ac:dyDescent="0.3">
      <c r="A103" s="499" t="s">
        <v>443</v>
      </c>
      <c r="B103" s="500"/>
      <c r="C103" s="503">
        <f>'ПФХД 2019 с разбивкой '!AL11+'пояснительная (2)'!C102-'пояснительная (2)'!C101</f>
        <v>0</v>
      </c>
      <c r="D103" s="503">
        <f>E103-C103</f>
        <v>0</v>
      </c>
      <c r="E103" s="503">
        <f>'ПФХД 2019 с разбивкой '!AM11+'пояснительная (2)'!E102-'пояснительная (2)'!E101</f>
        <v>0</v>
      </c>
    </row>
    <row r="105" spans="1:33" ht="45.75" customHeight="1" x14ac:dyDescent="0.25">
      <c r="A105" s="1519" t="s">
        <v>517</v>
      </c>
      <c r="B105" s="1519"/>
      <c r="C105" s="1519"/>
      <c r="D105" s="1519"/>
      <c r="E105" s="1519"/>
      <c r="H105" s="472">
        <f>385000+2980630.87</f>
        <v>3365630.87</v>
      </c>
    </row>
    <row r="106" spans="1:33" ht="45.75" customHeight="1" x14ac:dyDescent="0.25">
      <c r="A106" s="1519" t="s">
        <v>523</v>
      </c>
      <c r="B106" s="1519"/>
      <c r="C106" s="1519"/>
      <c r="D106" s="1519"/>
      <c r="E106" s="1519"/>
    </row>
    <row r="107" spans="1:33" ht="58.5" customHeight="1" x14ac:dyDescent="0.25">
      <c r="A107" s="1519" t="s">
        <v>527</v>
      </c>
      <c r="B107" s="1519"/>
      <c r="C107" s="1519"/>
      <c r="D107" s="1519"/>
      <c r="E107" s="1519"/>
    </row>
    <row r="108" spans="1:33" ht="57.75" customHeight="1" x14ac:dyDescent="0.25">
      <c r="A108" s="1519" t="s">
        <v>529</v>
      </c>
      <c r="B108" s="1519"/>
      <c r="C108" s="1519"/>
      <c r="D108" s="1519"/>
      <c r="E108" s="1519"/>
    </row>
    <row r="109" spans="1:33" ht="55.5" customHeight="1" x14ac:dyDescent="0.25">
      <c r="A109" s="1514" t="s">
        <v>537</v>
      </c>
      <c r="B109" s="1514"/>
      <c r="C109" s="1514"/>
      <c r="D109" s="1514"/>
      <c r="E109" s="1514"/>
      <c r="AG109" s="639"/>
    </row>
    <row r="110" spans="1:33" ht="60" customHeight="1" x14ac:dyDescent="0.25">
      <c r="A110" s="1519" t="s">
        <v>528</v>
      </c>
      <c r="B110" s="1519"/>
      <c r="C110" s="1519"/>
      <c r="D110" s="1519"/>
      <c r="E110" s="1519"/>
    </row>
    <row r="111" spans="1:33" ht="45.75" customHeight="1" x14ac:dyDescent="0.25">
      <c r="A111" s="1519" t="s">
        <v>518</v>
      </c>
      <c r="B111" s="1519"/>
      <c r="C111" s="1519"/>
      <c r="D111" s="1519"/>
      <c r="E111" s="1519"/>
    </row>
    <row r="112" spans="1:33" ht="45" customHeight="1" x14ac:dyDescent="0.25">
      <c r="A112" s="1519" t="s">
        <v>531</v>
      </c>
      <c r="B112" s="1519"/>
      <c r="C112" s="1519"/>
      <c r="D112" s="1519"/>
      <c r="E112" s="1519"/>
    </row>
    <row r="113" spans="1:5" ht="60.75" customHeight="1" x14ac:dyDescent="0.25">
      <c r="A113" s="1519" t="s">
        <v>516</v>
      </c>
      <c r="B113" s="1519"/>
      <c r="C113" s="1519"/>
      <c r="D113" s="1519"/>
      <c r="E113" s="1519"/>
    </row>
    <row r="114" spans="1:5" ht="41.25" customHeight="1" x14ac:dyDescent="0.25">
      <c r="A114" s="1519" t="s">
        <v>515</v>
      </c>
      <c r="B114" s="1519"/>
      <c r="C114" s="1519"/>
      <c r="D114" s="1519"/>
      <c r="E114" s="1519"/>
    </row>
    <row r="115" spans="1:5" ht="41.25" customHeight="1" x14ac:dyDescent="0.25">
      <c r="A115" s="1519" t="s">
        <v>519</v>
      </c>
      <c r="B115" s="1519"/>
      <c r="C115" s="1519"/>
      <c r="D115" s="1519"/>
      <c r="E115" s="1519"/>
    </row>
    <row r="116" spans="1:5" ht="25.5" customHeight="1" x14ac:dyDescent="0.25">
      <c r="A116" s="1519" t="s">
        <v>514</v>
      </c>
      <c r="B116" s="1519"/>
      <c r="C116" s="1519"/>
      <c r="D116" s="1519"/>
      <c r="E116" s="1519"/>
    </row>
    <row r="117" spans="1:5" ht="61.5" customHeight="1" x14ac:dyDescent="0.25">
      <c r="A117" s="1519" t="s">
        <v>520</v>
      </c>
      <c r="B117" s="1519"/>
      <c r="C117" s="1519"/>
      <c r="D117" s="1519"/>
      <c r="E117" s="1519"/>
    </row>
    <row r="118" spans="1:5" ht="17.25" customHeight="1" x14ac:dyDescent="0.25"/>
    <row r="119" spans="1:5" ht="63" customHeight="1" x14ac:dyDescent="0.25">
      <c r="A119" s="1520" t="s">
        <v>539</v>
      </c>
      <c r="B119" s="1520"/>
      <c r="C119" s="1520"/>
      <c r="D119" s="1520"/>
      <c r="E119" s="1520"/>
    </row>
    <row r="120" spans="1:5" ht="16.5" thickBot="1" x14ac:dyDescent="0.3">
      <c r="A120" s="494"/>
      <c r="B120" s="494"/>
      <c r="C120" s="504"/>
      <c r="D120" s="494"/>
      <c r="E120" s="505" t="s">
        <v>408</v>
      </c>
    </row>
    <row r="121" spans="1:5" ht="31.5" x14ac:dyDescent="0.25">
      <c r="A121" s="1515" t="s">
        <v>88</v>
      </c>
      <c r="B121" s="1515" t="s">
        <v>409</v>
      </c>
      <c r="C121" s="491" t="s">
        <v>430</v>
      </c>
      <c r="D121" s="1515" t="s">
        <v>411</v>
      </c>
      <c r="E121" s="491" t="s">
        <v>431</v>
      </c>
    </row>
    <row r="122" spans="1:5" ht="15.75" x14ac:dyDescent="0.25">
      <c r="A122" s="1516"/>
      <c r="B122" s="1516"/>
      <c r="C122" s="491" t="s">
        <v>431</v>
      </c>
      <c r="D122" s="1516"/>
      <c r="E122" s="491" t="s">
        <v>432</v>
      </c>
    </row>
    <row r="123" spans="1:5" ht="16.5" thickBot="1" x14ac:dyDescent="0.3">
      <c r="A123" s="1517"/>
      <c r="B123" s="1517"/>
      <c r="C123" s="492" t="s">
        <v>244</v>
      </c>
      <c r="D123" s="1517"/>
      <c r="E123" s="492" t="s">
        <v>413</v>
      </c>
    </row>
    <row r="124" spans="1:5" ht="16.5" thickBot="1" x14ac:dyDescent="0.3">
      <c r="A124" s="493" t="s">
        <v>414</v>
      </c>
      <c r="B124" s="492">
        <v>110</v>
      </c>
      <c r="C124" s="502">
        <f>C126+C127</f>
        <v>24940779.410000004</v>
      </c>
      <c r="D124" s="591"/>
      <c r="E124" s="506">
        <f>E126+E127</f>
        <v>24940779.41</v>
      </c>
    </row>
    <row r="125" spans="1:5" ht="16.5" thickBot="1" x14ac:dyDescent="0.3">
      <c r="A125" s="590" t="s">
        <v>92</v>
      </c>
      <c r="B125" s="492"/>
      <c r="C125" s="492"/>
      <c r="D125" s="591"/>
      <c r="E125" s="495"/>
    </row>
    <row r="126" spans="1:5" ht="16.5" thickBot="1" x14ac:dyDescent="0.3">
      <c r="A126" s="590" t="s">
        <v>433</v>
      </c>
      <c r="B126" s="497">
        <v>111</v>
      </c>
      <c r="C126" s="501">
        <f>'ПФХД 2019 с разбивкой '!Q26</f>
        <v>19155752.181443933</v>
      </c>
      <c r="D126" s="592"/>
      <c r="E126" s="498">
        <f>'ПФХД 2019 с разбивкой '!R26</f>
        <v>19155752.181443933</v>
      </c>
    </row>
    <row r="127" spans="1:5" ht="32.25" thickBot="1" x14ac:dyDescent="0.3">
      <c r="A127" s="590" t="s">
        <v>434</v>
      </c>
      <c r="B127" s="497">
        <v>119</v>
      </c>
      <c r="C127" s="501">
        <f>'ПФХД 2019 с разбивкой '!Q27</f>
        <v>5785027.2285560705</v>
      </c>
      <c r="D127" s="592"/>
      <c r="E127" s="498">
        <f>'ПФХД 2019 с разбивкой '!R27</f>
        <v>5785027.2285560677</v>
      </c>
    </row>
    <row r="128" spans="1:5" ht="32.25" thickBot="1" x14ac:dyDescent="0.3">
      <c r="A128" s="493" t="s">
        <v>436</v>
      </c>
      <c r="B128" s="492">
        <v>850</v>
      </c>
      <c r="C128" s="502">
        <f>C130+C131</f>
        <v>1914231.98</v>
      </c>
      <c r="D128" s="591">
        <v>0</v>
      </c>
      <c r="E128" s="506">
        <f>E130+E131</f>
        <v>1914231.98</v>
      </c>
    </row>
    <row r="129" spans="1:31" ht="16.5" thickBot="1" x14ac:dyDescent="0.3">
      <c r="A129" s="590" t="s">
        <v>92</v>
      </c>
      <c r="B129" s="492"/>
      <c r="C129" s="492"/>
      <c r="D129" s="591"/>
      <c r="E129" s="495"/>
    </row>
    <row r="130" spans="1:31" ht="32.25" thickBot="1" x14ac:dyDescent="0.3">
      <c r="A130" s="590" t="s">
        <v>437</v>
      </c>
      <c r="B130" s="497">
        <v>851</v>
      </c>
      <c r="C130" s="501">
        <f>'ПФХД 2019 с разбивкой '!Q38</f>
        <v>1914231.98</v>
      </c>
      <c r="D130" s="592">
        <v>0</v>
      </c>
      <c r="E130" s="498">
        <f>'ПФХД 2019 с разбивкой '!R38</f>
        <v>1914231.98</v>
      </c>
    </row>
    <row r="131" spans="1:31" ht="20.25" customHeight="1" thickBot="1" x14ac:dyDescent="0.3">
      <c r="A131" s="590" t="s">
        <v>438</v>
      </c>
      <c r="B131" s="497">
        <v>852</v>
      </c>
      <c r="C131" s="501">
        <f>'ПФХД 2019 с разбивкой '!Q39</f>
        <v>0</v>
      </c>
      <c r="D131" s="592">
        <v>0</v>
      </c>
      <c r="E131" s="498">
        <f>'ПФХД 2019 с разбивкой '!R39</f>
        <v>0</v>
      </c>
    </row>
    <row r="132" spans="1:31" ht="32.25" thickBot="1" x14ac:dyDescent="0.3">
      <c r="A132" s="493" t="s">
        <v>176</v>
      </c>
      <c r="B132" s="492">
        <v>240</v>
      </c>
      <c r="C132" s="502">
        <f>C134+C135+C136+C137+C138+C139+C142+C143</f>
        <v>1630613561.5799999</v>
      </c>
      <c r="D132" s="591"/>
      <c r="E132" s="502">
        <f>E134+E135+E136+E137+E138+E139+E142+E143+E141</f>
        <v>2636473664.7599998</v>
      </c>
    </row>
    <row r="133" spans="1:31" ht="16.5" thickBot="1" x14ac:dyDescent="0.3">
      <c r="A133" s="590" t="s">
        <v>92</v>
      </c>
      <c r="B133" s="492"/>
      <c r="C133" s="507"/>
      <c r="D133" s="591"/>
      <c r="E133" s="492"/>
    </row>
    <row r="134" spans="1:31" ht="22.5" customHeight="1" thickBot="1" x14ac:dyDescent="0.3">
      <c r="A134" s="590" t="s">
        <v>419</v>
      </c>
      <c r="B134" s="497">
        <v>244</v>
      </c>
      <c r="C134" s="501">
        <f>'ПФХД 2019 с разбивкой '!Q48</f>
        <v>255973.67</v>
      </c>
      <c r="D134" s="593">
        <v>0</v>
      </c>
      <c r="E134" s="498">
        <f>'ПФХД 2019 с разбивкой '!R48</f>
        <v>255973.67</v>
      </c>
    </row>
    <row r="135" spans="1:31" ht="22.5" customHeight="1" thickBot="1" x14ac:dyDescent="0.3">
      <c r="A135" s="590" t="s">
        <v>420</v>
      </c>
      <c r="B135" s="497">
        <v>244</v>
      </c>
      <c r="C135" s="501">
        <f>'ПФХД 2019 с разбивкой '!Q50</f>
        <v>11762136.630000001</v>
      </c>
      <c r="D135" s="593"/>
      <c r="E135" s="498">
        <f>'ПФХД 2019 с разбивкой '!R50</f>
        <v>10121507.76</v>
      </c>
    </row>
    <row r="136" spans="1:31" ht="16.5" thickBot="1" x14ac:dyDescent="0.3">
      <c r="A136" s="1532" t="s">
        <v>441</v>
      </c>
      <c r="B136" s="497">
        <v>243</v>
      </c>
      <c r="C136" s="501">
        <f>'ПФХД 2019 с разбивкой '!Q52</f>
        <v>1003324908.2</v>
      </c>
      <c r="D136" s="593"/>
      <c r="E136" s="498">
        <f>'ПФХД 2019 с разбивкой '!R52</f>
        <v>1253015908.2</v>
      </c>
    </row>
    <row r="137" spans="1:31" ht="16.5" thickBot="1" x14ac:dyDescent="0.3">
      <c r="A137" s="1533"/>
      <c r="B137" s="497">
        <v>244</v>
      </c>
      <c r="C137" s="501">
        <f>'ПФХД 2019 с разбивкой '!Q55</f>
        <v>4671847.25</v>
      </c>
      <c r="D137" s="593"/>
      <c r="E137" s="498">
        <f>'ПФХД 2019 с разбивкой '!R55</f>
        <v>43318576.129999995</v>
      </c>
      <c r="H137" s="486">
        <f>D136+D137+D142</f>
        <v>46551501.389999986</v>
      </c>
    </row>
    <row r="138" spans="1:31" ht="16.5" thickBot="1" x14ac:dyDescent="0.3">
      <c r="A138" s="1532" t="s">
        <v>422</v>
      </c>
      <c r="B138" s="497">
        <v>243</v>
      </c>
      <c r="C138" s="501">
        <f>'ПФХД 2019 с разбивкой '!Q56</f>
        <v>52389110</v>
      </c>
      <c r="D138" s="593"/>
      <c r="E138" s="498">
        <f>'ПФХД 2019 с разбивкой '!R56</f>
        <v>115847257.70999999</v>
      </c>
      <c r="H138" s="486">
        <f>-D138-D139-D143</f>
        <v>0</v>
      </c>
    </row>
    <row r="139" spans="1:31" ht="16.5" thickBot="1" x14ac:dyDescent="0.3">
      <c r="A139" s="1533"/>
      <c r="B139" s="497">
        <v>244</v>
      </c>
      <c r="C139" s="501">
        <f>'ПФХД 2019 с разбивкой '!Q59</f>
        <v>297440872.04000002</v>
      </c>
      <c r="D139" s="593"/>
      <c r="E139" s="498">
        <f>'ПФХД 2019 с разбивкой '!R59</f>
        <v>841838424.32999992</v>
      </c>
      <c r="H139" s="486">
        <f>H137-H138</f>
        <v>46551501.389999986</v>
      </c>
    </row>
    <row r="140" spans="1:31" ht="16.5" thickBot="1" x14ac:dyDescent="0.3">
      <c r="A140" s="590" t="s">
        <v>184</v>
      </c>
      <c r="B140" s="497">
        <v>244</v>
      </c>
      <c r="C140" s="501"/>
      <c r="D140" s="593"/>
      <c r="E140" s="501"/>
    </row>
    <row r="141" spans="1:31" ht="16.5" thickBot="1" x14ac:dyDescent="0.3">
      <c r="A141" s="1557" t="s">
        <v>423</v>
      </c>
      <c r="B141" s="497">
        <v>243</v>
      </c>
      <c r="C141" s="501"/>
      <c r="D141" s="501">
        <f t="shared" ref="D141:D142" si="5">E141-C141</f>
        <v>860103.18</v>
      </c>
      <c r="E141" s="501">
        <f>'ПФХД 2019 с разбивкой '!R62</f>
        <v>860103.18</v>
      </c>
    </row>
    <row r="142" spans="1:31" ht="16.5" thickBot="1" x14ac:dyDescent="0.3">
      <c r="A142" s="1558"/>
      <c r="B142" s="497">
        <v>244</v>
      </c>
      <c r="C142" s="501">
        <f>'ПФХД 2019 с разбивкой '!Q63</f>
        <v>226004857.31</v>
      </c>
      <c r="D142" s="501">
        <f t="shared" si="5"/>
        <v>46551501.389999986</v>
      </c>
      <c r="E142" s="498">
        <f>'ПФХД 2019 с разбивкой '!R63</f>
        <v>272556358.69999999</v>
      </c>
      <c r="H142" s="486">
        <f>D142-D144</f>
        <v>-959308601.7899996</v>
      </c>
    </row>
    <row r="143" spans="1:31" ht="32.25" thickBot="1" x14ac:dyDescent="0.3">
      <c r="A143" s="590" t="s">
        <v>424</v>
      </c>
      <c r="B143" s="497">
        <v>244</v>
      </c>
      <c r="C143" s="501">
        <f>'ПФХД 2019 с разбивкой '!Q66</f>
        <v>34763856.479999997</v>
      </c>
      <c r="D143" s="593"/>
      <c r="E143" s="498">
        <f>'ПФХД 2019 с разбивкой '!R66</f>
        <v>98659555.079999998</v>
      </c>
    </row>
    <row r="144" spans="1:31" ht="20.25" customHeight="1" thickBot="1" x14ac:dyDescent="0.3">
      <c r="A144" s="493" t="s">
        <v>160</v>
      </c>
      <c r="B144" s="492">
        <v>200</v>
      </c>
      <c r="C144" s="502">
        <f>C124+C128+C132</f>
        <v>1657468572.97</v>
      </c>
      <c r="D144" s="502">
        <f t="shared" ref="D144" si="6">E144-C144</f>
        <v>1005860103.1799996</v>
      </c>
      <c r="E144" s="502">
        <f>E124+E128+E132</f>
        <v>2663328676.1499996</v>
      </c>
      <c r="AE144" s="486"/>
    </row>
    <row r="145" spans="1:31" ht="37.5" customHeight="1" thickBot="1" x14ac:dyDescent="0.3">
      <c r="A145" s="576" t="s">
        <v>191</v>
      </c>
      <c r="B145" s="492">
        <v>400</v>
      </c>
      <c r="C145" s="502">
        <v>-49011428.340000004</v>
      </c>
      <c r="D145" s="594">
        <v>0</v>
      </c>
      <c r="E145" s="502">
        <f>'Часть 3'!D71</f>
        <v>0</v>
      </c>
    </row>
    <row r="146" spans="1:31" ht="27.75" customHeight="1" thickBot="1" x14ac:dyDescent="0.3">
      <c r="A146" s="499" t="s">
        <v>442</v>
      </c>
      <c r="B146" s="492">
        <v>500</v>
      </c>
      <c r="C146" s="502">
        <f>'ПФХД 2019 с разбивкой '!Q75</f>
        <v>593808468.51999998</v>
      </c>
      <c r="D146" s="594">
        <f t="shared" ref="D146" si="7">E146-C146</f>
        <v>0</v>
      </c>
      <c r="E146" s="502">
        <f>'ПФХД 2019 с разбивкой '!R75</f>
        <v>593808468.51999998</v>
      </c>
      <c r="AD146" s="486"/>
    </row>
    <row r="147" spans="1:31" ht="29.25" customHeight="1" thickBot="1" x14ac:dyDescent="0.3">
      <c r="A147" s="493" t="s">
        <v>195</v>
      </c>
      <c r="B147" s="492">
        <v>600</v>
      </c>
      <c r="C147" s="502">
        <v>0</v>
      </c>
      <c r="D147" s="594"/>
      <c r="E147" s="506">
        <v>0</v>
      </c>
      <c r="AD147" s="486"/>
    </row>
    <row r="149" spans="1:31" ht="44.25" customHeight="1" x14ac:dyDescent="0.25">
      <c r="A149" s="1519" t="s">
        <v>532</v>
      </c>
      <c r="B149" s="1519"/>
      <c r="C149" s="1519"/>
      <c r="D149" s="1519"/>
      <c r="E149" s="1519"/>
      <c r="F149" s="553"/>
    </row>
    <row r="150" spans="1:31" ht="72.75" customHeight="1" x14ac:dyDescent="0.25">
      <c r="A150" s="1514" t="s">
        <v>545</v>
      </c>
      <c r="B150" s="1514"/>
      <c r="C150" s="1514"/>
      <c r="D150" s="1514"/>
      <c r="E150" s="1514"/>
      <c r="F150" s="553"/>
    </row>
    <row r="151" spans="1:31" ht="40.5" customHeight="1" x14ac:dyDescent="0.25">
      <c r="A151" s="1519" t="s">
        <v>533</v>
      </c>
      <c r="B151" s="1519"/>
      <c r="C151" s="1519"/>
      <c r="D151" s="1519"/>
      <c r="E151" s="1519"/>
      <c r="F151" s="553"/>
    </row>
    <row r="154" spans="1:31" ht="18.75" x14ac:dyDescent="0.25">
      <c r="A154" s="520" t="s">
        <v>447</v>
      </c>
    </row>
    <row r="155" spans="1:31" ht="18.75" x14ac:dyDescent="0.25">
      <c r="A155" s="520" t="s">
        <v>449</v>
      </c>
      <c r="E155" s="520" t="s">
        <v>448</v>
      </c>
    </row>
    <row r="156" spans="1:31" ht="18.75" x14ac:dyDescent="0.25">
      <c r="A156" s="520"/>
      <c r="E156" s="520"/>
    </row>
    <row r="157" spans="1:31" ht="18.75" x14ac:dyDescent="0.25">
      <c r="A157" s="520"/>
      <c r="E157" s="520"/>
    </row>
    <row r="158" spans="1:31" ht="18.75" x14ac:dyDescent="0.25">
      <c r="A158" s="520"/>
      <c r="E158" s="520"/>
      <c r="AE158" s="472">
        <f>AE156-AE157</f>
        <v>0</v>
      </c>
    </row>
    <row r="159" spans="1:31" ht="18.75" x14ac:dyDescent="0.25">
      <c r="A159" s="520"/>
      <c r="E159" s="520"/>
    </row>
    <row r="160" spans="1:31" ht="18.75" x14ac:dyDescent="0.25">
      <c r="A160" s="520"/>
      <c r="E160" s="520"/>
    </row>
    <row r="161" spans="1:5" ht="18.75" x14ac:dyDescent="0.25">
      <c r="A161" s="520"/>
      <c r="E161" s="520"/>
    </row>
    <row r="162" spans="1:5" ht="18.75" x14ac:dyDescent="0.25">
      <c r="A162" s="520"/>
      <c r="E162" s="520"/>
    </row>
    <row r="163" spans="1:5" ht="18.75" x14ac:dyDescent="0.25">
      <c r="A163" s="520"/>
      <c r="E163" s="520"/>
    </row>
    <row r="164" spans="1:5" ht="18.75" x14ac:dyDescent="0.25">
      <c r="A164" s="520"/>
      <c r="E164" s="520"/>
    </row>
    <row r="165" spans="1:5" ht="18.75" x14ac:dyDescent="0.25">
      <c r="A165" s="520"/>
      <c r="E165" s="520"/>
    </row>
    <row r="166" spans="1:5" ht="18.75" x14ac:dyDescent="0.25">
      <c r="A166" s="520"/>
      <c r="E166" s="520"/>
    </row>
    <row r="167" spans="1:5" ht="18.75" x14ac:dyDescent="0.25">
      <c r="A167" s="520"/>
      <c r="E167" s="520"/>
    </row>
    <row r="168" spans="1:5" ht="18.75" x14ac:dyDescent="0.25">
      <c r="A168" s="520"/>
      <c r="E168" s="520"/>
    </row>
    <row r="169" spans="1:5" ht="18.75" x14ac:dyDescent="0.25">
      <c r="A169" s="520"/>
      <c r="E169" s="520"/>
    </row>
    <row r="170" spans="1:5" ht="18.75" x14ac:dyDescent="0.25">
      <c r="A170" s="520"/>
      <c r="E170" s="520"/>
    </row>
    <row r="171" spans="1:5" ht="18.75" x14ac:dyDescent="0.25">
      <c r="A171" s="520"/>
      <c r="E171" s="520"/>
    </row>
    <row r="172" spans="1:5" ht="18.75" x14ac:dyDescent="0.25">
      <c r="A172" s="520"/>
      <c r="E172" s="520"/>
    </row>
    <row r="173" spans="1:5" ht="18.75" x14ac:dyDescent="0.25">
      <c r="A173" s="520"/>
      <c r="E173" s="520"/>
    </row>
    <row r="174" spans="1:5" ht="18.75" x14ac:dyDescent="0.25">
      <c r="A174" s="520"/>
      <c r="E174" s="520"/>
    </row>
    <row r="175" spans="1:5" ht="18.75" x14ac:dyDescent="0.25">
      <c r="A175" s="520"/>
      <c r="E175" s="520"/>
    </row>
    <row r="176" spans="1:5" ht="18.75" x14ac:dyDescent="0.25">
      <c r="A176" s="520"/>
      <c r="E176" s="520"/>
    </row>
    <row r="177" spans="1:5" ht="18.75" x14ac:dyDescent="0.25">
      <c r="A177" s="520"/>
      <c r="E177" s="520"/>
    </row>
    <row r="178" spans="1:5" ht="18.75" x14ac:dyDescent="0.25">
      <c r="A178" s="520"/>
      <c r="E178" s="520"/>
    </row>
    <row r="179" spans="1:5" ht="18.75" x14ac:dyDescent="0.25">
      <c r="A179" s="520"/>
      <c r="E179" s="520"/>
    </row>
    <row r="180" spans="1:5" ht="18.75" x14ac:dyDescent="0.25">
      <c r="A180" s="520"/>
      <c r="E180" s="520"/>
    </row>
    <row r="181" spans="1:5" ht="18.75" x14ac:dyDescent="0.25">
      <c r="A181" s="520"/>
      <c r="E181" s="520"/>
    </row>
    <row r="182" spans="1:5" ht="18.75" x14ac:dyDescent="0.25">
      <c r="A182" s="520"/>
      <c r="E182" s="520"/>
    </row>
    <row r="183" spans="1:5" ht="18.75" x14ac:dyDescent="0.25">
      <c r="A183" s="520"/>
      <c r="E183" s="520"/>
    </row>
    <row r="184" spans="1:5" ht="18.75" x14ac:dyDescent="0.25">
      <c r="A184" s="520"/>
      <c r="E184" s="520"/>
    </row>
    <row r="185" spans="1:5" ht="18.75" x14ac:dyDescent="0.25">
      <c r="A185" s="520"/>
      <c r="E185" s="520"/>
    </row>
    <row r="186" spans="1:5" ht="19.5" customHeight="1" x14ac:dyDescent="0.25">
      <c r="A186" s="520"/>
    </row>
    <row r="187" spans="1:5" x14ac:dyDescent="0.25">
      <c r="A187" s="518"/>
    </row>
    <row r="188" spans="1:5" x14ac:dyDescent="0.25">
      <c r="A188" s="518" t="s">
        <v>444</v>
      </c>
    </row>
    <row r="189" spans="1:5" x14ac:dyDescent="0.25">
      <c r="A189" s="519" t="s">
        <v>445</v>
      </c>
    </row>
    <row r="190" spans="1:5" x14ac:dyDescent="0.25">
      <c r="A190" s="519" t="s">
        <v>446</v>
      </c>
    </row>
  </sheetData>
  <mergeCells count="68">
    <mergeCell ref="A110:E110"/>
    <mergeCell ref="A138:A139"/>
    <mergeCell ref="A149:E149"/>
    <mergeCell ref="A150:E150"/>
    <mergeCell ref="A111:E111"/>
    <mergeCell ref="A112:E112"/>
    <mergeCell ref="A113:E113"/>
    <mergeCell ref="A114:E114"/>
    <mergeCell ref="A116:E116"/>
    <mergeCell ref="A117:E117"/>
    <mergeCell ref="A115:E115"/>
    <mergeCell ref="A151:E151"/>
    <mergeCell ref="A141:A142"/>
    <mergeCell ref="A136:A137"/>
    <mergeCell ref="A119:E119"/>
    <mergeCell ref="A121:A123"/>
    <mergeCell ref="B121:B123"/>
    <mergeCell ref="D121:D123"/>
    <mergeCell ref="A70:E70"/>
    <mergeCell ref="A71:E71"/>
    <mergeCell ref="A76:A78"/>
    <mergeCell ref="B76:B78"/>
    <mergeCell ref="D76:D78"/>
    <mergeCell ref="L43:P43"/>
    <mergeCell ref="A107:E107"/>
    <mergeCell ref="A108:E108"/>
    <mergeCell ref="A109:E109"/>
    <mergeCell ref="A48:E48"/>
    <mergeCell ref="A46:E46"/>
    <mergeCell ref="A45:E45"/>
    <mergeCell ref="A105:E105"/>
    <mergeCell ref="A106:E106"/>
    <mergeCell ref="A68:E68"/>
    <mergeCell ref="A69:E69"/>
    <mergeCell ref="A44:E44"/>
    <mergeCell ref="A47:E47"/>
    <mergeCell ref="A74:E74"/>
    <mergeCell ref="A50:E50"/>
    <mergeCell ref="A43:E43"/>
    <mergeCell ref="E10:E11"/>
    <mergeCell ref="A39:E39"/>
    <mergeCell ref="A40:E40"/>
    <mergeCell ref="F20:F21"/>
    <mergeCell ref="L36:P36"/>
    <mergeCell ref="A37:E37"/>
    <mergeCell ref="L37:P37"/>
    <mergeCell ref="A38:E38"/>
    <mergeCell ref="A20:A21"/>
    <mergeCell ref="B20:B21"/>
    <mergeCell ref="C20:C21"/>
    <mergeCell ref="D20:D21"/>
    <mergeCell ref="E20:E21"/>
    <mergeCell ref="A3:E3"/>
    <mergeCell ref="A4:E4"/>
    <mergeCell ref="A5:E5"/>
    <mergeCell ref="A6:E6"/>
    <mergeCell ref="A52:A54"/>
    <mergeCell ref="B52:B54"/>
    <mergeCell ref="C52:C54"/>
    <mergeCell ref="D52:D54"/>
    <mergeCell ref="E52:E53"/>
    <mergeCell ref="A41:E41"/>
    <mergeCell ref="A42:E42"/>
    <mergeCell ref="A8:E8"/>
    <mergeCell ref="A10:A12"/>
    <mergeCell ref="B10:B12"/>
    <mergeCell ref="C10:C12"/>
    <mergeCell ref="D10:D12"/>
  </mergeCells>
  <pageMargins left="0.51181102362204722" right="0.51181102362204722" top="0.35433070866141736" bottom="0.35433070866141736" header="0.31496062992125984" footer="0.31496062992125984"/>
  <pageSetup paperSize="9" scale="51" fitToHeight="0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0000"/>
    <pageSetUpPr fitToPage="1"/>
  </sheetPr>
  <dimension ref="A1:AO121"/>
  <sheetViews>
    <sheetView showZeros="0" zoomScale="70" zoomScaleNormal="70" zoomScaleSheetLayoutView="100" workbookViewId="0">
      <pane xSplit="3" ySplit="9" topLeftCell="J10" activePane="bottomRight" state="frozen"/>
      <selection pane="topRight" activeCell="D1" sqref="D1"/>
      <selection pane="bottomLeft" activeCell="A10" sqref="A10"/>
      <selection pane="bottomRight" activeCell="AR27" sqref="AR27"/>
    </sheetView>
  </sheetViews>
  <sheetFormatPr defaultColWidth="9.140625" defaultRowHeight="15" x14ac:dyDescent="0.25"/>
  <cols>
    <col min="1" max="1" width="58" style="117" customWidth="1"/>
    <col min="2" max="2" width="11.28515625" style="117" customWidth="1"/>
    <col min="3" max="3" width="17.85546875" style="124" customWidth="1"/>
    <col min="4" max="6" width="18.42578125" style="117" hidden="1" customWidth="1"/>
    <col min="7" max="9" width="18.85546875" style="155" hidden="1" customWidth="1"/>
    <col min="10" max="10" width="25.7109375" style="155" customWidth="1"/>
    <col min="11" max="14" width="18.28515625" style="155" hidden="1" customWidth="1"/>
    <col min="15" max="15" width="24.5703125" style="155" customWidth="1"/>
    <col min="16" max="16" width="18.28515625" style="155" hidden="1" customWidth="1"/>
    <col min="17" max="17" width="20.28515625" style="152" hidden="1" customWidth="1"/>
    <col min="18" max="19" width="24.140625" style="152" hidden="1" customWidth="1"/>
    <col min="20" max="25" width="20.28515625" style="152" hidden="1" customWidth="1"/>
    <col min="26" max="26" width="22.85546875" style="152" customWidth="1"/>
    <col min="27" max="27" width="21.5703125" style="152" customWidth="1"/>
    <col min="28" max="31" width="20.28515625" style="152" hidden="1" customWidth="1"/>
    <col min="32" max="32" width="16.7109375" style="117" hidden="1" customWidth="1"/>
    <col min="33" max="34" width="16.7109375" style="125" hidden="1" customWidth="1"/>
    <col min="35" max="35" width="23.5703125" style="125" hidden="1" customWidth="1"/>
    <col min="36" max="36" width="15" style="125" hidden="1" customWidth="1"/>
    <col min="37" max="40" width="17.5703125" style="117" hidden="1" customWidth="1"/>
    <col min="41" max="41" width="25.28515625" style="117" customWidth="1"/>
    <col min="42" max="16384" width="9.140625" style="117"/>
  </cols>
  <sheetData>
    <row r="1" spans="1:41" ht="15.75" x14ac:dyDescent="0.25">
      <c r="A1" s="123" t="s">
        <v>131</v>
      </c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1"/>
      <c r="R1" s="111"/>
      <c r="S1" s="111"/>
      <c r="T1" s="111"/>
      <c r="U1" s="111"/>
      <c r="V1" s="117"/>
      <c r="W1" s="117"/>
      <c r="X1" s="117"/>
      <c r="Y1" s="117"/>
      <c r="Z1" s="117"/>
      <c r="AA1" s="117"/>
      <c r="AB1" s="117"/>
      <c r="AC1" s="117"/>
      <c r="AD1" s="117"/>
      <c r="AE1" s="117"/>
    </row>
    <row r="2" spans="1:41" ht="15.75" x14ac:dyDescent="0.25">
      <c r="A2" s="126" t="s">
        <v>132</v>
      </c>
      <c r="G2" s="117"/>
      <c r="H2" s="117"/>
      <c r="I2" s="117"/>
      <c r="J2" s="117"/>
      <c r="K2" s="117"/>
      <c r="L2" s="117"/>
      <c r="M2" s="117"/>
      <c r="N2" s="117"/>
      <c r="O2" s="117"/>
      <c r="P2" s="117"/>
      <c r="Q2" s="111"/>
      <c r="R2" s="111"/>
      <c r="S2" s="111"/>
      <c r="T2" s="111"/>
      <c r="U2" s="111"/>
      <c r="V2" s="117"/>
      <c r="W2" s="117"/>
      <c r="X2" s="117"/>
      <c r="Y2" s="117"/>
      <c r="Z2" s="117"/>
      <c r="AA2" s="117"/>
      <c r="AB2" s="117"/>
      <c r="AC2" s="117"/>
      <c r="AD2" s="117"/>
      <c r="AE2" s="117"/>
    </row>
    <row r="3" spans="1:41" s="581" customFormat="1" ht="15.75" x14ac:dyDescent="0.25">
      <c r="A3" s="580"/>
      <c r="C3" s="582"/>
      <c r="E3" s="583" t="e">
        <f>E22-E10+E75</f>
        <v>#REF!</v>
      </c>
      <c r="F3" s="583"/>
      <c r="I3" s="583">
        <f>H10-H22</f>
        <v>88085005.980000019</v>
      </c>
      <c r="Q3" s="583" t="e">
        <f>Q10-Q22</f>
        <v>#REF!</v>
      </c>
      <c r="R3" s="583" t="e">
        <f>Q3+Q74</f>
        <v>#REF!</v>
      </c>
      <c r="S3" s="583"/>
      <c r="T3" s="583"/>
      <c r="U3" s="583"/>
      <c r="V3" s="584"/>
      <c r="W3" s="584"/>
      <c r="AG3" s="585"/>
      <c r="AH3" s="585"/>
      <c r="AI3" s="585"/>
      <c r="AJ3" s="585"/>
      <c r="AK3" s="583"/>
      <c r="AL3" s="583"/>
      <c r="AM3" s="583"/>
    </row>
    <row r="4" spans="1:41" s="581" customFormat="1" ht="15.75" x14ac:dyDescent="0.25">
      <c r="A4" s="586"/>
      <c r="C4" s="582"/>
      <c r="M4" s="583">
        <f>K10+N10</f>
        <v>170867100</v>
      </c>
      <c r="N4" s="581">
        <f>M4/2906.41</f>
        <v>58789.744048499699</v>
      </c>
      <c r="O4" s="583">
        <f>L10+O10</f>
        <v>263835903.58000004</v>
      </c>
      <c r="AG4" s="585"/>
      <c r="AH4" s="585"/>
      <c r="AI4" s="585"/>
      <c r="AJ4" s="585"/>
      <c r="AK4" s="583"/>
      <c r="AL4" s="583"/>
      <c r="AM4" s="583"/>
    </row>
    <row r="5" spans="1:41" ht="15.75" x14ac:dyDescent="0.25">
      <c r="A5" s="1383" t="s">
        <v>88</v>
      </c>
      <c r="B5" s="1383" t="s">
        <v>133</v>
      </c>
      <c r="C5" s="1383" t="s">
        <v>134</v>
      </c>
      <c r="D5" s="1383" t="s">
        <v>135</v>
      </c>
      <c r="E5" s="1383"/>
      <c r="F5" s="1383"/>
      <c r="G5" s="1383"/>
      <c r="H5" s="1383"/>
      <c r="I5" s="1383"/>
      <c r="J5" s="1383"/>
      <c r="K5" s="1383"/>
      <c r="L5" s="1383"/>
      <c r="M5" s="1383"/>
      <c r="N5" s="1383"/>
      <c r="O5" s="1383"/>
      <c r="P5" s="1383"/>
      <c r="Q5" s="1383"/>
      <c r="R5" s="1383"/>
      <c r="S5" s="1383"/>
      <c r="T5" s="1383"/>
      <c r="U5" s="1383"/>
      <c r="V5" s="1383"/>
      <c r="W5" s="1383"/>
      <c r="X5" s="1383"/>
      <c r="Y5" s="1383"/>
      <c r="Z5" s="1383"/>
      <c r="AA5" s="1383"/>
      <c r="AB5" s="1383"/>
      <c r="AC5" s="1383"/>
      <c r="AD5" s="1383"/>
      <c r="AE5" s="1383"/>
      <c r="AF5" s="1383"/>
      <c r="AG5" s="1383"/>
      <c r="AH5" s="1383"/>
      <c r="AI5" s="1383"/>
      <c r="AJ5" s="1383"/>
      <c r="AK5" s="1383"/>
      <c r="AL5" s="1383"/>
      <c r="AM5" s="1383"/>
      <c r="AN5" s="1383"/>
      <c r="AO5" s="1383"/>
    </row>
    <row r="6" spans="1:41" ht="15.75" customHeight="1" x14ac:dyDescent="0.25">
      <c r="A6" s="1383"/>
      <c r="B6" s="1383"/>
      <c r="C6" s="1383"/>
      <c r="D6" s="1383" t="s">
        <v>136</v>
      </c>
      <c r="E6" s="1383" t="s">
        <v>402</v>
      </c>
      <c r="F6" s="1383" t="s">
        <v>395</v>
      </c>
      <c r="G6" s="1383" t="s">
        <v>137</v>
      </c>
      <c r="H6" s="1383"/>
      <c r="I6" s="1383"/>
      <c r="J6" s="1383"/>
      <c r="K6" s="1383"/>
      <c r="L6" s="1383"/>
      <c r="M6" s="1383"/>
      <c r="N6" s="1383"/>
      <c r="O6" s="1383"/>
      <c r="P6" s="1383"/>
      <c r="Q6" s="1383"/>
      <c r="R6" s="1383"/>
      <c r="S6" s="1383"/>
      <c r="T6" s="1383"/>
      <c r="U6" s="1383"/>
      <c r="V6" s="1383"/>
      <c r="W6" s="1383"/>
      <c r="X6" s="1383"/>
      <c r="Y6" s="1383"/>
      <c r="Z6" s="1383"/>
      <c r="AA6" s="1383"/>
      <c r="AB6" s="1383"/>
      <c r="AC6" s="1383"/>
      <c r="AD6" s="1383"/>
      <c r="AE6" s="1383"/>
      <c r="AF6" s="1383"/>
      <c r="AG6" s="1383"/>
      <c r="AH6" s="1383"/>
      <c r="AI6" s="1383"/>
      <c r="AJ6" s="1383"/>
      <c r="AK6" s="1383"/>
      <c r="AL6" s="1383"/>
      <c r="AM6" s="1383"/>
      <c r="AN6" s="1383"/>
      <c r="AO6" s="1383"/>
    </row>
    <row r="7" spans="1:41" ht="96" customHeight="1" x14ac:dyDescent="0.25">
      <c r="A7" s="1383"/>
      <c r="B7" s="1383"/>
      <c r="C7" s="1383"/>
      <c r="D7" s="1383"/>
      <c r="E7" s="1383"/>
      <c r="F7" s="1383"/>
      <c r="G7" s="1435" t="s">
        <v>138</v>
      </c>
      <c r="H7" s="1435" t="s">
        <v>397</v>
      </c>
      <c r="I7" s="1435" t="s">
        <v>395</v>
      </c>
      <c r="J7" s="1383" t="s">
        <v>582</v>
      </c>
      <c r="K7" s="1383"/>
      <c r="L7" s="1383"/>
      <c r="M7" s="1383"/>
      <c r="N7" s="1383"/>
      <c r="O7" s="1383"/>
      <c r="P7" s="1383"/>
      <c r="Q7" s="1383" t="s">
        <v>140</v>
      </c>
      <c r="R7" s="1383" t="s">
        <v>403</v>
      </c>
      <c r="S7" s="1383" t="s">
        <v>395</v>
      </c>
      <c r="T7" s="1383" t="s">
        <v>360</v>
      </c>
      <c r="U7" s="1383" t="s">
        <v>359</v>
      </c>
      <c r="V7" s="1383" t="s">
        <v>405</v>
      </c>
      <c r="W7" s="1383" t="s">
        <v>395</v>
      </c>
      <c r="X7" s="1383" t="s">
        <v>253</v>
      </c>
      <c r="Y7" s="1383" t="s">
        <v>142</v>
      </c>
      <c r="Z7" s="1565" t="s">
        <v>910</v>
      </c>
      <c r="AA7" s="1566"/>
      <c r="AB7" s="1383" t="s">
        <v>395</v>
      </c>
      <c r="AC7" s="1383" t="s">
        <v>490</v>
      </c>
      <c r="AD7" s="1383" t="s">
        <v>491</v>
      </c>
      <c r="AE7" s="1383" t="s">
        <v>395</v>
      </c>
      <c r="AF7" s="1383" t="s">
        <v>143</v>
      </c>
      <c r="AG7" s="1383" t="s">
        <v>144</v>
      </c>
      <c r="AH7" s="1559" t="s">
        <v>145</v>
      </c>
      <c r="AI7" s="1560"/>
      <c r="AJ7" s="1560"/>
      <c r="AK7" s="1560"/>
      <c r="AL7" s="1560"/>
      <c r="AM7" s="1560"/>
      <c r="AN7" s="1560"/>
      <c r="AO7" s="1561"/>
    </row>
    <row r="8" spans="1:41" ht="65.25" customHeight="1" x14ac:dyDescent="0.25">
      <c r="A8" s="1383"/>
      <c r="B8" s="1383"/>
      <c r="C8" s="1383"/>
      <c r="D8" s="1383"/>
      <c r="E8" s="1383"/>
      <c r="F8" s="1383"/>
      <c r="G8" s="1435"/>
      <c r="H8" s="1435"/>
      <c r="I8" s="1435"/>
      <c r="J8" s="672" t="s">
        <v>235</v>
      </c>
      <c r="K8" s="672" t="s">
        <v>365</v>
      </c>
      <c r="L8" s="672" t="s">
        <v>398</v>
      </c>
      <c r="M8" s="672" t="s">
        <v>395</v>
      </c>
      <c r="N8" s="672" t="s">
        <v>366</v>
      </c>
      <c r="O8" s="672" t="s">
        <v>909</v>
      </c>
      <c r="P8" s="672" t="s">
        <v>396</v>
      </c>
      <c r="Q8" s="1383"/>
      <c r="R8" s="1383"/>
      <c r="S8" s="1383"/>
      <c r="T8" s="1383"/>
      <c r="U8" s="1383"/>
      <c r="V8" s="1383"/>
      <c r="W8" s="1383"/>
      <c r="X8" s="1383"/>
      <c r="Y8" s="1383"/>
      <c r="Z8" s="565" t="s">
        <v>696</v>
      </c>
      <c r="AA8" s="565" t="s">
        <v>911</v>
      </c>
      <c r="AB8" s="1383"/>
      <c r="AC8" s="1383"/>
      <c r="AD8" s="1383"/>
      <c r="AE8" s="1383"/>
      <c r="AF8" s="1383"/>
      <c r="AG8" s="1383"/>
      <c r="AH8" s="1562"/>
      <c r="AI8" s="1563"/>
      <c r="AJ8" s="1563"/>
      <c r="AK8" s="1563"/>
      <c r="AL8" s="1563"/>
      <c r="AM8" s="1563"/>
      <c r="AN8" s="1563"/>
      <c r="AO8" s="1564"/>
    </row>
    <row r="9" spans="1:41" ht="15.75" x14ac:dyDescent="0.25">
      <c r="A9" s="673">
        <v>1</v>
      </c>
      <c r="B9" s="673">
        <v>2</v>
      </c>
      <c r="C9" s="672">
        <v>3</v>
      </c>
      <c r="D9" s="673">
        <v>4</v>
      </c>
      <c r="E9" s="673"/>
      <c r="F9" s="673"/>
      <c r="G9" s="156">
        <v>5</v>
      </c>
      <c r="H9" s="156"/>
      <c r="I9" s="156"/>
      <c r="J9" s="673">
        <v>4</v>
      </c>
      <c r="K9" s="673"/>
      <c r="L9" s="673"/>
      <c r="M9" s="673"/>
      <c r="N9" s="673"/>
      <c r="O9" s="673">
        <v>5</v>
      </c>
      <c r="P9" s="673"/>
      <c r="Q9" s="673">
        <v>6</v>
      </c>
      <c r="R9" s="673"/>
      <c r="S9" s="673"/>
      <c r="T9" s="673"/>
      <c r="U9" s="673"/>
      <c r="V9" s="673"/>
      <c r="W9" s="673"/>
      <c r="X9" s="673"/>
      <c r="Y9" s="673"/>
      <c r="Z9" s="673">
        <v>6</v>
      </c>
      <c r="AA9" s="673">
        <v>7</v>
      </c>
      <c r="AB9" s="673"/>
      <c r="AC9" s="673"/>
      <c r="AD9" s="673"/>
      <c r="AE9" s="673"/>
      <c r="AF9" s="673">
        <v>7</v>
      </c>
      <c r="AG9" s="561">
        <v>8</v>
      </c>
      <c r="AH9" s="673">
        <v>9</v>
      </c>
      <c r="AI9" s="673"/>
      <c r="AJ9" s="673"/>
      <c r="AK9" s="562"/>
      <c r="AL9" s="562"/>
      <c r="AM9" s="562"/>
      <c r="AN9" s="673"/>
      <c r="AO9" s="673">
        <v>8</v>
      </c>
    </row>
    <row r="10" spans="1:41" s="115" customFormat="1" ht="15.75" x14ac:dyDescent="0.25">
      <c r="A10" s="130" t="s">
        <v>148</v>
      </c>
      <c r="B10" s="675">
        <v>100</v>
      </c>
      <c r="C10" s="114" t="s">
        <v>149</v>
      </c>
      <c r="D10" s="59" t="e">
        <f>Q10+AF10+AG10+AH10+#REF!+G10</f>
        <v>#REF!</v>
      </c>
      <c r="E10" s="59">
        <f>H10+R10+AI10+AG10</f>
        <v>1454739941.23</v>
      </c>
      <c r="F10" s="59" t="e">
        <f>E10-D10</f>
        <v>#REF!</v>
      </c>
      <c r="G10" s="157">
        <f>SUM(G13)</f>
        <v>269539200</v>
      </c>
      <c r="H10" s="157">
        <f>H13</f>
        <v>269539200</v>
      </c>
      <c r="I10" s="157">
        <f>H10-G10</f>
        <v>0</v>
      </c>
      <c r="J10" s="59">
        <f>SUM(J13)</f>
        <v>5703296.4199999999</v>
      </c>
      <c r="K10" s="59">
        <f>SUM(K13)</f>
        <v>130176630.59999999</v>
      </c>
      <c r="L10" s="59">
        <f>H10-J10-O10</f>
        <v>218755434.47000003</v>
      </c>
      <c r="M10" s="59">
        <f>L10-K10</f>
        <v>88578803.870000035</v>
      </c>
      <c r="N10" s="59">
        <f>SUM(N13)</f>
        <v>40690469.399999999</v>
      </c>
      <c r="O10" s="59">
        <f>SUM(O13)</f>
        <v>45080469.109999999</v>
      </c>
      <c r="P10" s="59">
        <f>O10-N10</f>
        <v>4389999.7100000009</v>
      </c>
      <c r="Q10" s="59" t="e">
        <f t="shared" ref="Q10:AD10" si="0">Q19</f>
        <v>#REF!</v>
      </c>
      <c r="R10" s="59">
        <f t="shared" si="0"/>
        <v>823690181.47000003</v>
      </c>
      <c r="S10" s="59" t="e">
        <f>R10-Q10</f>
        <v>#REF!</v>
      </c>
      <c r="T10" s="59">
        <f t="shared" si="0"/>
        <v>0</v>
      </c>
      <c r="U10" s="59">
        <f t="shared" si="0"/>
        <v>777712203</v>
      </c>
      <c r="V10" s="59">
        <f t="shared" si="0"/>
        <v>777712203</v>
      </c>
      <c r="W10" s="59">
        <f>V10-U10</f>
        <v>0</v>
      </c>
      <c r="X10" s="59">
        <f t="shared" si="0"/>
        <v>22131000</v>
      </c>
      <c r="Y10" s="59">
        <f t="shared" si="0"/>
        <v>15941697</v>
      </c>
      <c r="Z10" s="59">
        <f t="shared" si="0"/>
        <v>6878578.4699999997</v>
      </c>
      <c r="AA10" s="59">
        <f>AA19</f>
        <v>15071900</v>
      </c>
      <c r="AB10" s="59" t="e">
        <f>AA10-#REF!</f>
        <v>#REF!</v>
      </c>
      <c r="AC10" s="59">
        <f t="shared" si="0"/>
        <v>1896500</v>
      </c>
      <c r="AD10" s="59">
        <f t="shared" si="0"/>
        <v>1896500</v>
      </c>
      <c r="AE10" s="59">
        <f>AD10-AC10</f>
        <v>0</v>
      </c>
      <c r="AF10" s="59">
        <v>0</v>
      </c>
      <c r="AG10" s="131">
        <f>AG12+AG13</f>
        <v>1800000</v>
      </c>
      <c r="AH10" s="59">
        <v>344453050.40999997</v>
      </c>
      <c r="AI10" s="59">
        <f>AL10+AO10</f>
        <v>359710559.75999999</v>
      </c>
      <c r="AJ10" s="59">
        <f>AI10-AH10</f>
        <v>15257509.350000024</v>
      </c>
      <c r="AK10" s="59">
        <f>AK20+AK13</f>
        <v>277647521.95999998</v>
      </c>
      <c r="AL10" s="59">
        <f>AL13+AL20</f>
        <v>276237488.63999999</v>
      </c>
      <c r="AM10" s="59">
        <f>AL10-AK10</f>
        <v>-1410033.3199999928</v>
      </c>
      <c r="AN10" s="59">
        <f>AN13+AN20+AN21</f>
        <v>66805528.449999996</v>
      </c>
      <c r="AO10" s="59">
        <f>AO13+AO20</f>
        <v>83473071.120000005</v>
      </c>
    </row>
    <row r="11" spans="1:41" ht="15.75" x14ac:dyDescent="0.25">
      <c r="A11" s="132" t="s">
        <v>137</v>
      </c>
      <c r="B11" s="133"/>
      <c r="C11" s="134"/>
      <c r="D11" s="64"/>
      <c r="E11" s="59">
        <f>H11+R11+AH11+AG11</f>
        <v>0</v>
      </c>
      <c r="F11" s="59">
        <f t="shared" ref="F11:F74" si="1">E11-D11</f>
        <v>0</v>
      </c>
      <c r="G11" s="159"/>
      <c r="H11" s="159"/>
      <c r="I11" s="159"/>
      <c r="J11" s="266"/>
      <c r="K11" s="266"/>
      <c r="L11" s="266"/>
      <c r="M11" s="266"/>
      <c r="N11" s="266"/>
      <c r="O11" s="266"/>
      <c r="P11" s="266"/>
      <c r="Q11" s="266"/>
      <c r="R11" s="266"/>
      <c r="S11" s="266"/>
      <c r="T11" s="266"/>
      <c r="U11" s="266"/>
      <c r="V11" s="266"/>
      <c r="W11" s="59">
        <f t="shared" ref="W11:W74" si="2">V11-U11</f>
        <v>0</v>
      </c>
      <c r="X11" s="266"/>
      <c r="Y11" s="266"/>
      <c r="Z11" s="266"/>
      <c r="AA11" s="266"/>
      <c r="AB11" s="266"/>
      <c r="AC11" s="266"/>
      <c r="AD11" s="266"/>
      <c r="AE11" s="266"/>
      <c r="AF11" s="266"/>
      <c r="AG11" s="62"/>
      <c r="AH11" s="59">
        <f t="shared" ref="AH11:AH12" si="3">AK11+AN11</f>
        <v>0</v>
      </c>
      <c r="AI11" s="59"/>
      <c r="AJ11" s="59">
        <f t="shared" ref="AJ11:AJ73" si="4">AI11-AH11</f>
        <v>0</v>
      </c>
      <c r="AK11" s="267"/>
      <c r="AL11" s="267"/>
      <c r="AM11" s="267"/>
      <c r="AN11" s="267"/>
      <c r="AO11" s="267"/>
    </row>
    <row r="12" spans="1:41" ht="15.75" x14ac:dyDescent="0.25">
      <c r="A12" s="132" t="s">
        <v>150</v>
      </c>
      <c r="B12" s="673">
        <v>110</v>
      </c>
      <c r="C12" s="134"/>
      <c r="D12" s="64"/>
      <c r="E12" s="59">
        <f>H12+R12+AH12+AG12</f>
        <v>0</v>
      </c>
      <c r="F12" s="59">
        <f t="shared" si="1"/>
        <v>0</v>
      </c>
      <c r="G12" s="158"/>
      <c r="H12" s="158"/>
      <c r="I12" s="158"/>
      <c r="J12" s="64"/>
      <c r="K12" s="64"/>
      <c r="L12" s="64"/>
      <c r="M12" s="64"/>
      <c r="N12" s="64"/>
      <c r="O12" s="64"/>
      <c r="P12" s="64"/>
      <c r="Q12" s="118"/>
      <c r="R12" s="118"/>
      <c r="S12" s="118"/>
      <c r="T12" s="118"/>
      <c r="U12" s="118"/>
      <c r="V12" s="118"/>
      <c r="W12" s="59">
        <f t="shared" si="2"/>
        <v>0</v>
      </c>
      <c r="X12" s="118"/>
      <c r="Y12" s="118"/>
      <c r="Z12" s="118"/>
      <c r="AA12" s="118"/>
      <c r="AB12" s="118"/>
      <c r="AC12" s="118"/>
      <c r="AD12" s="118"/>
      <c r="AE12" s="118"/>
      <c r="AF12" s="268"/>
      <c r="AG12" s="62"/>
      <c r="AH12" s="59">
        <f t="shared" si="3"/>
        <v>0</v>
      </c>
      <c r="AI12" s="59"/>
      <c r="AJ12" s="59">
        <f t="shared" si="4"/>
        <v>0</v>
      </c>
      <c r="AK12" s="267"/>
      <c r="AL12" s="267"/>
      <c r="AM12" s="267"/>
      <c r="AN12" s="267"/>
      <c r="AO12" s="267"/>
    </row>
    <row r="13" spans="1:41" ht="15.75" x14ac:dyDescent="0.25">
      <c r="A13" s="132" t="s">
        <v>151</v>
      </c>
      <c r="B13" s="673">
        <v>120</v>
      </c>
      <c r="C13" s="134"/>
      <c r="D13" s="64">
        <f>G13+Q13+AG13+AH13</f>
        <v>600792250.40999997</v>
      </c>
      <c r="E13" s="64">
        <f>H13+R13+AI13+AG13</f>
        <v>596256911.14999998</v>
      </c>
      <c r="F13" s="64">
        <f t="shared" si="1"/>
        <v>-4535339.2599999905</v>
      </c>
      <c r="G13" s="159">
        <f>G14</f>
        <v>269539200</v>
      </c>
      <c r="H13" s="159">
        <f>H14</f>
        <v>269539200</v>
      </c>
      <c r="I13" s="159">
        <f>H13-G13</f>
        <v>0</v>
      </c>
      <c r="J13" s="64">
        <f>J14</f>
        <v>5703296.4199999999</v>
      </c>
      <c r="K13" s="266">
        <v>130176630.59999999</v>
      </c>
      <c r="L13" s="266">
        <f>H13-J13-O13</f>
        <v>218755434.47000003</v>
      </c>
      <c r="M13" s="64">
        <f>L13-K13</f>
        <v>88578803.870000035</v>
      </c>
      <c r="N13" s="64">
        <f>N14</f>
        <v>40690469.399999999</v>
      </c>
      <c r="O13" s="64">
        <f>O14</f>
        <v>45080469.109999999</v>
      </c>
      <c r="P13" s="64">
        <f>O13-N13</f>
        <v>4389999.7100000009</v>
      </c>
      <c r="Q13" s="266"/>
      <c r="R13" s="266"/>
      <c r="S13" s="266"/>
      <c r="T13" s="266"/>
      <c r="U13" s="266"/>
      <c r="V13" s="266"/>
      <c r="W13" s="59">
        <f t="shared" si="2"/>
        <v>0</v>
      </c>
      <c r="X13" s="266"/>
      <c r="Y13" s="266"/>
      <c r="Z13" s="266"/>
      <c r="AA13" s="266"/>
      <c r="AB13" s="266"/>
      <c r="AC13" s="266"/>
      <c r="AD13" s="266"/>
      <c r="AE13" s="266"/>
      <c r="AF13" s="266"/>
      <c r="AG13" s="62">
        <f>SUM(AG14:AG16)</f>
        <v>1800000</v>
      </c>
      <c r="AH13" s="59">
        <v>329453050.40999997</v>
      </c>
      <c r="AI13" s="59">
        <f>AL13+AO13</f>
        <v>324917711.14999998</v>
      </c>
      <c r="AJ13" s="59">
        <f t="shared" si="4"/>
        <v>-4535339.2599999905</v>
      </c>
      <c r="AK13" s="64">
        <v>263024468.5</v>
      </c>
      <c r="AL13" s="64">
        <f>AL14+AL16</f>
        <v>261720812.07999998</v>
      </c>
      <c r="AM13" s="64">
        <f>AL13-AK13</f>
        <v>-1303656.4200000167</v>
      </c>
      <c r="AN13" s="64">
        <v>66428581.909999996</v>
      </c>
      <c r="AO13" s="64">
        <f>AO14</f>
        <v>63196899.07</v>
      </c>
    </row>
    <row r="14" spans="1:41" ht="15.75" x14ac:dyDescent="0.25">
      <c r="A14" s="132" t="s">
        <v>152</v>
      </c>
      <c r="B14" s="133"/>
      <c r="C14" s="134"/>
      <c r="D14" s="64">
        <f>G14+Q14+AG14+AH14</f>
        <v>582227780.40999997</v>
      </c>
      <c r="E14" s="64">
        <f>H14+R14+AI14+AG14</f>
        <v>577692441.14999998</v>
      </c>
      <c r="F14" s="64">
        <f t="shared" si="1"/>
        <v>-4535339.2599999905</v>
      </c>
      <c r="G14" s="159">
        <f>212239200+57300000</f>
        <v>269539200</v>
      </c>
      <c r="H14" s="159">
        <f>212239200+57300000</f>
        <v>269539200</v>
      </c>
      <c r="I14" s="159">
        <f>H14-G14</f>
        <v>0</v>
      </c>
      <c r="J14" s="266">
        <v>5703296.4199999999</v>
      </c>
      <c r="K14" s="266">
        <v>130176630.59999999</v>
      </c>
      <c r="L14" s="266">
        <f>H14-J14-O14</f>
        <v>218755434.47000003</v>
      </c>
      <c r="M14" s="266">
        <f>L14-K14</f>
        <v>88578803.870000035</v>
      </c>
      <c r="N14" s="266">
        <v>40690469.399999999</v>
      </c>
      <c r="O14" s="266">
        <v>45080469.109999999</v>
      </c>
      <c r="P14" s="266">
        <f>O14-N14</f>
        <v>4389999.7100000009</v>
      </c>
      <c r="Q14" s="266"/>
      <c r="R14" s="266"/>
      <c r="S14" s="266"/>
      <c r="T14" s="266"/>
      <c r="U14" s="266"/>
      <c r="V14" s="266"/>
      <c r="W14" s="59">
        <f t="shared" si="2"/>
        <v>0</v>
      </c>
      <c r="X14" s="266"/>
      <c r="Y14" s="266"/>
      <c r="Z14" s="266"/>
      <c r="AA14" s="266"/>
      <c r="AB14" s="266"/>
      <c r="AC14" s="266"/>
      <c r="AD14" s="266"/>
      <c r="AE14" s="266"/>
      <c r="AF14" s="266"/>
      <c r="AG14" s="266">
        <v>1800000</v>
      </c>
      <c r="AH14" s="59">
        <v>310888580.40999997</v>
      </c>
      <c r="AI14" s="59">
        <f t="shared" ref="AI14:AI75" si="5">AL14+AO14</f>
        <v>306353241.14999998</v>
      </c>
      <c r="AJ14" s="59">
        <f t="shared" si="4"/>
        <v>-4535339.2599999905</v>
      </c>
      <c r="AK14" s="64">
        <v>244459998.5</v>
      </c>
      <c r="AL14" s="64">
        <f>240927461+8431943.43-4899405.93-1185290.46-118365.96</f>
        <v>243156342.07999998</v>
      </c>
      <c r="AM14" s="64">
        <f>AL14-AK14</f>
        <v>-1303656.4200000167</v>
      </c>
      <c r="AN14" s="64">
        <v>66428581.909999996</v>
      </c>
      <c r="AO14" s="64">
        <v>63196899.07</v>
      </c>
    </row>
    <row r="15" spans="1:41" ht="15.75" x14ac:dyDescent="0.25">
      <c r="A15" s="132" t="s">
        <v>153</v>
      </c>
      <c r="B15" s="133"/>
      <c r="C15" s="134"/>
      <c r="D15" s="64"/>
      <c r="E15" s="64">
        <f>H15+R15+AH15+AG15</f>
        <v>0</v>
      </c>
      <c r="F15" s="59">
        <f t="shared" si="1"/>
        <v>0</v>
      </c>
      <c r="G15" s="159"/>
      <c r="H15" s="159"/>
      <c r="I15" s="159">
        <f t="shared" ref="I15:I21" si="6">H15-G15</f>
        <v>0</v>
      </c>
      <c r="J15" s="266"/>
      <c r="K15" s="266"/>
      <c r="L15" s="266"/>
      <c r="M15" s="266"/>
      <c r="N15" s="266"/>
      <c r="O15" s="266"/>
      <c r="P15" s="266"/>
      <c r="Q15" s="266"/>
      <c r="R15" s="266"/>
      <c r="S15" s="266"/>
      <c r="T15" s="266"/>
      <c r="U15" s="266"/>
      <c r="V15" s="266"/>
      <c r="W15" s="59">
        <f t="shared" si="2"/>
        <v>0</v>
      </c>
      <c r="X15" s="266"/>
      <c r="Y15" s="266"/>
      <c r="Z15" s="266"/>
      <c r="AA15" s="266"/>
      <c r="AB15" s="266"/>
      <c r="AC15" s="266"/>
      <c r="AD15" s="266"/>
      <c r="AE15" s="266"/>
      <c r="AF15" s="266"/>
      <c r="AG15" s="266"/>
      <c r="AH15" s="59">
        <v>0</v>
      </c>
      <c r="AI15" s="59">
        <f t="shared" si="5"/>
        <v>0</v>
      </c>
      <c r="AJ15" s="59">
        <f t="shared" si="4"/>
        <v>0</v>
      </c>
      <c r="AK15" s="267"/>
      <c r="AL15" s="267"/>
      <c r="AM15" s="267"/>
      <c r="AN15" s="267"/>
      <c r="AO15" s="267"/>
    </row>
    <row r="16" spans="1:41" ht="15.75" x14ac:dyDescent="0.25">
      <c r="A16" s="132" t="s">
        <v>154</v>
      </c>
      <c r="B16" s="133"/>
      <c r="C16" s="134"/>
      <c r="D16" s="64">
        <f>G16+Q16+AG16+AH16</f>
        <v>18564470</v>
      </c>
      <c r="E16" s="64">
        <f>H16+R16+AI16+AG16</f>
        <v>18564470</v>
      </c>
      <c r="F16" s="59">
        <f t="shared" si="1"/>
        <v>0</v>
      </c>
      <c r="G16" s="159"/>
      <c r="H16" s="159"/>
      <c r="I16" s="159">
        <f t="shared" si="6"/>
        <v>0</v>
      </c>
      <c r="J16" s="266"/>
      <c r="K16" s="266"/>
      <c r="L16" s="266"/>
      <c r="M16" s="266"/>
      <c r="N16" s="266"/>
      <c r="O16" s="266"/>
      <c r="P16" s="266"/>
      <c r="Q16" s="266"/>
      <c r="R16" s="266"/>
      <c r="S16" s="266"/>
      <c r="T16" s="266"/>
      <c r="U16" s="266"/>
      <c r="V16" s="266"/>
      <c r="W16" s="59">
        <f t="shared" si="2"/>
        <v>0</v>
      </c>
      <c r="X16" s="266"/>
      <c r="Y16" s="266"/>
      <c r="Z16" s="266"/>
      <c r="AA16" s="266"/>
      <c r="AB16" s="266"/>
      <c r="AC16" s="266"/>
      <c r="AD16" s="266"/>
      <c r="AE16" s="266"/>
      <c r="AF16" s="266"/>
      <c r="AG16" s="62"/>
      <c r="AH16" s="59">
        <v>18564470</v>
      </c>
      <c r="AI16" s="59">
        <f t="shared" si="5"/>
        <v>18564470</v>
      </c>
      <c r="AJ16" s="59">
        <f t="shared" si="4"/>
        <v>0</v>
      </c>
      <c r="AK16" s="64">
        <v>18564470</v>
      </c>
      <c r="AL16" s="64">
        <v>18564470</v>
      </c>
      <c r="AM16" s="64">
        <f>AL16-AK16</f>
        <v>0</v>
      </c>
      <c r="AN16" s="64"/>
      <c r="AO16" s="64"/>
    </row>
    <row r="17" spans="1:41" ht="31.5" x14ac:dyDescent="0.25">
      <c r="A17" s="132" t="s">
        <v>155</v>
      </c>
      <c r="B17" s="673">
        <v>130</v>
      </c>
      <c r="C17" s="134"/>
      <c r="D17" s="64"/>
      <c r="E17" s="59">
        <f>H17+R17+AH17+AG17</f>
        <v>0</v>
      </c>
      <c r="F17" s="59">
        <f t="shared" si="1"/>
        <v>0</v>
      </c>
      <c r="G17" s="158"/>
      <c r="H17" s="158"/>
      <c r="I17" s="159">
        <f t="shared" si="6"/>
        <v>0</v>
      </c>
      <c r="J17" s="64"/>
      <c r="K17" s="64"/>
      <c r="L17" s="64"/>
      <c r="M17" s="64"/>
      <c r="N17" s="64"/>
      <c r="O17" s="64"/>
      <c r="P17" s="64"/>
      <c r="Q17" s="64"/>
      <c r="R17" s="64"/>
      <c r="S17" s="64"/>
      <c r="T17" s="64"/>
      <c r="U17" s="64"/>
      <c r="V17" s="64"/>
      <c r="W17" s="59">
        <f t="shared" si="2"/>
        <v>0</v>
      </c>
      <c r="X17" s="64"/>
      <c r="Y17" s="64"/>
      <c r="Z17" s="64"/>
      <c r="AA17" s="64"/>
      <c r="AB17" s="64"/>
      <c r="AC17" s="64"/>
      <c r="AD17" s="64"/>
      <c r="AE17" s="64"/>
      <c r="AF17" s="64"/>
      <c r="AG17" s="64"/>
      <c r="AH17" s="59">
        <v>0</v>
      </c>
      <c r="AI17" s="59">
        <f t="shared" si="5"/>
        <v>0</v>
      </c>
      <c r="AJ17" s="59">
        <f t="shared" si="4"/>
        <v>0</v>
      </c>
      <c r="AK17" s="267"/>
      <c r="AL17" s="267"/>
      <c r="AM17" s="267"/>
      <c r="AN17" s="267"/>
      <c r="AO17" s="267"/>
    </row>
    <row r="18" spans="1:41" ht="63.75" customHeight="1" x14ac:dyDescent="0.25">
      <c r="A18" s="132" t="s">
        <v>156</v>
      </c>
      <c r="B18" s="673">
        <v>140</v>
      </c>
      <c r="C18" s="134"/>
      <c r="D18" s="64"/>
      <c r="E18" s="59">
        <f>H18+R18+AH18+AG18</f>
        <v>0</v>
      </c>
      <c r="F18" s="59">
        <f t="shared" si="1"/>
        <v>0</v>
      </c>
      <c r="G18" s="158"/>
      <c r="H18" s="158"/>
      <c r="I18" s="159">
        <f t="shared" si="6"/>
        <v>0</v>
      </c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59">
        <f t="shared" si="2"/>
        <v>0</v>
      </c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59">
        <v>0</v>
      </c>
      <c r="AI18" s="59">
        <f t="shared" si="5"/>
        <v>0</v>
      </c>
      <c r="AJ18" s="59">
        <f t="shared" si="4"/>
        <v>0</v>
      </c>
      <c r="AK18" s="267"/>
      <c r="AL18" s="267"/>
      <c r="AM18" s="267"/>
      <c r="AN18" s="267"/>
      <c r="AO18" s="267"/>
    </row>
    <row r="19" spans="1:41" ht="18.75" customHeight="1" x14ac:dyDescent="0.25">
      <c r="A19" s="132" t="s">
        <v>157</v>
      </c>
      <c r="B19" s="673">
        <v>150</v>
      </c>
      <c r="C19" s="134"/>
      <c r="D19" s="64" t="e">
        <f>G19+Q19+AG19+AH19</f>
        <v>#REF!</v>
      </c>
      <c r="E19" s="64">
        <f>H19+R19+AI19+AG19</f>
        <v>823690181.47000003</v>
      </c>
      <c r="F19" s="64" t="e">
        <f t="shared" si="1"/>
        <v>#REF!</v>
      </c>
      <c r="G19" s="158"/>
      <c r="H19" s="158"/>
      <c r="I19" s="159">
        <f t="shared" si="6"/>
        <v>0</v>
      </c>
      <c r="J19" s="64"/>
      <c r="K19" s="64"/>
      <c r="L19" s="64"/>
      <c r="M19" s="64"/>
      <c r="N19" s="64"/>
      <c r="O19" s="64"/>
      <c r="P19" s="64"/>
      <c r="Q19" s="64" t="e">
        <f>U19+X19+Y19+#REF!+AC19</f>
        <v>#REF!</v>
      </c>
      <c r="R19" s="64">
        <f>T19+V19+X19+Z19+AA19+AD19</f>
        <v>823690181.47000003</v>
      </c>
      <c r="S19" s="64" t="e">
        <f>R19-Q19</f>
        <v>#REF!</v>
      </c>
      <c r="T19" s="64"/>
      <c r="U19" s="64">
        <v>777712203</v>
      </c>
      <c r="V19" s="64">
        <v>777712203</v>
      </c>
      <c r="W19" s="64">
        <f t="shared" si="2"/>
        <v>0</v>
      </c>
      <c r="X19" s="64">
        <f>X22</f>
        <v>22131000</v>
      </c>
      <c r="Y19" s="64">
        <v>15941697</v>
      </c>
      <c r="Z19" s="64">
        <v>6878578.4699999997</v>
      </c>
      <c r="AA19" s="64">
        <v>15071900</v>
      </c>
      <c r="AB19" s="64" t="e">
        <f>AA19-#REF!</f>
        <v>#REF!</v>
      </c>
      <c r="AC19" s="64">
        <v>1896500</v>
      </c>
      <c r="AD19" s="64">
        <v>1896500</v>
      </c>
      <c r="AE19" s="64">
        <f>AD19-AC19</f>
        <v>0</v>
      </c>
      <c r="AF19" s="267"/>
      <c r="AG19" s="64"/>
      <c r="AH19" s="59">
        <v>0</v>
      </c>
      <c r="AI19" s="59">
        <f t="shared" si="5"/>
        <v>0</v>
      </c>
      <c r="AJ19" s="59">
        <f t="shared" si="4"/>
        <v>0</v>
      </c>
      <c r="AK19" s="64"/>
      <c r="AL19" s="64"/>
      <c r="AM19" s="64"/>
      <c r="AN19" s="64"/>
      <c r="AO19" s="64"/>
    </row>
    <row r="20" spans="1:41" ht="19.5" customHeight="1" x14ac:dyDescent="0.25">
      <c r="A20" s="132" t="s">
        <v>158</v>
      </c>
      <c r="B20" s="673">
        <v>160</v>
      </c>
      <c r="C20" s="134"/>
      <c r="D20" s="64">
        <f>G20+Q20+AG20+AH20</f>
        <v>14623053.460000001</v>
      </c>
      <c r="E20" s="64">
        <f>H20+R20+AI20+AG20</f>
        <v>34792848.609999999</v>
      </c>
      <c r="F20" s="64">
        <f t="shared" si="1"/>
        <v>20169795.149999999</v>
      </c>
      <c r="G20" s="158"/>
      <c r="H20" s="158"/>
      <c r="I20" s="159">
        <f t="shared" si="6"/>
        <v>0</v>
      </c>
      <c r="J20" s="64"/>
      <c r="K20" s="64"/>
      <c r="L20" s="64"/>
      <c r="M20" s="64"/>
      <c r="N20" s="64"/>
      <c r="O20" s="64"/>
      <c r="P20" s="64"/>
      <c r="Q20" s="64"/>
      <c r="R20" s="64"/>
      <c r="S20" s="64"/>
      <c r="T20" s="64"/>
      <c r="U20" s="64"/>
      <c r="V20" s="64"/>
      <c r="W20" s="59">
        <f t="shared" si="2"/>
        <v>0</v>
      </c>
      <c r="X20" s="64"/>
      <c r="Y20" s="64"/>
      <c r="Z20" s="64"/>
      <c r="AA20" s="64"/>
      <c r="AB20" s="64"/>
      <c r="AC20" s="64"/>
      <c r="AD20" s="64"/>
      <c r="AE20" s="64"/>
      <c r="AF20" s="64"/>
      <c r="AG20" s="64"/>
      <c r="AH20" s="59">
        <v>14623053.460000001</v>
      </c>
      <c r="AI20" s="59">
        <f t="shared" si="5"/>
        <v>34792848.609999999</v>
      </c>
      <c r="AJ20" s="59">
        <f t="shared" si="4"/>
        <v>20169795.149999999</v>
      </c>
      <c r="AK20" s="64">
        <v>14623053.460000001</v>
      </c>
      <c r="AL20" s="64">
        <f>14623053.46-106376.9</f>
        <v>14516676.560000001</v>
      </c>
      <c r="AM20" s="64">
        <f>AL20-AK20</f>
        <v>-106376.90000000037</v>
      </c>
      <c r="AN20" s="64"/>
      <c r="AO20" s="64">
        <v>20276172.050000001</v>
      </c>
    </row>
    <row r="21" spans="1:41" ht="22.5" customHeight="1" x14ac:dyDescent="0.25">
      <c r="A21" s="132" t="s">
        <v>159</v>
      </c>
      <c r="B21" s="673">
        <v>180</v>
      </c>
      <c r="C21" s="672" t="s">
        <v>149</v>
      </c>
      <c r="D21" s="64">
        <f>G21+Q21+AH21+AF21</f>
        <v>376946.54</v>
      </c>
      <c r="E21" s="64">
        <f>H21+R21+AI21+AG21</f>
        <v>0</v>
      </c>
      <c r="F21" s="64">
        <f t="shared" si="1"/>
        <v>-376946.54</v>
      </c>
      <c r="G21" s="159"/>
      <c r="H21" s="159"/>
      <c r="I21" s="159">
        <f t="shared" si="6"/>
        <v>0</v>
      </c>
      <c r="J21" s="266"/>
      <c r="K21" s="266"/>
      <c r="L21" s="266"/>
      <c r="M21" s="266"/>
      <c r="N21" s="266"/>
      <c r="O21" s="266"/>
      <c r="P21" s="266"/>
      <c r="Q21" s="266"/>
      <c r="R21" s="266"/>
      <c r="S21" s="266"/>
      <c r="T21" s="266"/>
      <c r="U21" s="266"/>
      <c r="V21" s="266"/>
      <c r="W21" s="59">
        <f t="shared" si="2"/>
        <v>0</v>
      </c>
      <c r="X21" s="266"/>
      <c r="Y21" s="266"/>
      <c r="Z21" s="266"/>
      <c r="AA21" s="266"/>
      <c r="AB21" s="266"/>
      <c r="AC21" s="266"/>
      <c r="AD21" s="266"/>
      <c r="AE21" s="266"/>
      <c r="AF21" s="266"/>
      <c r="AG21" s="62"/>
      <c r="AH21" s="59">
        <v>376946.54</v>
      </c>
      <c r="AI21" s="59">
        <f t="shared" si="5"/>
        <v>0</v>
      </c>
      <c r="AJ21" s="59">
        <f t="shared" si="4"/>
        <v>-376946.54</v>
      </c>
      <c r="AK21" s="267"/>
      <c r="AL21" s="267"/>
      <c r="AM21" s="267"/>
      <c r="AN21" s="64">
        <v>376946.54</v>
      </c>
      <c r="AO21" s="64"/>
    </row>
    <row r="22" spans="1:41" s="115" customFormat="1" ht="15.75" x14ac:dyDescent="0.2">
      <c r="A22" s="130" t="s">
        <v>160</v>
      </c>
      <c r="B22" s="675">
        <v>200</v>
      </c>
      <c r="C22" s="114" t="s">
        <v>149</v>
      </c>
      <c r="D22" s="59" t="e">
        <f>G22+Q22+AG22+AH22</f>
        <v>#REF!</v>
      </c>
      <c r="E22" s="59" t="e">
        <f>H22+R22+AI22+AG22</f>
        <v>#REF!</v>
      </c>
      <c r="F22" s="59" t="e">
        <f t="shared" si="1"/>
        <v>#REF!</v>
      </c>
      <c r="G22" s="157">
        <f>G23+G28+G32+G41+G44+G66+G70</f>
        <v>270032997.89000005</v>
      </c>
      <c r="H22" s="157">
        <f>H23+H35+H44</f>
        <v>181454194.01999998</v>
      </c>
      <c r="I22" s="157">
        <f>H22-G22</f>
        <v>-88578803.870000064</v>
      </c>
      <c r="J22" s="59">
        <f>J23+J32+J44</f>
        <v>5703296.4199999999</v>
      </c>
      <c r="K22" s="59">
        <f>K23+K28+K32+K41+K44+K66+K70</f>
        <v>130670428.48999999</v>
      </c>
      <c r="L22" s="59">
        <f>L23+L28+L32+L41+L44+L66+L70</f>
        <v>130670428.49000001</v>
      </c>
      <c r="M22" s="59">
        <f>L22-K22</f>
        <v>0</v>
      </c>
      <c r="N22" s="59">
        <f>N23+N28+N32+N41+N44+N66+N70</f>
        <v>40690469.399999999</v>
      </c>
      <c r="O22" s="59">
        <f>O23+O28+O32+O41+O44+O66+O70</f>
        <v>45080469.109999999</v>
      </c>
      <c r="P22" s="59">
        <f>O22-N22</f>
        <v>4389999.7100000009</v>
      </c>
      <c r="Q22" s="59" t="e">
        <f>Q23+Q32+Q44</f>
        <v>#REF!</v>
      </c>
      <c r="R22" s="59">
        <f>R23+R28+R40+R41+R66+R44+R32</f>
        <v>1491092644.1600003</v>
      </c>
      <c r="S22" s="59" t="e">
        <f>R22-Q22</f>
        <v>#REF!</v>
      </c>
      <c r="T22" s="59">
        <f>T23+T32+T44</f>
        <v>667402462.68999994</v>
      </c>
      <c r="U22" s="59">
        <f>U23+U32+U44</f>
        <v>777712203</v>
      </c>
      <c r="V22" s="59">
        <f>V23+V32+V44</f>
        <v>777712203</v>
      </c>
      <c r="W22" s="59">
        <f t="shared" si="2"/>
        <v>0</v>
      </c>
      <c r="X22" s="59">
        <f>X23+X28+X40+X41+X66+X44+X32</f>
        <v>22131000</v>
      </c>
      <c r="Y22" s="59">
        <f>Y23+Y28+Y40+Y41+Y66+Y44+Y32</f>
        <v>15941697</v>
      </c>
      <c r="Z22" s="59">
        <f t="shared" ref="Z22:AA22" si="7">Z23+Z28+Z40+Z41+Z66+Z44+Z32</f>
        <v>6878578.4699999997</v>
      </c>
      <c r="AA22" s="59">
        <f t="shared" si="7"/>
        <v>15071900</v>
      </c>
      <c r="AB22" s="59" t="e">
        <f>AA22-#REF!</f>
        <v>#REF!</v>
      </c>
      <c r="AC22" s="59">
        <f t="shared" ref="AC22:AD22" si="8">AC23+AC28+AC40+AC41+AC66+AC44+AC32</f>
        <v>1896500</v>
      </c>
      <c r="AD22" s="59">
        <f t="shared" si="8"/>
        <v>1896500</v>
      </c>
      <c r="AE22" s="59">
        <f>AD22-AC22</f>
        <v>0</v>
      </c>
      <c r="AF22" s="59">
        <f>AF23+AF28+AF35+AF40+AF41+AF66+AF44</f>
        <v>0</v>
      </c>
      <c r="AG22" s="59">
        <f>AG23+AG28+AG40+AG41+AG44+AG66+AG32</f>
        <v>1942804.6584639018</v>
      </c>
      <c r="AH22" s="59">
        <v>351252029.76999998</v>
      </c>
      <c r="AI22" s="59" t="e">
        <f t="shared" si="5"/>
        <v>#REF!</v>
      </c>
      <c r="AJ22" s="59" t="e">
        <f t="shared" si="4"/>
        <v>#REF!</v>
      </c>
      <c r="AK22" s="59">
        <f>AK23+AK28+AK40+AK41+AK66+AK44+AK32</f>
        <v>284300481.84999996</v>
      </c>
      <c r="AL22" s="59" t="e">
        <f>AL23+AL28+AL40+AL41+AL66+AL44+AL32</f>
        <v>#REF!</v>
      </c>
      <c r="AM22" s="59" t="e">
        <f>AL22-AK22</f>
        <v>#REF!</v>
      </c>
      <c r="AN22" s="59">
        <v>66951547.920000002</v>
      </c>
      <c r="AO22" s="59">
        <f>AO23+AO28+AO40+AO41+AO44+AO66+AO32</f>
        <v>83844725.109999999</v>
      </c>
    </row>
    <row r="23" spans="1:41" s="115" customFormat="1" ht="18.75" customHeight="1" x14ac:dyDescent="0.2">
      <c r="A23" s="130" t="s">
        <v>161</v>
      </c>
      <c r="B23" s="675">
        <v>210</v>
      </c>
      <c r="C23" s="114">
        <v>110</v>
      </c>
      <c r="D23" s="59" t="e">
        <f>G23+Q23+AG23+AH23</f>
        <v>#REF!</v>
      </c>
      <c r="E23" s="59" t="e">
        <f>H23+R23+AI23+AG23</f>
        <v>#REF!</v>
      </c>
      <c r="F23" s="59" t="e">
        <f t="shared" si="1"/>
        <v>#REF!</v>
      </c>
      <c r="G23" s="157">
        <f>G25+G26+G27</f>
        <v>202925665.96000004</v>
      </c>
      <c r="H23" s="157">
        <f>H25+H26+H27</f>
        <v>116281835.83999999</v>
      </c>
      <c r="I23" s="157">
        <f>H23-G23</f>
        <v>-86643830.120000049</v>
      </c>
      <c r="J23" s="59">
        <f>J25+J26+J27</f>
        <v>5703296.4199999999</v>
      </c>
      <c r="K23" s="59">
        <f>K25+K26+K27</f>
        <v>80944071.359999999</v>
      </c>
      <c r="L23" s="59">
        <f>L25+L26+L27</f>
        <v>84494118.840000004</v>
      </c>
      <c r="M23" s="59">
        <f>L23-K23</f>
        <v>3550047.4800000042</v>
      </c>
      <c r="N23" s="59">
        <f>N25+N26+N27</f>
        <v>23309494.600000001</v>
      </c>
      <c r="O23" s="59">
        <f>O25+O26+O27</f>
        <v>26084420.580000002</v>
      </c>
      <c r="P23" s="59">
        <f>O23-N23</f>
        <v>2774925.9800000004</v>
      </c>
      <c r="Q23" s="59" t="e">
        <f>Q25+Q26+Q27</f>
        <v>#REF!</v>
      </c>
      <c r="R23" s="59">
        <f>R25+R26+R27</f>
        <v>24746512.510000002</v>
      </c>
      <c r="S23" s="59" t="e">
        <f>R23-Q23</f>
        <v>#REF!</v>
      </c>
      <c r="T23" s="59">
        <f>T25+T26</f>
        <v>133738.31</v>
      </c>
      <c r="U23" s="59">
        <f>U25+U26</f>
        <v>0</v>
      </c>
      <c r="V23" s="59">
        <f>V25+V26+V27</f>
        <v>0</v>
      </c>
      <c r="W23" s="59">
        <f t="shared" si="2"/>
        <v>0</v>
      </c>
      <c r="X23" s="59">
        <f>X25+X26+X27</f>
        <v>9540874.1999999993</v>
      </c>
      <c r="Y23" s="59">
        <f>Y25+Y26+Y27</f>
        <v>9063118.5299999993</v>
      </c>
      <c r="Z23" s="59">
        <f>Z25+Z26</f>
        <v>0</v>
      </c>
      <c r="AA23" s="59">
        <f>AA25+AA26</f>
        <v>15071900</v>
      </c>
      <c r="AB23" s="59" t="e">
        <f>AA23-#REF!</f>
        <v>#REF!</v>
      </c>
      <c r="AC23" s="59">
        <f>AC25+AC26</f>
        <v>0</v>
      </c>
      <c r="AD23" s="59">
        <f>AD25+AD26</f>
        <v>0</v>
      </c>
      <c r="AE23" s="59">
        <f>AD23-AC23</f>
        <v>0</v>
      </c>
      <c r="AF23" s="59">
        <f>AF25+AF26+AF27</f>
        <v>0</v>
      </c>
      <c r="AG23" s="59">
        <f>AG25+AG26+AG27</f>
        <v>1872804.6584639018</v>
      </c>
      <c r="AH23" s="59">
        <v>221791919.27000001</v>
      </c>
      <c r="AI23" s="59" t="e">
        <f t="shared" si="5"/>
        <v>#REF!</v>
      </c>
      <c r="AJ23" s="59" t="e">
        <f t="shared" si="4"/>
        <v>#REF!</v>
      </c>
      <c r="AK23" s="59">
        <f>AK25+AK26+AK27</f>
        <v>175472193.02000001</v>
      </c>
      <c r="AL23" s="59" t="e">
        <f>AL25+AL26+AL27</f>
        <v>#REF!</v>
      </c>
      <c r="AM23" s="59" t="e">
        <f>AL23-AK23</f>
        <v>#REF!</v>
      </c>
      <c r="AN23" s="59">
        <v>46319726.25</v>
      </c>
      <c r="AO23" s="59">
        <f>AO25+AO26+AO27</f>
        <v>48565763.130000003</v>
      </c>
    </row>
    <row r="24" spans="1:41" ht="15.75" x14ac:dyDescent="0.25">
      <c r="A24" s="132" t="s">
        <v>92</v>
      </c>
      <c r="B24" s="133"/>
      <c r="C24" s="134"/>
      <c r="D24" s="64"/>
      <c r="E24" s="59">
        <f>H24+R24+AH24+AG24</f>
        <v>0</v>
      </c>
      <c r="F24" s="59">
        <f t="shared" si="1"/>
        <v>0</v>
      </c>
      <c r="G24" s="158"/>
      <c r="H24" s="158"/>
      <c r="I24" s="157">
        <f t="shared" ref="I24:I75" si="9">H24-G24</f>
        <v>0</v>
      </c>
      <c r="J24" s="64"/>
      <c r="K24" s="64"/>
      <c r="L24" s="64"/>
      <c r="M24" s="64"/>
      <c r="N24" s="64"/>
      <c r="O24" s="64"/>
      <c r="P24" s="64"/>
      <c r="Q24" s="64"/>
      <c r="R24" s="64"/>
      <c r="S24" s="64"/>
      <c r="T24" s="64"/>
      <c r="U24" s="64"/>
      <c r="V24" s="64"/>
      <c r="W24" s="59">
        <f t="shared" si="2"/>
        <v>0</v>
      </c>
      <c r="X24" s="64"/>
      <c r="Y24" s="64"/>
      <c r="Z24" s="64"/>
      <c r="AA24" s="64"/>
      <c r="AB24" s="64"/>
      <c r="AC24" s="64"/>
      <c r="AD24" s="64"/>
      <c r="AE24" s="64"/>
      <c r="AF24" s="64"/>
      <c r="AG24" s="64"/>
      <c r="AH24" s="59">
        <v>0</v>
      </c>
      <c r="AI24" s="59">
        <f t="shared" si="5"/>
        <v>0</v>
      </c>
      <c r="AJ24" s="59">
        <f t="shared" si="4"/>
        <v>0</v>
      </c>
      <c r="AK24" s="64"/>
      <c r="AL24" s="64"/>
      <c r="AM24" s="64"/>
      <c r="AN24" s="64"/>
      <c r="AO24" s="64"/>
    </row>
    <row r="25" spans="1:41" ht="16.5" customHeight="1" x14ac:dyDescent="0.25">
      <c r="A25" s="132" t="s">
        <v>162</v>
      </c>
      <c r="B25" s="1385">
        <v>211</v>
      </c>
      <c r="C25" s="672">
        <v>111</v>
      </c>
      <c r="D25" s="64" t="e">
        <f>G25+Q25+AG25+AH25</f>
        <v>#REF!</v>
      </c>
      <c r="E25" s="64">
        <f>H25+R25+AI25+AG25</f>
        <v>283674519.32846385</v>
      </c>
      <c r="F25" s="64" t="e">
        <f t="shared" si="1"/>
        <v>#REF!</v>
      </c>
      <c r="G25" s="158">
        <v>155640364.24000001</v>
      </c>
      <c r="H25" s="158">
        <f>J25+L25+O25</f>
        <v>90617658.049999982</v>
      </c>
      <c r="I25" s="157">
        <f t="shared" si="9"/>
        <v>-65022706.190000027</v>
      </c>
      <c r="J25" s="64">
        <v>4380412</v>
      </c>
      <c r="K25" s="64">
        <v>62112196.570000008</v>
      </c>
      <c r="L25" s="64">
        <f>65655016.33+724893.4</f>
        <v>66379909.729999997</v>
      </c>
      <c r="M25" s="64">
        <f>L25-K25</f>
        <v>4267713.159999989</v>
      </c>
      <c r="N25" s="64">
        <v>17743189.670000002</v>
      </c>
      <c r="O25" s="64">
        <v>19857336.32</v>
      </c>
      <c r="P25" s="64">
        <f>O25-N25</f>
        <v>2114146.6499999985</v>
      </c>
      <c r="Q25" s="64" t="e">
        <f>U25+X25+Y25+#REF!+AC25+T25</f>
        <v>#REF!</v>
      </c>
      <c r="R25" s="64">
        <f>T25+V25+X25+Z25+AA25+AD25</f>
        <v>18920944.710000001</v>
      </c>
      <c r="S25" s="64" t="e">
        <f>R25-Q25</f>
        <v>#REF!</v>
      </c>
      <c r="T25" s="64">
        <v>17124.28</v>
      </c>
      <c r="U25" s="64"/>
      <c r="V25" s="64"/>
      <c r="W25" s="59">
        <f t="shared" si="2"/>
        <v>0</v>
      </c>
      <c r="X25" s="64">
        <v>7327860.3700000001</v>
      </c>
      <c r="Y25" s="64">
        <v>6963327.71</v>
      </c>
      <c r="Z25" s="64"/>
      <c r="AA25" s="64">
        <v>11575960.060000001</v>
      </c>
      <c r="AB25" s="64" t="e">
        <f>AA25-#REF!</f>
        <v>#REF!</v>
      </c>
      <c r="AC25" s="64"/>
      <c r="AD25" s="64"/>
      <c r="AE25" s="64">
        <f>AD25-AC25</f>
        <v>0</v>
      </c>
      <c r="AF25" s="64"/>
      <c r="AG25" s="64">
        <f>1328725.04+AG88</f>
        <v>1438406.0384639017</v>
      </c>
      <c r="AH25" s="59">
        <v>169219277.74000001</v>
      </c>
      <c r="AI25" s="59">
        <f t="shared" si="5"/>
        <v>172697510.53</v>
      </c>
      <c r="AJ25" s="59">
        <f t="shared" si="4"/>
        <v>3478232.7899999917</v>
      </c>
      <c r="AK25" s="64">
        <v>133835462.95</v>
      </c>
      <c r="AL25" s="64">
        <f>133835462.95+1810232.58</f>
        <v>135645695.53</v>
      </c>
      <c r="AM25" s="64">
        <f>AL25-AK25</f>
        <v>1810232.5799999982</v>
      </c>
      <c r="AN25" s="64">
        <v>35383814.789999999</v>
      </c>
      <c r="AO25" s="64">
        <v>37051815</v>
      </c>
    </row>
    <row r="26" spans="1:41" ht="18.75" customHeight="1" x14ac:dyDescent="0.25">
      <c r="A26" s="132" t="s">
        <v>163</v>
      </c>
      <c r="B26" s="1385"/>
      <c r="C26" s="672">
        <v>119</v>
      </c>
      <c r="D26" s="64" t="e">
        <f>G26+Q26+AG26+AH26</f>
        <v>#REF!</v>
      </c>
      <c r="E26" s="64" t="e">
        <f>H26+R26+AI26+AG26</f>
        <v>#REF!</v>
      </c>
      <c r="F26" s="64" t="e">
        <f t="shared" si="1"/>
        <v>#REF!</v>
      </c>
      <c r="G26" s="158">
        <v>47003405.420000002</v>
      </c>
      <c r="H26" s="158">
        <f t="shared" ref="H26:H27" si="10">J26+L26+O26</f>
        <v>25087424.950000003</v>
      </c>
      <c r="I26" s="158">
        <f t="shared" si="9"/>
        <v>-21915980.469999999</v>
      </c>
      <c r="J26" s="64">
        <v>1322884.42</v>
      </c>
      <c r="K26" s="64">
        <v>18709426.220000003</v>
      </c>
      <c r="L26" s="64">
        <f>17491666.84+222542.27</f>
        <v>17714209.109999999</v>
      </c>
      <c r="M26" s="64">
        <f>L26-K26</f>
        <v>-995217.11000000313</v>
      </c>
      <c r="N26" s="64">
        <v>5406857.2000000002</v>
      </c>
      <c r="O26" s="64">
        <v>6050331.4199999999</v>
      </c>
      <c r="P26" s="64">
        <f>O26-N26</f>
        <v>643474.21999999974</v>
      </c>
      <c r="Q26" s="64" t="e">
        <f>U26+X26+Y26+#REF!+AC26+T26</f>
        <v>#REF!</v>
      </c>
      <c r="R26" s="64">
        <f>T26+V26+X26+Z26+AA26+AD26</f>
        <v>5825567.7999999998</v>
      </c>
      <c r="S26" s="64" t="e">
        <f>R26-Q26</f>
        <v>#REF!</v>
      </c>
      <c r="T26" s="64">
        <v>116614.03</v>
      </c>
      <c r="U26" s="64"/>
      <c r="V26" s="64"/>
      <c r="W26" s="59">
        <f t="shared" si="2"/>
        <v>0</v>
      </c>
      <c r="X26" s="64">
        <v>2213013.83</v>
      </c>
      <c r="Y26" s="64">
        <v>2099790.8199999998</v>
      </c>
      <c r="Z26" s="64"/>
      <c r="AA26" s="64">
        <v>3495939.94</v>
      </c>
      <c r="AB26" s="64" t="e">
        <f>AA26-#REF!</f>
        <v>#REF!</v>
      </c>
      <c r="AC26" s="64"/>
      <c r="AD26" s="64"/>
      <c r="AE26" s="64">
        <f>AD26-AC26</f>
        <v>0</v>
      </c>
      <c r="AF26" s="64"/>
      <c r="AG26" s="64">
        <f>401274.96+AG89</f>
        <v>434398.62</v>
      </c>
      <c r="AH26" s="59">
        <v>50822641.530000001</v>
      </c>
      <c r="AI26" s="59" t="e">
        <f t="shared" si="5"/>
        <v>#REF!</v>
      </c>
      <c r="AJ26" s="59" t="e">
        <f t="shared" si="4"/>
        <v>#REF!</v>
      </c>
      <c r="AK26" s="64">
        <v>40136730.07</v>
      </c>
      <c r="AL26" s="64" t="e">
        <f>#REF!+250000</f>
        <v>#REF!</v>
      </c>
      <c r="AM26" s="64" t="e">
        <f>AL26-AK26</f>
        <v>#REF!</v>
      </c>
      <c r="AN26" s="64">
        <v>10685911.460000001</v>
      </c>
      <c r="AO26" s="64">
        <v>11189648.130000001</v>
      </c>
    </row>
    <row r="27" spans="1:41" ht="39.75" customHeight="1" x14ac:dyDescent="0.25">
      <c r="A27" s="132" t="s">
        <v>164</v>
      </c>
      <c r="B27" s="1385"/>
      <c r="C27" s="672">
        <v>112</v>
      </c>
      <c r="D27" s="64">
        <f>G27+Q27+AG27+AH27</f>
        <v>2031896.3</v>
      </c>
      <c r="E27" s="64">
        <f>H27+R27+AI27+AG27</f>
        <v>2409093.33</v>
      </c>
      <c r="F27" s="59">
        <f t="shared" si="1"/>
        <v>377197.03</v>
      </c>
      <c r="G27" s="158">
        <v>281896.3</v>
      </c>
      <c r="H27" s="158">
        <f t="shared" si="10"/>
        <v>576752.84</v>
      </c>
      <c r="I27" s="158">
        <f t="shared" si="9"/>
        <v>294856.53999999998</v>
      </c>
      <c r="J27" s="64"/>
      <c r="K27" s="64">
        <v>122448.56999999998</v>
      </c>
      <c r="L27" s="64">
        <v>400000</v>
      </c>
      <c r="M27" s="64">
        <f>L27-K27</f>
        <v>277551.43000000005</v>
      </c>
      <c r="N27" s="64">
        <v>159447.73000000001</v>
      </c>
      <c r="O27" s="64">
        <v>176752.84</v>
      </c>
      <c r="P27" s="64">
        <f>O27-N27</f>
        <v>17305.109999999986</v>
      </c>
      <c r="Q27" s="64">
        <f t="shared" ref="Q27:Q34" si="11">SUM(U27:Y27)</f>
        <v>0</v>
      </c>
      <c r="R27" s="64"/>
      <c r="S27" s="64"/>
      <c r="T27" s="64"/>
      <c r="U27" s="64" t="s">
        <v>252</v>
      </c>
      <c r="V27" s="64"/>
      <c r="W27" s="59"/>
      <c r="X27" s="64"/>
      <c r="Y27" s="64"/>
      <c r="Z27" s="64"/>
      <c r="AA27" s="64"/>
      <c r="AB27" s="64"/>
      <c r="AC27" s="64"/>
      <c r="AD27" s="64"/>
      <c r="AE27" s="64"/>
      <c r="AF27" s="64"/>
      <c r="AG27" s="64"/>
      <c r="AH27" s="59">
        <v>1750000</v>
      </c>
      <c r="AI27" s="59">
        <f t="shared" si="5"/>
        <v>1832340.49</v>
      </c>
      <c r="AJ27" s="59">
        <f t="shared" si="4"/>
        <v>82340.489999999991</v>
      </c>
      <c r="AK27" s="64">
        <v>1500000</v>
      </c>
      <c r="AL27" s="64">
        <f>1500000+8040.49</f>
        <v>1508040.49</v>
      </c>
      <c r="AM27" s="64">
        <f>AL27-AK27</f>
        <v>8040.4899999999907</v>
      </c>
      <c r="AN27" s="64">
        <v>250000</v>
      </c>
      <c r="AO27" s="64">
        <v>324300</v>
      </c>
    </row>
    <row r="28" spans="1:41" s="115" customFormat="1" ht="31.5" x14ac:dyDescent="0.2">
      <c r="A28" s="130" t="s">
        <v>165</v>
      </c>
      <c r="B28" s="1385">
        <v>220</v>
      </c>
      <c r="C28" s="114">
        <v>300</v>
      </c>
      <c r="D28" s="59">
        <f>G28+Q28+AG28+AK28</f>
        <v>0</v>
      </c>
      <c r="E28" s="59">
        <f>H28+R28+AH28+AG28</f>
        <v>0</v>
      </c>
      <c r="F28" s="59">
        <f t="shared" si="1"/>
        <v>0</v>
      </c>
      <c r="G28" s="157">
        <f>G30+G31</f>
        <v>0</v>
      </c>
      <c r="H28" s="157"/>
      <c r="I28" s="158">
        <f t="shared" si="9"/>
        <v>0</v>
      </c>
      <c r="J28" s="59"/>
      <c r="K28" s="59">
        <f>K30+K31</f>
        <v>0</v>
      </c>
      <c r="L28" s="59"/>
      <c r="M28" s="59"/>
      <c r="N28" s="59">
        <f>N30+N31</f>
        <v>0</v>
      </c>
      <c r="O28" s="59"/>
      <c r="P28" s="59"/>
      <c r="Q28" s="59">
        <f t="shared" si="11"/>
        <v>0</v>
      </c>
      <c r="R28" s="59"/>
      <c r="S28" s="59"/>
      <c r="T28" s="59"/>
      <c r="U28" s="59">
        <v>0</v>
      </c>
      <c r="V28" s="59">
        <v>0</v>
      </c>
      <c r="W28" s="59">
        <f t="shared" si="2"/>
        <v>0</v>
      </c>
      <c r="X28" s="59">
        <v>0</v>
      </c>
      <c r="Y28" s="59">
        <f>Y30+Y31</f>
        <v>0</v>
      </c>
      <c r="Z28" s="59"/>
      <c r="AA28" s="59"/>
      <c r="AB28" s="59"/>
      <c r="AC28" s="59"/>
      <c r="AD28" s="59"/>
      <c r="AE28" s="59"/>
      <c r="AF28" s="59">
        <f>AF30+AF31</f>
        <v>0</v>
      </c>
      <c r="AG28" s="59">
        <v>0</v>
      </c>
      <c r="AH28" s="59">
        <v>0</v>
      </c>
      <c r="AI28" s="59">
        <f t="shared" si="5"/>
        <v>0</v>
      </c>
      <c r="AJ28" s="59">
        <f t="shared" si="4"/>
        <v>0</v>
      </c>
      <c r="AK28" s="59"/>
      <c r="AL28" s="59"/>
      <c r="AM28" s="59"/>
      <c r="AN28" s="59"/>
      <c r="AO28" s="59"/>
    </row>
    <row r="29" spans="1:41" ht="15.75" x14ac:dyDescent="0.25">
      <c r="A29" s="132" t="s">
        <v>92</v>
      </c>
      <c r="B29" s="1385"/>
      <c r="C29" s="134"/>
      <c r="D29" s="64"/>
      <c r="E29" s="59">
        <f>H29+R29+AH29+AG29</f>
        <v>0</v>
      </c>
      <c r="F29" s="59">
        <f t="shared" si="1"/>
        <v>0</v>
      </c>
      <c r="G29" s="158"/>
      <c r="H29" s="158"/>
      <c r="I29" s="158">
        <f t="shared" si="9"/>
        <v>0</v>
      </c>
      <c r="J29" s="64"/>
      <c r="K29" s="64"/>
      <c r="L29" s="64"/>
      <c r="M29" s="64"/>
      <c r="N29" s="64"/>
      <c r="O29" s="64"/>
      <c r="P29" s="64"/>
      <c r="Q29" s="64">
        <f t="shared" si="11"/>
        <v>0</v>
      </c>
      <c r="R29" s="64"/>
      <c r="S29" s="64"/>
      <c r="T29" s="64"/>
      <c r="U29" s="64"/>
      <c r="V29" s="64"/>
      <c r="W29" s="59">
        <f t="shared" si="2"/>
        <v>0</v>
      </c>
      <c r="X29" s="64"/>
      <c r="Y29" s="64"/>
      <c r="Z29" s="64"/>
      <c r="AA29" s="64"/>
      <c r="AB29" s="64"/>
      <c r="AC29" s="64"/>
      <c r="AD29" s="64"/>
      <c r="AE29" s="64"/>
      <c r="AF29" s="64"/>
      <c r="AG29" s="64"/>
      <c r="AH29" s="59">
        <v>0</v>
      </c>
      <c r="AI29" s="59">
        <f t="shared" si="5"/>
        <v>0</v>
      </c>
      <c r="AJ29" s="59">
        <f t="shared" si="4"/>
        <v>0</v>
      </c>
      <c r="AK29" s="64"/>
      <c r="AL29" s="64"/>
      <c r="AM29" s="64"/>
      <c r="AN29" s="64"/>
      <c r="AO29" s="64"/>
    </row>
    <row r="30" spans="1:41" ht="15.75" x14ac:dyDescent="0.25">
      <c r="A30" s="1386" t="s">
        <v>166</v>
      </c>
      <c r="B30" s="1385"/>
      <c r="C30" s="672">
        <v>321</v>
      </c>
      <c r="D30" s="64"/>
      <c r="E30" s="59">
        <f>H30+R30+AH30+AG30</f>
        <v>0</v>
      </c>
      <c r="F30" s="59">
        <f t="shared" si="1"/>
        <v>0</v>
      </c>
      <c r="G30" s="158"/>
      <c r="H30" s="158"/>
      <c r="I30" s="158">
        <f t="shared" si="9"/>
        <v>0</v>
      </c>
      <c r="J30" s="64"/>
      <c r="K30" s="64"/>
      <c r="L30" s="64"/>
      <c r="M30" s="64"/>
      <c r="N30" s="64"/>
      <c r="O30" s="64"/>
      <c r="P30" s="64"/>
      <c r="Q30" s="64">
        <f t="shared" si="11"/>
        <v>0</v>
      </c>
      <c r="R30" s="64"/>
      <c r="S30" s="64"/>
      <c r="T30" s="64"/>
      <c r="U30" s="64"/>
      <c r="V30" s="64"/>
      <c r="W30" s="59">
        <f t="shared" si="2"/>
        <v>0</v>
      </c>
      <c r="X30" s="64"/>
      <c r="Y30" s="64"/>
      <c r="Z30" s="64"/>
      <c r="AA30" s="64"/>
      <c r="AB30" s="64"/>
      <c r="AC30" s="64"/>
      <c r="AD30" s="64"/>
      <c r="AE30" s="64"/>
      <c r="AF30" s="64"/>
      <c r="AG30" s="64"/>
      <c r="AH30" s="59">
        <v>0</v>
      </c>
      <c r="AI30" s="59">
        <f t="shared" si="5"/>
        <v>0</v>
      </c>
      <c r="AJ30" s="59">
        <f t="shared" si="4"/>
        <v>0</v>
      </c>
      <c r="AK30" s="64"/>
      <c r="AL30" s="64"/>
      <c r="AM30" s="64"/>
      <c r="AN30" s="64"/>
      <c r="AO30" s="64"/>
    </row>
    <row r="31" spans="1:41" ht="15.75" x14ac:dyDescent="0.25">
      <c r="A31" s="1386"/>
      <c r="B31" s="1385"/>
      <c r="C31" s="672">
        <v>360</v>
      </c>
      <c r="D31" s="64"/>
      <c r="E31" s="59">
        <f>H31+R31+AH31+AG31</f>
        <v>0</v>
      </c>
      <c r="F31" s="59">
        <f t="shared" si="1"/>
        <v>0</v>
      </c>
      <c r="G31" s="158"/>
      <c r="H31" s="158"/>
      <c r="I31" s="158">
        <f t="shared" si="9"/>
        <v>0</v>
      </c>
      <c r="J31" s="64"/>
      <c r="K31" s="64"/>
      <c r="L31" s="64"/>
      <c r="M31" s="64"/>
      <c r="N31" s="64"/>
      <c r="O31" s="64"/>
      <c r="P31" s="64"/>
      <c r="Q31" s="64">
        <f t="shared" si="11"/>
        <v>0</v>
      </c>
      <c r="R31" s="64"/>
      <c r="S31" s="64"/>
      <c r="T31" s="64"/>
      <c r="U31" s="64"/>
      <c r="V31" s="64"/>
      <c r="W31" s="59">
        <f t="shared" si="2"/>
        <v>0</v>
      </c>
      <c r="X31" s="64"/>
      <c r="Y31" s="64"/>
      <c r="Z31" s="64"/>
      <c r="AA31" s="64"/>
      <c r="AB31" s="64"/>
      <c r="AC31" s="64"/>
      <c r="AD31" s="64"/>
      <c r="AE31" s="64"/>
      <c r="AF31" s="64"/>
      <c r="AG31" s="64"/>
      <c r="AH31" s="59">
        <v>0</v>
      </c>
      <c r="AI31" s="59">
        <f t="shared" si="5"/>
        <v>0</v>
      </c>
      <c r="AJ31" s="59">
        <f t="shared" si="4"/>
        <v>0</v>
      </c>
      <c r="AK31" s="64"/>
      <c r="AL31" s="64"/>
      <c r="AM31" s="64"/>
      <c r="AN31" s="64"/>
      <c r="AO31" s="64"/>
    </row>
    <row r="32" spans="1:41" s="115" customFormat="1" ht="15.75" x14ac:dyDescent="0.2">
      <c r="A32" s="112" t="s">
        <v>167</v>
      </c>
      <c r="B32" s="675"/>
      <c r="C32" s="114">
        <v>800</v>
      </c>
      <c r="D32" s="59" t="e">
        <f>G32+Q32+AG32+AH32</f>
        <v>#REF!</v>
      </c>
      <c r="E32" s="59" t="e">
        <f>H32+R32+AI32+AG32</f>
        <v>#REF!</v>
      </c>
      <c r="F32" s="59" t="e">
        <f t="shared" si="1"/>
        <v>#REF!</v>
      </c>
      <c r="G32" s="157">
        <f>G33+G35</f>
        <v>5888541</v>
      </c>
      <c r="H32" s="157">
        <f>H33+H35</f>
        <v>6524726.1100000003</v>
      </c>
      <c r="I32" s="158">
        <f t="shared" si="9"/>
        <v>636185.11000000034</v>
      </c>
      <c r="J32" s="59">
        <f>J33+J35</f>
        <v>0</v>
      </c>
      <c r="K32" s="59">
        <f>K33+K35</f>
        <v>3778708.8</v>
      </c>
      <c r="L32" s="59">
        <f>L33+L35</f>
        <v>5011411</v>
      </c>
      <c r="M32" s="59">
        <f>L32-K32</f>
        <v>1232702.2000000002</v>
      </c>
      <c r="N32" s="59">
        <f>N33+N35</f>
        <v>2109832.2000000002</v>
      </c>
      <c r="O32" s="59">
        <f>O33+O35</f>
        <v>1513315.11</v>
      </c>
      <c r="P32" s="59">
        <f>O32-N32</f>
        <v>-596517.09000000008</v>
      </c>
      <c r="Q32" s="59" t="e">
        <f>Q33+Q35</f>
        <v>#REF!</v>
      </c>
      <c r="R32" s="59">
        <f>R34+R35+R36</f>
        <v>1952657.67</v>
      </c>
      <c r="S32" s="59" t="e">
        <f>R32-Q32</f>
        <v>#REF!</v>
      </c>
      <c r="T32" s="59">
        <f>T33+T35</f>
        <v>3673.7</v>
      </c>
      <c r="U32" s="59">
        <f t="shared" ref="U32:AO32" si="12">U33+U35</f>
        <v>0</v>
      </c>
      <c r="V32" s="59">
        <f t="shared" si="12"/>
        <v>0</v>
      </c>
      <c r="W32" s="59">
        <f t="shared" si="2"/>
        <v>0</v>
      </c>
      <c r="X32" s="59">
        <f t="shared" si="12"/>
        <v>1293239.8</v>
      </c>
      <c r="Y32" s="59">
        <f t="shared" si="12"/>
        <v>168699.93</v>
      </c>
      <c r="Z32" s="59">
        <f t="shared" si="12"/>
        <v>655744.17000000004</v>
      </c>
      <c r="AA32" s="59"/>
      <c r="AB32" s="59"/>
      <c r="AC32" s="59"/>
      <c r="AD32" s="59"/>
      <c r="AE32" s="59"/>
      <c r="AF32" s="59">
        <f t="shared" si="12"/>
        <v>0</v>
      </c>
      <c r="AG32" s="59">
        <f t="shared" si="12"/>
        <v>0</v>
      </c>
      <c r="AH32" s="59">
        <v>7006628.9100000001</v>
      </c>
      <c r="AI32" s="59" t="e">
        <f t="shared" si="5"/>
        <v>#REF!</v>
      </c>
      <c r="AJ32" s="59" t="e">
        <f t="shared" si="4"/>
        <v>#REF!</v>
      </c>
      <c r="AK32" s="59">
        <f>AK33+AK35</f>
        <v>6468056.7800000003</v>
      </c>
      <c r="AL32" s="59" t="e">
        <f>AL33+AL35</f>
        <v>#REF!</v>
      </c>
      <c r="AM32" s="59" t="e">
        <f>AL32-AK32</f>
        <v>#REF!</v>
      </c>
      <c r="AN32" s="59">
        <v>538572.13</v>
      </c>
      <c r="AO32" s="59">
        <f t="shared" si="12"/>
        <v>1158616.26</v>
      </c>
    </row>
    <row r="33" spans="1:41" s="115" customFormat="1" ht="15.75" x14ac:dyDescent="0.2">
      <c r="A33" s="112" t="s">
        <v>168</v>
      </c>
      <c r="B33" s="675"/>
      <c r="C33" s="114">
        <v>830</v>
      </c>
      <c r="D33" s="59">
        <f>G33+Q33+AG33+AH33</f>
        <v>400000</v>
      </c>
      <c r="E33" s="59" t="e">
        <f>H33+R33+AI33+AG33</f>
        <v>#REF!</v>
      </c>
      <c r="F33" s="59" t="e">
        <f t="shared" si="1"/>
        <v>#REF!</v>
      </c>
      <c r="G33" s="157">
        <f>SUM(G34)</f>
        <v>0</v>
      </c>
      <c r="H33" s="157"/>
      <c r="I33" s="158">
        <f t="shared" si="9"/>
        <v>0</v>
      </c>
      <c r="J33" s="59"/>
      <c r="K33" s="59">
        <f>SUM(K34)</f>
        <v>0</v>
      </c>
      <c r="L33" s="59"/>
      <c r="M33" s="59"/>
      <c r="N33" s="59">
        <f>SUM(N34)</f>
        <v>0</v>
      </c>
      <c r="O33" s="59"/>
      <c r="P33" s="59"/>
      <c r="Q33" s="59">
        <f t="shared" si="11"/>
        <v>0</v>
      </c>
      <c r="R33" s="59"/>
      <c r="S33" s="59"/>
      <c r="T33" s="59"/>
      <c r="U33" s="59">
        <f t="shared" ref="U33:AG33" si="13">SUM(U34)</f>
        <v>0</v>
      </c>
      <c r="V33" s="59">
        <f t="shared" si="13"/>
        <v>0</v>
      </c>
      <c r="W33" s="59">
        <f t="shared" si="2"/>
        <v>0</v>
      </c>
      <c r="X33" s="59">
        <f t="shared" si="13"/>
        <v>0</v>
      </c>
      <c r="Y33" s="59">
        <f t="shared" si="13"/>
        <v>0</v>
      </c>
      <c r="Z33" s="59"/>
      <c r="AA33" s="59"/>
      <c r="AB33" s="59"/>
      <c r="AC33" s="59"/>
      <c r="AD33" s="59"/>
      <c r="AE33" s="59"/>
      <c r="AF33" s="59">
        <f t="shared" si="13"/>
        <v>0</v>
      </c>
      <c r="AG33" s="59">
        <f t="shared" si="13"/>
        <v>0</v>
      </c>
      <c r="AH33" s="59">
        <v>400000</v>
      </c>
      <c r="AI33" s="59" t="e">
        <f t="shared" si="5"/>
        <v>#REF!</v>
      </c>
      <c r="AJ33" s="59" t="e">
        <f t="shared" si="4"/>
        <v>#REF!</v>
      </c>
      <c r="AK33" s="59">
        <v>400000</v>
      </c>
      <c r="AL33" s="59" t="e">
        <f>AL34</f>
        <v>#REF!</v>
      </c>
      <c r="AM33" s="59"/>
      <c r="AN33" s="59"/>
      <c r="AO33" s="59"/>
    </row>
    <row r="34" spans="1:41" ht="47.25" x14ac:dyDescent="0.25">
      <c r="A34" s="674" t="s">
        <v>169</v>
      </c>
      <c r="B34" s="673"/>
      <c r="C34" s="672">
        <v>831</v>
      </c>
      <c r="D34" s="64">
        <f>G34+Q34+AG34+AH34</f>
        <v>400000</v>
      </c>
      <c r="E34" s="64" t="e">
        <f>H34+R34+AI34+AG34</f>
        <v>#REF!</v>
      </c>
      <c r="F34" s="64" t="e">
        <f t="shared" si="1"/>
        <v>#REF!</v>
      </c>
      <c r="G34" s="158"/>
      <c r="H34" s="158"/>
      <c r="I34" s="158">
        <f t="shared" si="9"/>
        <v>0</v>
      </c>
      <c r="J34" s="64"/>
      <c r="K34" s="64"/>
      <c r="L34" s="64"/>
      <c r="M34" s="64"/>
      <c r="N34" s="64"/>
      <c r="O34" s="64"/>
      <c r="P34" s="64"/>
      <c r="Q34" s="64">
        <f t="shared" si="11"/>
        <v>0</v>
      </c>
      <c r="R34" s="64"/>
      <c r="S34" s="64"/>
      <c r="T34" s="64"/>
      <c r="U34" s="64"/>
      <c r="V34" s="64"/>
      <c r="W34" s="59">
        <f t="shared" si="2"/>
        <v>0</v>
      </c>
      <c r="X34" s="64"/>
      <c r="Y34" s="64"/>
      <c r="Z34" s="64"/>
      <c r="AA34" s="64"/>
      <c r="AB34" s="64"/>
      <c r="AC34" s="64"/>
      <c r="AD34" s="64"/>
      <c r="AE34" s="64"/>
      <c r="AF34" s="64"/>
      <c r="AG34" s="64"/>
      <c r="AH34" s="59">
        <v>400000</v>
      </c>
      <c r="AI34" s="59" t="e">
        <f t="shared" si="5"/>
        <v>#REF!</v>
      </c>
      <c r="AJ34" s="59" t="e">
        <f t="shared" si="4"/>
        <v>#REF!</v>
      </c>
      <c r="AK34" s="64">
        <v>400000</v>
      </c>
      <c r="AL34" s="64" t="e">
        <f>#REF!</f>
        <v>#REF!</v>
      </c>
      <c r="AM34" s="64"/>
      <c r="AN34" s="64"/>
      <c r="AO34" s="64"/>
    </row>
    <row r="35" spans="1:41" s="115" customFormat="1" ht="33" customHeight="1" x14ac:dyDescent="0.2">
      <c r="A35" s="130" t="s">
        <v>170</v>
      </c>
      <c r="B35" s="1385">
        <v>230</v>
      </c>
      <c r="C35" s="114">
        <v>850</v>
      </c>
      <c r="D35" s="59" t="e">
        <f>G35+Q35+AG35+AH35</f>
        <v>#REF!</v>
      </c>
      <c r="E35" s="59" t="e">
        <f>H35+R35+AI35+AG35</f>
        <v>#REF!</v>
      </c>
      <c r="F35" s="59" t="e">
        <f t="shared" si="1"/>
        <v>#REF!</v>
      </c>
      <c r="G35" s="157">
        <f>G37+G38+G39</f>
        <v>5888541</v>
      </c>
      <c r="H35" s="157">
        <f>SUM(H37:H39)</f>
        <v>6524726.1100000003</v>
      </c>
      <c r="I35" s="158">
        <f t="shared" si="9"/>
        <v>636185.11000000034</v>
      </c>
      <c r="J35" s="59">
        <f>SUM(J37:J39)</f>
        <v>0</v>
      </c>
      <c r="K35" s="59">
        <f>K37+K38+K39</f>
        <v>3778708.8</v>
      </c>
      <c r="L35" s="59">
        <f>L37+L38+L39</f>
        <v>5011411</v>
      </c>
      <c r="M35" s="59">
        <f>L35-K35</f>
        <v>1232702.2000000002</v>
      </c>
      <c r="N35" s="59">
        <f>SUM(N37:N39)</f>
        <v>2109832.2000000002</v>
      </c>
      <c r="O35" s="59">
        <f>SUM(O37:O39)</f>
        <v>1513315.11</v>
      </c>
      <c r="P35" s="59">
        <f>O35-N35</f>
        <v>-596517.09000000008</v>
      </c>
      <c r="Q35" s="59" t="e">
        <f>SUM(Q37:Q39)</f>
        <v>#REF!</v>
      </c>
      <c r="R35" s="59">
        <f t="shared" ref="R35:Z35" si="14">R37+R38+R39</f>
        <v>1952657.67</v>
      </c>
      <c r="S35" s="59" t="e">
        <f>R35-Q35</f>
        <v>#REF!</v>
      </c>
      <c r="T35" s="59">
        <f t="shared" si="14"/>
        <v>3673.7</v>
      </c>
      <c r="U35" s="59">
        <f t="shared" si="14"/>
        <v>0</v>
      </c>
      <c r="V35" s="59">
        <f t="shared" si="14"/>
        <v>0</v>
      </c>
      <c r="W35" s="59">
        <f t="shared" si="2"/>
        <v>0</v>
      </c>
      <c r="X35" s="59">
        <f t="shared" si="14"/>
        <v>1293239.8</v>
      </c>
      <c r="Y35" s="59">
        <f t="shared" si="14"/>
        <v>168699.93</v>
      </c>
      <c r="Z35" s="59">
        <f t="shared" si="14"/>
        <v>655744.17000000004</v>
      </c>
      <c r="AA35" s="59"/>
      <c r="AB35" s="59"/>
      <c r="AC35" s="59"/>
      <c r="AD35" s="59"/>
      <c r="AE35" s="59"/>
      <c r="AF35" s="59">
        <f>AF37+AF38+AF39</f>
        <v>0</v>
      </c>
      <c r="AG35" s="59">
        <f>SUM(AG36:AG39)</f>
        <v>0</v>
      </c>
      <c r="AH35" s="59">
        <v>6606628.9100000001</v>
      </c>
      <c r="AI35" s="59" t="e">
        <f t="shared" si="5"/>
        <v>#REF!</v>
      </c>
      <c r="AJ35" s="59" t="e">
        <f t="shared" si="4"/>
        <v>#REF!</v>
      </c>
      <c r="AK35" s="59">
        <v>6068056.7800000003</v>
      </c>
      <c r="AL35" s="59" t="e">
        <f>AL37+AL38+AL39</f>
        <v>#REF!</v>
      </c>
      <c r="AM35" s="59" t="e">
        <f>AL35-AK35</f>
        <v>#REF!</v>
      </c>
      <c r="AN35" s="59">
        <v>538572.13</v>
      </c>
      <c r="AO35" s="59">
        <f>AO37+AO38+AO39</f>
        <v>1158616.26</v>
      </c>
    </row>
    <row r="36" spans="1:41" ht="15.75" x14ac:dyDescent="0.25">
      <c r="A36" s="132" t="s">
        <v>92</v>
      </c>
      <c r="B36" s="1385"/>
      <c r="C36" s="134"/>
      <c r="D36" s="64"/>
      <c r="E36" s="59">
        <f>H36+R36+AH36+AG36</f>
        <v>0</v>
      </c>
      <c r="F36" s="59">
        <f t="shared" si="1"/>
        <v>0</v>
      </c>
      <c r="G36" s="158"/>
      <c r="H36" s="158"/>
      <c r="I36" s="158">
        <f t="shared" si="9"/>
        <v>0</v>
      </c>
      <c r="J36" s="64"/>
      <c r="K36" s="64"/>
      <c r="L36" s="64"/>
      <c r="M36" s="64"/>
      <c r="N36" s="64"/>
      <c r="O36" s="64"/>
      <c r="P36" s="64"/>
      <c r="Q36" s="64"/>
      <c r="R36" s="64"/>
      <c r="S36" s="64"/>
      <c r="T36" s="64"/>
      <c r="U36" s="64"/>
      <c r="V36" s="64"/>
      <c r="W36" s="59">
        <f t="shared" si="2"/>
        <v>0</v>
      </c>
      <c r="X36" s="64"/>
      <c r="Y36" s="64"/>
      <c r="Z36" s="64"/>
      <c r="AA36" s="64"/>
      <c r="AB36" s="64"/>
      <c r="AC36" s="64"/>
      <c r="AD36" s="64"/>
      <c r="AE36" s="64"/>
      <c r="AF36" s="64"/>
      <c r="AG36" s="64"/>
      <c r="AH36" s="59">
        <v>0</v>
      </c>
      <c r="AI36" s="59">
        <f t="shared" si="5"/>
        <v>0</v>
      </c>
      <c r="AJ36" s="59">
        <f t="shared" si="4"/>
        <v>0</v>
      </c>
      <c r="AK36" s="64"/>
      <c r="AL36" s="64"/>
      <c r="AM36" s="64"/>
      <c r="AN36" s="64"/>
      <c r="AO36" s="64"/>
    </row>
    <row r="37" spans="1:41" ht="31.5" x14ac:dyDescent="0.25">
      <c r="A37" s="132" t="s">
        <v>171</v>
      </c>
      <c r="B37" s="1385"/>
      <c r="C37" s="672">
        <v>851</v>
      </c>
      <c r="D37" s="64" t="e">
        <f>G37+Q37+AG37+AH37</f>
        <v>#REF!</v>
      </c>
      <c r="E37" s="64" t="e">
        <f>H37+R37+AI37+AG37</f>
        <v>#REF!</v>
      </c>
      <c r="F37" s="64" t="e">
        <f t="shared" si="1"/>
        <v>#REF!</v>
      </c>
      <c r="G37" s="158">
        <v>5545243.1200000001</v>
      </c>
      <c r="H37" s="158">
        <f>J37+L37+O37</f>
        <v>6181428.2300000004</v>
      </c>
      <c r="I37" s="158">
        <f t="shared" si="9"/>
        <v>636185.11000000034</v>
      </c>
      <c r="J37" s="64"/>
      <c r="K37" s="64">
        <v>3435410.92</v>
      </c>
      <c r="L37" s="64">
        <v>4668113.12</v>
      </c>
      <c r="M37" s="64">
        <f>L37-K37</f>
        <v>1232702.2000000002</v>
      </c>
      <c r="N37" s="64">
        <v>2109832.2000000002</v>
      </c>
      <c r="O37" s="64">
        <v>1513315.11</v>
      </c>
      <c r="P37" s="64">
        <f>O37-N37</f>
        <v>-596517.09000000008</v>
      </c>
      <c r="Q37" s="64" t="e">
        <f>U37+X37+Y37+#REF!+AC37+T37</f>
        <v>#REF!</v>
      </c>
      <c r="R37" s="64">
        <f>T37+V37+X37+Z37+AA37+AD37</f>
        <v>1952657.67</v>
      </c>
      <c r="S37" s="64" t="e">
        <f>R37-Q37</f>
        <v>#REF!</v>
      </c>
      <c r="T37" s="64">
        <v>3673.7</v>
      </c>
      <c r="U37" s="64"/>
      <c r="V37" s="64"/>
      <c r="W37" s="59">
        <f t="shared" si="2"/>
        <v>0</v>
      </c>
      <c r="X37" s="64">
        <v>1293239.8</v>
      </c>
      <c r="Y37" s="64">
        <v>159928.06</v>
      </c>
      <c r="Z37" s="64">
        <v>655744.17000000004</v>
      </c>
      <c r="AA37" s="64"/>
      <c r="AB37" s="64"/>
      <c r="AC37" s="64"/>
      <c r="AD37" s="64"/>
      <c r="AE37" s="64"/>
      <c r="AF37" s="64"/>
      <c r="AG37" s="64"/>
      <c r="AH37" s="59">
        <v>4806897.66</v>
      </c>
      <c r="AI37" s="59" t="e">
        <f t="shared" si="5"/>
        <v>#REF!</v>
      </c>
      <c r="AJ37" s="59" t="e">
        <f t="shared" si="4"/>
        <v>#REF!</v>
      </c>
      <c r="AK37" s="64">
        <v>4423553.66</v>
      </c>
      <c r="AL37" s="64" t="e">
        <f>#REF!</f>
        <v>#REF!</v>
      </c>
      <c r="AM37" s="64" t="e">
        <f>AL37-AK37</f>
        <v>#REF!</v>
      </c>
      <c r="AN37" s="64">
        <v>383344</v>
      </c>
      <c r="AO37" s="64">
        <v>983616.26</v>
      </c>
    </row>
    <row r="38" spans="1:41" ht="15.75" x14ac:dyDescent="0.25">
      <c r="A38" s="132" t="s">
        <v>172</v>
      </c>
      <c r="B38" s="1385"/>
      <c r="C38" s="672">
        <v>852</v>
      </c>
      <c r="D38" s="64" t="e">
        <f>G38+Q38+AG38+AH38</f>
        <v>#REF!</v>
      </c>
      <c r="E38" s="64">
        <f>H38+R38+AI38+AG38</f>
        <v>985990.26</v>
      </c>
      <c r="F38" s="59" t="e">
        <f t="shared" si="1"/>
        <v>#REF!</v>
      </c>
      <c r="G38" s="158">
        <v>235990.26</v>
      </c>
      <c r="H38" s="158">
        <f t="shared" ref="H38:H39" si="15">J38+L38+O38</f>
        <v>235990.26</v>
      </c>
      <c r="I38" s="158">
        <f t="shared" si="9"/>
        <v>0</v>
      </c>
      <c r="J38" s="64"/>
      <c r="K38" s="64">
        <v>235990.26</v>
      </c>
      <c r="L38" s="64">
        <v>235990.26</v>
      </c>
      <c r="M38" s="64">
        <f>L38-K38</f>
        <v>0</v>
      </c>
      <c r="N38" s="64"/>
      <c r="O38" s="64"/>
      <c r="P38" s="64"/>
      <c r="Q38" s="64" t="e">
        <f>U38+X38+Y38+#REF!+AC38</f>
        <v>#REF!</v>
      </c>
      <c r="R38" s="64">
        <f>T38+V38+X38+Z38+AA38+AD38</f>
        <v>0</v>
      </c>
      <c r="S38" s="64" t="e">
        <f>R38-Q38</f>
        <v>#REF!</v>
      </c>
      <c r="T38" s="64"/>
      <c r="U38" s="64"/>
      <c r="V38" s="64"/>
      <c r="W38" s="59">
        <f t="shared" si="2"/>
        <v>0</v>
      </c>
      <c r="X38" s="64"/>
      <c r="Y38" s="64">
        <v>8771.8700000000008</v>
      </c>
      <c r="Z38" s="64"/>
      <c r="AA38" s="64"/>
      <c r="AB38" s="64"/>
      <c r="AC38" s="64"/>
      <c r="AD38" s="64"/>
      <c r="AE38" s="64"/>
      <c r="AF38" s="64"/>
      <c r="AG38" s="64"/>
      <c r="AH38" s="59">
        <v>420937.76</v>
      </c>
      <c r="AI38" s="59">
        <f t="shared" si="5"/>
        <v>750000</v>
      </c>
      <c r="AJ38" s="59">
        <f t="shared" si="4"/>
        <v>329062.24</v>
      </c>
      <c r="AK38" s="64">
        <v>331709.63</v>
      </c>
      <c r="AL38" s="64">
        <v>600000</v>
      </c>
      <c r="AM38" s="64">
        <f>AL38-AK38</f>
        <v>268290.37</v>
      </c>
      <c r="AN38" s="64">
        <v>89228.13</v>
      </c>
      <c r="AO38" s="64">
        <v>150000</v>
      </c>
    </row>
    <row r="39" spans="1:41" ht="18.75" customHeight="1" x14ac:dyDescent="0.25">
      <c r="A39" s="132" t="s">
        <v>173</v>
      </c>
      <c r="B39" s="1385"/>
      <c r="C39" s="672">
        <v>853</v>
      </c>
      <c r="D39" s="64">
        <f>G39+Q39+AG39+AH39</f>
        <v>1486101.1099999999</v>
      </c>
      <c r="E39" s="64">
        <f>H39+R39+AI39+AG39</f>
        <v>732307.62</v>
      </c>
      <c r="F39" s="59">
        <f t="shared" si="1"/>
        <v>-753793.48999999987</v>
      </c>
      <c r="G39" s="158">
        <v>107307.62</v>
      </c>
      <c r="H39" s="158">
        <f t="shared" si="15"/>
        <v>107307.62</v>
      </c>
      <c r="I39" s="158">
        <f t="shared" si="9"/>
        <v>0</v>
      </c>
      <c r="J39" s="64"/>
      <c r="K39" s="64">
        <v>107307.62</v>
      </c>
      <c r="L39" s="64">
        <v>107307.62</v>
      </c>
      <c r="M39" s="64">
        <f>L39-K39</f>
        <v>0</v>
      </c>
      <c r="N39" s="64"/>
      <c r="O39" s="64"/>
      <c r="P39" s="64"/>
      <c r="Q39" s="64">
        <f>SUM(U39:Y39)</f>
        <v>0</v>
      </c>
      <c r="R39" s="64"/>
      <c r="S39" s="64"/>
      <c r="T39" s="64"/>
      <c r="U39" s="64"/>
      <c r="V39" s="64"/>
      <c r="W39" s="59">
        <f t="shared" si="2"/>
        <v>0</v>
      </c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59">
        <v>1378793.49</v>
      </c>
      <c r="AI39" s="59">
        <f t="shared" si="5"/>
        <v>625000</v>
      </c>
      <c r="AJ39" s="59">
        <f t="shared" si="4"/>
        <v>-753793.49</v>
      </c>
      <c r="AK39" s="64">
        <v>1312793.49</v>
      </c>
      <c r="AL39" s="64">
        <v>600000</v>
      </c>
      <c r="AM39" s="64">
        <f>AL39-AK39</f>
        <v>-712793.49</v>
      </c>
      <c r="AN39" s="64">
        <v>66000</v>
      </c>
      <c r="AO39" s="64">
        <v>25000</v>
      </c>
    </row>
    <row r="40" spans="1:41" ht="15.75" x14ac:dyDescent="0.25">
      <c r="A40" s="132" t="s">
        <v>174</v>
      </c>
      <c r="B40" s="673">
        <v>240</v>
      </c>
      <c r="C40" s="672">
        <v>860</v>
      </c>
      <c r="D40" s="64"/>
      <c r="E40" s="59">
        <f>H40+R40+AH40+AG40</f>
        <v>0</v>
      </c>
      <c r="F40" s="59">
        <f t="shared" si="1"/>
        <v>0</v>
      </c>
      <c r="G40" s="158"/>
      <c r="H40" s="158"/>
      <c r="I40" s="158">
        <f t="shared" si="9"/>
        <v>0</v>
      </c>
      <c r="J40" s="64"/>
      <c r="K40" s="64"/>
      <c r="L40" s="64"/>
      <c r="M40" s="64"/>
      <c r="N40" s="64"/>
      <c r="O40" s="64"/>
      <c r="P40" s="64"/>
      <c r="Q40" s="64">
        <f>SUM(U40:Y40)</f>
        <v>0</v>
      </c>
      <c r="R40" s="64"/>
      <c r="S40" s="64"/>
      <c r="T40" s="64"/>
      <c r="U40" s="64"/>
      <c r="V40" s="64"/>
      <c r="W40" s="59">
        <f t="shared" si="2"/>
        <v>0</v>
      </c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59">
        <f t="shared" ref="AH40:AH73" si="16">AK40+AN40</f>
        <v>0</v>
      </c>
      <c r="AI40" s="59">
        <f t="shared" si="5"/>
        <v>0</v>
      </c>
      <c r="AJ40" s="59">
        <f t="shared" si="4"/>
        <v>0</v>
      </c>
      <c r="AK40" s="64"/>
      <c r="AL40" s="64"/>
      <c r="AM40" s="64"/>
      <c r="AN40" s="64"/>
      <c r="AO40" s="64"/>
    </row>
    <row r="41" spans="1:41" s="115" customFormat="1" ht="31.5" x14ac:dyDescent="0.2">
      <c r="A41" s="130" t="s">
        <v>175</v>
      </c>
      <c r="B41" s="1387">
        <v>250</v>
      </c>
      <c r="C41" s="138"/>
      <c r="D41" s="59">
        <f>G41+Q41+AG41+AH41</f>
        <v>0</v>
      </c>
      <c r="E41" s="59">
        <f>H41+R41+AH41+AG41</f>
        <v>0</v>
      </c>
      <c r="F41" s="59">
        <f t="shared" si="1"/>
        <v>0</v>
      </c>
      <c r="G41" s="157">
        <f>G43</f>
        <v>0</v>
      </c>
      <c r="H41" s="157"/>
      <c r="I41" s="158">
        <f t="shared" si="9"/>
        <v>0</v>
      </c>
      <c r="J41" s="59"/>
      <c r="K41" s="59">
        <f>K43</f>
        <v>0</v>
      </c>
      <c r="L41" s="59"/>
      <c r="M41" s="59"/>
      <c r="N41" s="59">
        <f>N43</f>
        <v>0</v>
      </c>
      <c r="O41" s="59"/>
      <c r="P41" s="59"/>
      <c r="Q41" s="59">
        <f>SUM(U41:Y41)</f>
        <v>0</v>
      </c>
      <c r="R41" s="59"/>
      <c r="S41" s="59"/>
      <c r="T41" s="59"/>
      <c r="U41" s="59">
        <v>0</v>
      </c>
      <c r="V41" s="59">
        <v>0</v>
      </c>
      <c r="W41" s="59">
        <f t="shared" si="2"/>
        <v>0</v>
      </c>
      <c r="X41" s="59">
        <v>0</v>
      </c>
      <c r="Y41" s="59">
        <v>0</v>
      </c>
      <c r="Z41" s="59"/>
      <c r="AA41" s="59"/>
      <c r="AB41" s="59"/>
      <c r="AC41" s="59"/>
      <c r="AD41" s="59"/>
      <c r="AE41" s="59"/>
      <c r="AF41" s="59">
        <v>0</v>
      </c>
      <c r="AG41" s="59">
        <v>0</v>
      </c>
      <c r="AH41" s="59">
        <f t="shared" si="16"/>
        <v>0</v>
      </c>
      <c r="AI41" s="59">
        <f t="shared" si="5"/>
        <v>0</v>
      </c>
      <c r="AJ41" s="59">
        <f t="shared" si="4"/>
        <v>0</v>
      </c>
      <c r="AK41" s="59"/>
      <c r="AL41" s="59"/>
      <c r="AM41" s="59"/>
      <c r="AN41" s="59"/>
      <c r="AO41" s="59"/>
    </row>
    <row r="42" spans="1:41" s="115" customFormat="1" ht="15.75" x14ac:dyDescent="0.2">
      <c r="A42" s="130" t="s">
        <v>92</v>
      </c>
      <c r="B42" s="1387"/>
      <c r="C42" s="138"/>
      <c r="D42" s="59"/>
      <c r="E42" s="59">
        <f>H42+R42+AH42+AG42</f>
        <v>0</v>
      </c>
      <c r="F42" s="59">
        <f t="shared" si="1"/>
        <v>0</v>
      </c>
      <c r="G42" s="157"/>
      <c r="H42" s="157"/>
      <c r="I42" s="158">
        <f t="shared" si="9"/>
        <v>0</v>
      </c>
      <c r="J42" s="59"/>
      <c r="K42" s="59"/>
      <c r="L42" s="59"/>
      <c r="M42" s="59"/>
      <c r="N42" s="59"/>
      <c r="O42" s="59"/>
      <c r="P42" s="59"/>
      <c r="Q42" s="59"/>
      <c r="R42" s="59"/>
      <c r="S42" s="59"/>
      <c r="T42" s="59"/>
      <c r="U42" s="59"/>
      <c r="V42" s="59"/>
      <c r="W42" s="59">
        <f t="shared" si="2"/>
        <v>0</v>
      </c>
      <c r="X42" s="59"/>
      <c r="Y42" s="59"/>
      <c r="Z42" s="59"/>
      <c r="AA42" s="59"/>
      <c r="AB42" s="59"/>
      <c r="AC42" s="59"/>
      <c r="AD42" s="59"/>
      <c r="AE42" s="59"/>
      <c r="AF42" s="59"/>
      <c r="AG42" s="59"/>
      <c r="AH42" s="59">
        <f t="shared" si="16"/>
        <v>0</v>
      </c>
      <c r="AI42" s="59">
        <f t="shared" si="5"/>
        <v>0</v>
      </c>
      <c r="AJ42" s="59">
        <f t="shared" si="4"/>
        <v>0</v>
      </c>
      <c r="AK42" s="59"/>
      <c r="AL42" s="59"/>
      <c r="AM42" s="59"/>
      <c r="AN42" s="59"/>
      <c r="AO42" s="59"/>
    </row>
    <row r="43" spans="1:41" s="115" customFormat="1" ht="15.75" x14ac:dyDescent="0.2">
      <c r="A43" s="139"/>
      <c r="B43" s="1387"/>
      <c r="C43" s="138"/>
      <c r="D43" s="59"/>
      <c r="E43" s="59">
        <f>H43+R43+AH43+AG43</f>
        <v>0</v>
      </c>
      <c r="F43" s="59">
        <f t="shared" si="1"/>
        <v>0</v>
      </c>
      <c r="G43" s="157"/>
      <c r="H43" s="157"/>
      <c r="I43" s="158">
        <f t="shared" si="9"/>
        <v>0</v>
      </c>
      <c r="J43" s="59"/>
      <c r="K43" s="59"/>
      <c r="L43" s="59"/>
      <c r="M43" s="59"/>
      <c r="N43" s="59"/>
      <c r="O43" s="59"/>
      <c r="P43" s="59"/>
      <c r="Q43" s="59"/>
      <c r="R43" s="59"/>
      <c r="S43" s="59"/>
      <c r="T43" s="59"/>
      <c r="U43" s="59"/>
      <c r="V43" s="59"/>
      <c r="W43" s="59">
        <f t="shared" si="2"/>
        <v>0</v>
      </c>
      <c r="X43" s="59"/>
      <c r="Y43" s="59"/>
      <c r="Z43" s="59"/>
      <c r="AA43" s="59"/>
      <c r="AB43" s="59"/>
      <c r="AC43" s="59"/>
      <c r="AD43" s="59"/>
      <c r="AE43" s="59"/>
      <c r="AF43" s="59"/>
      <c r="AG43" s="59"/>
      <c r="AH43" s="59">
        <f t="shared" si="16"/>
        <v>0</v>
      </c>
      <c r="AI43" s="59">
        <f t="shared" si="5"/>
        <v>0</v>
      </c>
      <c r="AJ43" s="59">
        <f t="shared" si="4"/>
        <v>0</v>
      </c>
      <c r="AK43" s="59"/>
      <c r="AL43" s="59"/>
      <c r="AM43" s="59"/>
      <c r="AN43" s="59"/>
      <c r="AO43" s="59"/>
    </row>
    <row r="44" spans="1:41" s="115" customFormat="1" ht="15.75" x14ac:dyDescent="0.2">
      <c r="A44" s="130" t="s">
        <v>176</v>
      </c>
      <c r="B44" s="1383">
        <v>260</v>
      </c>
      <c r="C44" s="114">
        <v>240</v>
      </c>
      <c r="D44" s="59" t="e">
        <f>G44+Q44+AG44+AH44</f>
        <v>#REF!</v>
      </c>
      <c r="E44" s="59" t="e">
        <f>H44+R44+AI44+AG44</f>
        <v>#REF!</v>
      </c>
      <c r="F44" s="59" t="e">
        <f t="shared" si="1"/>
        <v>#REF!</v>
      </c>
      <c r="G44" s="157">
        <f>G46+G47+G48+G49+G50+G54+G58+G60+G62+G65+G51+G55+G59+G61+G63+G64</f>
        <v>61218790.93</v>
      </c>
      <c r="H44" s="157">
        <f>H46+H47+H48+H49+H50+H54+H58+H60+H62+H65+H51+H55+H59+H61+H63+H64</f>
        <v>58647632.07</v>
      </c>
      <c r="I44" s="158">
        <f t="shared" si="9"/>
        <v>-2571158.8599999994</v>
      </c>
      <c r="J44" s="59">
        <f>J46+J47+J48+J49+J50+J54+J58+J60</f>
        <v>0</v>
      </c>
      <c r="K44" s="59">
        <f>K46+K47+K48+K49+K50+K54+K58+K60+K62+K65+K51+K55+K59+K61+K63+K64</f>
        <v>45947648.329999998</v>
      </c>
      <c r="L44" s="59">
        <f>L46+L47+L48+L49+L50+L54+L58+L60+L62+L65+L51+L55+L59+L61+L63+L64</f>
        <v>41164898.649999999</v>
      </c>
      <c r="M44" s="59">
        <f>L44-K44</f>
        <v>-4782749.68</v>
      </c>
      <c r="N44" s="59">
        <f>N46+N47+N48+N49+N50+N54+N58+N60+N62+N65+N51+N55+N59+N61+N63+N64</f>
        <v>15271142.6</v>
      </c>
      <c r="O44" s="59">
        <f>O46+O47+O48+O49+O50+O54+O58+O60+O62+O65+O51+O55+O59+O61+O63+O64</f>
        <v>17482733.420000002</v>
      </c>
      <c r="P44" s="59">
        <f>O44-N44</f>
        <v>2211590.8200000022</v>
      </c>
      <c r="Q44" s="59" t="e">
        <f>Q46+Q47+Q48+Q49+Q50+Q54+Q58+Q60+Q62+Q65+Q51+Q55+Q59+Q61+Q63+Q64</f>
        <v>#REF!</v>
      </c>
      <c r="R44" s="59">
        <f>R46+R47+R48+R49+R50+R54+R58+R60+R62+R65+R51+R55+R59+R61+R63+R64</f>
        <v>1464393473.9800003</v>
      </c>
      <c r="S44" s="59" t="e">
        <f>R44-Q44</f>
        <v>#REF!</v>
      </c>
      <c r="T44" s="59">
        <f>T46+T47+T48+T49+T50+T54+T58+T60+T62+T65+T51+T55+T59+T61+T63+T64</f>
        <v>667265050.67999995</v>
      </c>
      <c r="U44" s="59">
        <f>U46+U47+U48+U49+U50+U54+U58+U60+U62+U65+U51+U55+U59+U61+U63+U64</f>
        <v>777712203</v>
      </c>
      <c r="V44" s="59">
        <f>V46+V47+V48+V49+V50+V54+V58+V60+V62+V65+V51+V55+V59+V61+V63+V64</f>
        <v>777712203</v>
      </c>
      <c r="W44" s="59">
        <f t="shared" si="2"/>
        <v>0</v>
      </c>
      <c r="X44" s="59">
        <f>X46+X47+X48+X49+X50+X54+X58+X60+X62+X65+X51+X55+X59+X61+X63+X64</f>
        <v>11296886</v>
      </c>
      <c r="Y44" s="59">
        <f>Y46+Y47+Y48+Y49+Y50+Y54+Y58+Y60+Y62+Y65+Y51+Y55+Y59+Y61+Y63+Y64</f>
        <v>6709878.54</v>
      </c>
      <c r="Z44" s="59">
        <f>Z46+Z47+Z48+Z49+Z50+Z54+Z58+Z60+Z62+Z65+Z51+Z55+Z59+Z61+Z63+Z64</f>
        <v>6222834.2999999998</v>
      </c>
      <c r="AA44" s="59"/>
      <c r="AB44" s="59"/>
      <c r="AC44" s="59">
        <f t="shared" ref="AC44:AD44" si="17">AC46+AC47+AC48+AC49+AC50+AC54+AC58+AC60+AC62+AC65+AC51+AC55+AC59+AC61+AC63+AC64</f>
        <v>1896500</v>
      </c>
      <c r="AD44" s="59">
        <f t="shared" si="17"/>
        <v>1896500</v>
      </c>
      <c r="AE44" s="59">
        <f>AD44-AC44</f>
        <v>0</v>
      </c>
      <c r="AF44" s="59">
        <f>AF46+AF47+AF48+AF49+AF50+AF51+AF55+AF60</f>
        <v>0</v>
      </c>
      <c r="AG44" s="59">
        <f>AG46+AG47+AG48+AG49+AG50+AG54+AG58+AG60+AG62+AG65+AG51+AG55+AG59+AG61+AG63+AG64</f>
        <v>70000</v>
      </c>
      <c r="AH44" s="59">
        <f>AH46+AH47+AH48+AH49+AH50+AH54+AH58+AH60+AH62+AH65+AH51+AH55+AH59+AH61+AH63+AH64</f>
        <v>122453481.59</v>
      </c>
      <c r="AI44" s="59" t="e">
        <f>AI46+AI47+AI48+AI49+AI50+AI54+AI58+AI60+AI62+AI65+AI51+AI55+AI59+AI61+AI63+AI64</f>
        <v>#REF!</v>
      </c>
      <c r="AJ44" s="59" t="e">
        <f t="shared" si="4"/>
        <v>#REF!</v>
      </c>
      <c r="AK44" s="59">
        <v>102360232.05</v>
      </c>
      <c r="AL44" s="59" t="e">
        <f>AL46+AL47+AL48+AL49+AL50+AL54+AL58+AL60+AL62+AL65+AL51+AL55+AL59+AL61+AL63+AL64</f>
        <v>#REF!</v>
      </c>
      <c r="AM44" s="59" t="e">
        <f>AL44-AK44</f>
        <v>#REF!</v>
      </c>
      <c r="AN44" s="59">
        <f>AN46+AN47+AN48+AN49+AN50+AN54+AN58+AN60+AN62+AN65+AN51+AN55+AN59+AN61+AN63+AN64</f>
        <v>20093249.539999999</v>
      </c>
      <c r="AO44" s="59">
        <f>AO46+AO47+AO48+AO49+AO50+AO54+AO58+AO60+AO62+AO65+AO51+AO55+AO59+AO61+AO63+AO64</f>
        <v>34120345.719999999</v>
      </c>
    </row>
    <row r="45" spans="1:41" ht="15.75" x14ac:dyDescent="0.25">
      <c r="A45" s="132" t="s">
        <v>92</v>
      </c>
      <c r="B45" s="1383"/>
      <c r="C45" s="134"/>
      <c r="D45" s="64"/>
      <c r="E45" s="59">
        <f>H45+R45+AH45+AG45</f>
        <v>0</v>
      </c>
      <c r="F45" s="59">
        <f t="shared" si="1"/>
        <v>0</v>
      </c>
      <c r="G45" s="158"/>
      <c r="H45" s="158"/>
      <c r="I45" s="158">
        <f t="shared" si="9"/>
        <v>0</v>
      </c>
      <c r="J45" s="64"/>
      <c r="K45" s="64"/>
      <c r="L45" s="64"/>
      <c r="M45" s="64"/>
      <c r="N45" s="64"/>
      <c r="O45" s="64"/>
      <c r="P45" s="64"/>
      <c r="Q45" s="64"/>
      <c r="R45" s="64"/>
      <c r="S45" s="64"/>
      <c r="T45" s="64"/>
      <c r="U45" s="64"/>
      <c r="V45" s="64"/>
      <c r="W45" s="59">
        <f t="shared" si="2"/>
        <v>0</v>
      </c>
      <c r="X45" s="64"/>
      <c r="Y45" s="64"/>
      <c r="Z45" s="64"/>
      <c r="AA45" s="64"/>
      <c r="AB45" s="64"/>
      <c r="AC45" s="64"/>
      <c r="AD45" s="64"/>
      <c r="AE45" s="64"/>
      <c r="AF45" s="64"/>
      <c r="AG45" s="64"/>
      <c r="AH45" s="59">
        <f t="shared" si="16"/>
        <v>0</v>
      </c>
      <c r="AI45" s="59">
        <f t="shared" si="5"/>
        <v>0</v>
      </c>
      <c r="AJ45" s="59">
        <f t="shared" si="4"/>
        <v>0</v>
      </c>
      <c r="AK45" s="64"/>
      <c r="AL45" s="64"/>
      <c r="AM45" s="64"/>
      <c r="AN45" s="64"/>
      <c r="AO45" s="64"/>
    </row>
    <row r="46" spans="1:41" ht="31.5" x14ac:dyDescent="0.25">
      <c r="A46" s="132" t="s">
        <v>177</v>
      </c>
      <c r="B46" s="132"/>
      <c r="C46" s="672">
        <v>241</v>
      </c>
      <c r="D46" s="64"/>
      <c r="E46" s="59">
        <f>H46+R46+AH46+AG46</f>
        <v>0</v>
      </c>
      <c r="F46" s="59">
        <f t="shared" si="1"/>
        <v>0</v>
      </c>
      <c r="G46" s="158"/>
      <c r="H46" s="158"/>
      <c r="I46" s="158">
        <f t="shared" si="9"/>
        <v>0</v>
      </c>
      <c r="J46" s="64"/>
      <c r="K46" s="64"/>
      <c r="L46" s="64"/>
      <c r="M46" s="64"/>
      <c r="N46" s="64"/>
      <c r="O46" s="64"/>
      <c r="P46" s="64"/>
      <c r="Q46" s="64"/>
      <c r="R46" s="64"/>
      <c r="S46" s="64"/>
      <c r="T46" s="64"/>
      <c r="U46" s="64"/>
      <c r="V46" s="64"/>
      <c r="W46" s="59">
        <f t="shared" si="2"/>
        <v>0</v>
      </c>
      <c r="X46" s="64"/>
      <c r="Y46" s="64"/>
      <c r="Z46" s="64"/>
      <c r="AA46" s="64"/>
      <c r="AB46" s="64"/>
      <c r="AC46" s="64"/>
      <c r="AD46" s="64"/>
      <c r="AE46" s="64"/>
      <c r="AF46" s="64"/>
      <c r="AG46" s="64"/>
      <c r="AH46" s="59">
        <f t="shared" si="16"/>
        <v>0</v>
      </c>
      <c r="AI46" s="59">
        <f t="shared" si="5"/>
        <v>0</v>
      </c>
      <c r="AJ46" s="59">
        <f t="shared" si="4"/>
        <v>0</v>
      </c>
      <c r="AK46" s="64"/>
      <c r="AL46" s="64"/>
      <c r="AM46" s="64"/>
      <c r="AN46" s="64"/>
      <c r="AO46" s="64"/>
    </row>
    <row r="47" spans="1:41" ht="15.75" customHeight="1" x14ac:dyDescent="0.25">
      <c r="A47" s="132" t="s">
        <v>178</v>
      </c>
      <c r="B47" s="132"/>
      <c r="C47" s="672">
        <v>244</v>
      </c>
      <c r="D47" s="64" t="e">
        <f>G47+Q47+AG47+AH47</f>
        <v>#REF!</v>
      </c>
      <c r="E47" s="64">
        <f>H47+R47+AI47+AG47</f>
        <v>2457173.5100000002</v>
      </c>
      <c r="F47" s="59" t="e">
        <f t="shared" si="1"/>
        <v>#REF!</v>
      </c>
      <c r="G47" s="158">
        <v>770865.64</v>
      </c>
      <c r="H47" s="158">
        <f>J47+L47+O47</f>
        <v>927575.91</v>
      </c>
      <c r="I47" s="158">
        <f t="shared" si="9"/>
        <v>156710.27000000002</v>
      </c>
      <c r="J47" s="64"/>
      <c r="K47" s="64">
        <v>677714.64</v>
      </c>
      <c r="L47" s="64">
        <v>709365.92</v>
      </c>
      <c r="M47" s="64">
        <f>L47-K47</f>
        <v>31651.280000000028</v>
      </c>
      <c r="N47" s="64">
        <v>93151</v>
      </c>
      <c r="O47" s="64">
        <v>218209.99</v>
      </c>
      <c r="P47" s="64">
        <f>O47-N47</f>
        <v>125058.98999999999</v>
      </c>
      <c r="Q47" s="64" t="e">
        <f>U47+X47+Y47+#REF!+AC47+T47</f>
        <v>#REF!</v>
      </c>
      <c r="R47" s="64">
        <f>T47+V47+X47+Z47+AA47+AD47</f>
        <v>326552.98</v>
      </c>
      <c r="S47" s="64" t="e">
        <f>R47-Q47</f>
        <v>#REF!</v>
      </c>
      <c r="T47" s="64">
        <f>54723.88+10227</f>
        <v>64950.879999999997</v>
      </c>
      <c r="U47" s="64"/>
      <c r="V47" s="64"/>
      <c r="W47" s="59">
        <f t="shared" si="2"/>
        <v>0</v>
      </c>
      <c r="X47" s="64">
        <v>216602.1</v>
      </c>
      <c r="Y47" s="64">
        <v>190374</v>
      </c>
      <c r="Z47" s="64">
        <v>45000</v>
      </c>
      <c r="AA47" s="64"/>
      <c r="AB47" s="64"/>
      <c r="AC47" s="64"/>
      <c r="AD47" s="64"/>
      <c r="AE47" s="64"/>
      <c r="AF47" s="64"/>
      <c r="AG47" s="64"/>
      <c r="AH47" s="59">
        <v>1160746.48</v>
      </c>
      <c r="AI47" s="59">
        <f t="shared" si="5"/>
        <v>1203044.6200000001</v>
      </c>
      <c r="AJ47" s="59">
        <f t="shared" si="4"/>
        <v>42298.14000000013</v>
      </c>
      <c r="AK47" s="64">
        <v>914369.45</v>
      </c>
      <c r="AL47" s="64">
        <f>914369.45+33675.17</f>
        <v>948044.62</v>
      </c>
      <c r="AM47" s="64">
        <f>AL47-AK47</f>
        <v>33675.170000000042</v>
      </c>
      <c r="AN47" s="64">
        <v>246377.03000000003</v>
      </c>
      <c r="AO47" s="64">
        <v>255000</v>
      </c>
    </row>
    <row r="48" spans="1:41" ht="19.5" customHeight="1" x14ac:dyDescent="0.25">
      <c r="A48" s="132" t="s">
        <v>179</v>
      </c>
      <c r="B48" s="132"/>
      <c r="C48" s="672">
        <v>244</v>
      </c>
      <c r="D48" s="64">
        <f>G48+Q48+AF48+AG48+AH48</f>
        <v>135100</v>
      </c>
      <c r="E48" s="64" t="e">
        <f>H48+R48+AI48+AG48</f>
        <v>#REF!</v>
      </c>
      <c r="F48" s="64" t="e">
        <f t="shared" si="1"/>
        <v>#REF!</v>
      </c>
      <c r="G48" s="158"/>
      <c r="H48" s="158"/>
      <c r="I48" s="158">
        <f t="shared" si="9"/>
        <v>0</v>
      </c>
      <c r="J48" s="64"/>
      <c r="K48" s="64"/>
      <c r="L48" s="64"/>
      <c r="M48" s="64"/>
      <c r="N48" s="64"/>
      <c r="O48" s="64"/>
      <c r="P48" s="64"/>
      <c r="Q48" s="64"/>
      <c r="R48" s="64"/>
      <c r="S48" s="64"/>
      <c r="T48" s="64"/>
      <c r="U48" s="64"/>
      <c r="V48" s="64"/>
      <c r="W48" s="59">
        <f t="shared" si="2"/>
        <v>0</v>
      </c>
      <c r="X48" s="64"/>
      <c r="Y48" s="64"/>
      <c r="Z48" s="64"/>
      <c r="AA48" s="64"/>
      <c r="AB48" s="64"/>
      <c r="AC48" s="64"/>
      <c r="AD48" s="64"/>
      <c r="AE48" s="64"/>
      <c r="AF48" s="64"/>
      <c r="AG48" s="64"/>
      <c r="AH48" s="59">
        <v>135100</v>
      </c>
      <c r="AI48" s="59" t="e">
        <f t="shared" si="5"/>
        <v>#REF!</v>
      </c>
      <c r="AJ48" s="59" t="e">
        <f t="shared" si="4"/>
        <v>#REF!</v>
      </c>
      <c r="AK48" s="64">
        <v>85100</v>
      </c>
      <c r="AL48" s="64" t="e">
        <f>#REF!</f>
        <v>#REF!</v>
      </c>
      <c r="AM48" s="64" t="e">
        <f t="shared" ref="AM48:AM66" si="18">AL48-AK48</f>
        <v>#REF!</v>
      </c>
      <c r="AN48" s="64">
        <v>50000</v>
      </c>
      <c r="AO48" s="64">
        <v>150000</v>
      </c>
    </row>
    <row r="49" spans="1:41" ht="16.5" customHeight="1" x14ac:dyDescent="0.25">
      <c r="A49" s="132" t="s">
        <v>180</v>
      </c>
      <c r="B49" s="132"/>
      <c r="C49" s="672">
        <v>244</v>
      </c>
      <c r="D49" s="64" t="e">
        <f>G49+Q49+AG49+AH49</f>
        <v>#REF!</v>
      </c>
      <c r="E49" s="64" t="e">
        <f>H49+R49+AI49+AG49</f>
        <v>#REF!</v>
      </c>
      <c r="F49" s="64" t="e">
        <f t="shared" si="1"/>
        <v>#REF!</v>
      </c>
      <c r="G49" s="158">
        <v>14540700.050000001</v>
      </c>
      <c r="H49" s="158">
        <f>J49+L49+O49</f>
        <v>13709616.09</v>
      </c>
      <c r="I49" s="158">
        <f t="shared" si="9"/>
        <v>-831083.96000000089</v>
      </c>
      <c r="J49" s="64"/>
      <c r="K49" s="64">
        <v>12397327.450000001</v>
      </c>
      <c r="L49" s="64">
        <f>8789466.1+1140927.27-336832.67</f>
        <v>9593560.6999999993</v>
      </c>
      <c r="M49" s="64">
        <f>L49-K49</f>
        <v>-2803766.7500000019</v>
      </c>
      <c r="N49" s="64">
        <v>2143372.6</v>
      </c>
      <c r="O49" s="64">
        <v>4116055.39</v>
      </c>
      <c r="P49" s="64">
        <f>O49-N49</f>
        <v>1972682.79</v>
      </c>
      <c r="Q49" s="64" t="e">
        <f>U49+X49+Y49+#REF!+AC49+T49</f>
        <v>#REF!</v>
      </c>
      <c r="R49" s="64">
        <f>T49+V49+X49+Z49+AA49+AD49</f>
        <v>6713462.0899999999</v>
      </c>
      <c r="S49" s="64" t="e">
        <f>R49-Q49</f>
        <v>#REF!</v>
      </c>
      <c r="T49" s="64">
        <f>266568.3+304773.63</f>
        <v>571341.92999999993</v>
      </c>
      <c r="U49" s="64"/>
      <c r="V49" s="64"/>
      <c r="W49" s="59">
        <f t="shared" si="2"/>
        <v>0</v>
      </c>
      <c r="X49" s="64">
        <v>2673974.16</v>
      </c>
      <c r="Y49" s="64">
        <v>3030878.25</v>
      </c>
      <c r="Z49" s="64">
        <v>1571646</v>
      </c>
      <c r="AA49" s="64"/>
      <c r="AB49" s="64"/>
      <c r="AC49" s="64">
        <v>1896500</v>
      </c>
      <c r="AD49" s="64">
        <v>1896500</v>
      </c>
      <c r="AE49" s="64">
        <f>AD49-AC49</f>
        <v>0</v>
      </c>
      <c r="AF49" s="64"/>
      <c r="AG49" s="64"/>
      <c r="AH49" s="59">
        <v>18242128.809999999</v>
      </c>
      <c r="AI49" s="59" t="e">
        <f t="shared" si="5"/>
        <v>#REF!</v>
      </c>
      <c r="AJ49" s="59" t="e">
        <f t="shared" si="4"/>
        <v>#REF!</v>
      </c>
      <c r="AK49" s="64">
        <v>17228093.98</v>
      </c>
      <c r="AL49" s="64" t="e">
        <f>#REF!</f>
        <v>#REF!</v>
      </c>
      <c r="AM49" s="64" t="e">
        <f t="shared" si="18"/>
        <v>#REF!</v>
      </c>
      <c r="AN49" s="64">
        <v>1014034.83</v>
      </c>
      <c r="AO49" s="64">
        <v>1980930</v>
      </c>
    </row>
    <row r="50" spans="1:41" ht="15.75" x14ac:dyDescent="0.25">
      <c r="A50" s="132" t="s">
        <v>181</v>
      </c>
      <c r="B50" s="132"/>
      <c r="C50" s="672">
        <v>244</v>
      </c>
      <c r="D50" s="64"/>
      <c r="E50" s="64">
        <f>H50+R50+AH50+AG50</f>
        <v>0</v>
      </c>
      <c r="F50" s="59">
        <f t="shared" si="1"/>
        <v>0</v>
      </c>
      <c r="G50" s="158"/>
      <c r="H50" s="158"/>
      <c r="I50" s="158">
        <f t="shared" si="9"/>
        <v>0</v>
      </c>
      <c r="J50" s="64"/>
      <c r="K50" s="64"/>
      <c r="L50" s="64"/>
      <c r="M50" s="64"/>
      <c r="N50" s="64"/>
      <c r="O50" s="64"/>
      <c r="P50" s="64"/>
      <c r="Q50" s="64"/>
      <c r="R50" s="64"/>
      <c r="S50" s="64"/>
      <c r="T50" s="64"/>
      <c r="U50" s="64"/>
      <c r="V50" s="64"/>
      <c r="W50" s="59">
        <f t="shared" si="2"/>
        <v>0</v>
      </c>
      <c r="X50" s="64"/>
      <c r="Y50" s="64"/>
      <c r="Z50" s="64"/>
      <c r="AA50" s="64"/>
      <c r="AB50" s="64"/>
      <c r="AC50" s="64"/>
      <c r="AD50" s="64"/>
      <c r="AE50" s="64"/>
      <c r="AF50" s="64"/>
      <c r="AG50" s="64"/>
      <c r="AH50" s="59">
        <v>0</v>
      </c>
      <c r="AI50" s="59">
        <f t="shared" si="5"/>
        <v>0</v>
      </c>
      <c r="AJ50" s="59">
        <f t="shared" si="4"/>
        <v>0</v>
      </c>
      <c r="AK50" s="64">
        <v>0</v>
      </c>
      <c r="AL50" s="64">
        <v>0</v>
      </c>
      <c r="AM50" s="64">
        <f t="shared" si="18"/>
        <v>0</v>
      </c>
      <c r="AN50" s="64"/>
      <c r="AO50" s="64"/>
    </row>
    <row r="51" spans="1:41" ht="15.75" x14ac:dyDescent="0.25">
      <c r="A51" s="1384" t="s">
        <v>182</v>
      </c>
      <c r="B51" s="563"/>
      <c r="C51" s="1383">
        <v>243</v>
      </c>
      <c r="D51" s="64" t="e">
        <f t="shared" ref="D51:D60" si="19">G51+Q51+AG51+AH51</f>
        <v>#REF!</v>
      </c>
      <c r="E51" s="64">
        <f t="shared" ref="E51:E58" si="20">H51+R51+AI51+AG51</f>
        <v>381554740.56</v>
      </c>
      <c r="F51" s="64" t="e">
        <f t="shared" si="1"/>
        <v>#REF!</v>
      </c>
      <c r="G51" s="158"/>
      <c r="H51" s="158"/>
      <c r="I51" s="158">
        <f t="shared" si="9"/>
        <v>0</v>
      </c>
      <c r="J51" s="122"/>
      <c r="K51" s="122"/>
      <c r="L51" s="64"/>
      <c r="M51" s="122"/>
      <c r="N51" s="122"/>
      <c r="O51" s="122"/>
      <c r="P51" s="122"/>
      <c r="Q51" s="64" t="e">
        <f>U51+X51+Y51+#REF!+AC51+T51</f>
        <v>#REF!</v>
      </c>
      <c r="R51" s="64">
        <f t="shared" ref="R51:R58" si="21">T51+V51+X51+Z51+AA51+AD51</f>
        <v>381554740.56</v>
      </c>
      <c r="S51" s="64" t="e">
        <f>R51-Q51</f>
        <v>#REF!</v>
      </c>
      <c r="T51" s="64">
        <f>9191201.29+138235539.27</f>
        <v>147426740.56</v>
      </c>
      <c r="U51" s="64">
        <v>234128000</v>
      </c>
      <c r="V51" s="64">
        <f>240500300-6372300</f>
        <v>234128000</v>
      </c>
      <c r="W51" s="59">
        <f t="shared" si="2"/>
        <v>0</v>
      </c>
      <c r="X51" s="64"/>
      <c r="Y51" s="64"/>
      <c r="Z51" s="64"/>
      <c r="AA51" s="64"/>
      <c r="AB51" s="64"/>
      <c r="AC51" s="64"/>
      <c r="AD51" s="64"/>
      <c r="AE51" s="64"/>
      <c r="AF51" s="64"/>
      <c r="AG51" s="122"/>
      <c r="AH51" s="59">
        <v>0</v>
      </c>
      <c r="AI51" s="59">
        <f t="shared" si="5"/>
        <v>0</v>
      </c>
      <c r="AJ51" s="59">
        <f t="shared" si="4"/>
        <v>0</v>
      </c>
      <c r="AK51" s="122">
        <v>0</v>
      </c>
      <c r="AL51" s="64">
        <v>0</v>
      </c>
      <c r="AM51" s="64">
        <f t="shared" si="18"/>
        <v>0</v>
      </c>
      <c r="AN51" s="122"/>
      <c r="AO51" s="122"/>
    </row>
    <row r="52" spans="1:41" s="145" customFormat="1" ht="19.5" hidden="1" customHeight="1" x14ac:dyDescent="0.25">
      <c r="A52" s="1384"/>
      <c r="B52" s="564"/>
      <c r="C52" s="1383"/>
      <c r="D52" s="144" t="e">
        <f t="shared" si="19"/>
        <v>#REF!</v>
      </c>
      <c r="E52" s="64">
        <f t="shared" si="20"/>
        <v>0</v>
      </c>
      <c r="F52" s="64" t="e">
        <f t="shared" si="1"/>
        <v>#REF!</v>
      </c>
      <c r="G52" s="158"/>
      <c r="H52" s="158"/>
      <c r="I52" s="158">
        <f t="shared" si="9"/>
        <v>0</v>
      </c>
      <c r="J52" s="270"/>
      <c r="K52" s="270"/>
      <c r="L52" s="64"/>
      <c r="M52" s="270"/>
      <c r="N52" s="270"/>
      <c r="O52" s="270"/>
      <c r="P52" s="270"/>
      <c r="Q52" s="64" t="e">
        <f>U52+X52+Y52+#REF!+AC52+T52</f>
        <v>#REF!</v>
      </c>
      <c r="R52" s="64">
        <f t="shared" si="21"/>
        <v>0</v>
      </c>
      <c r="S52" s="64" t="e">
        <f t="shared" ref="S52:S58" si="22">R52-Q52</f>
        <v>#REF!</v>
      </c>
      <c r="T52" s="144"/>
      <c r="U52" s="144"/>
      <c r="V52" s="144"/>
      <c r="W52" s="59">
        <f t="shared" si="2"/>
        <v>0</v>
      </c>
      <c r="X52" s="144"/>
      <c r="Y52" s="144"/>
      <c r="Z52" s="144"/>
      <c r="AA52" s="144"/>
      <c r="AB52" s="144"/>
      <c r="AC52" s="144"/>
      <c r="AD52" s="144"/>
      <c r="AE52" s="144"/>
      <c r="AF52" s="144"/>
      <c r="AG52" s="270"/>
      <c r="AH52" s="59">
        <v>0</v>
      </c>
      <c r="AI52" s="59">
        <f t="shared" si="5"/>
        <v>0</v>
      </c>
      <c r="AJ52" s="59">
        <f t="shared" si="4"/>
        <v>0</v>
      </c>
      <c r="AK52" s="270">
        <v>0</v>
      </c>
      <c r="AL52" s="64">
        <v>0</v>
      </c>
      <c r="AM52" s="64">
        <f t="shared" si="18"/>
        <v>0</v>
      </c>
      <c r="AN52" s="270"/>
      <c r="AO52" s="270"/>
    </row>
    <row r="53" spans="1:41" s="145" customFormat="1" ht="19.5" hidden="1" customHeight="1" x14ac:dyDescent="0.25">
      <c r="A53" s="1384"/>
      <c r="B53" s="564"/>
      <c r="C53" s="1383"/>
      <c r="D53" s="144" t="e">
        <f t="shared" si="19"/>
        <v>#REF!</v>
      </c>
      <c r="E53" s="64">
        <f t="shared" si="20"/>
        <v>0</v>
      </c>
      <c r="F53" s="64" t="e">
        <f t="shared" si="1"/>
        <v>#REF!</v>
      </c>
      <c r="G53" s="158"/>
      <c r="H53" s="158"/>
      <c r="I53" s="158">
        <f t="shared" si="9"/>
        <v>0</v>
      </c>
      <c r="J53" s="270"/>
      <c r="K53" s="270"/>
      <c r="L53" s="64"/>
      <c r="M53" s="270"/>
      <c r="N53" s="270"/>
      <c r="O53" s="270"/>
      <c r="P53" s="270"/>
      <c r="Q53" s="64" t="e">
        <f>U53+X53+Y53+#REF!+AC53+T53</f>
        <v>#REF!</v>
      </c>
      <c r="R53" s="64">
        <f t="shared" si="21"/>
        <v>0</v>
      </c>
      <c r="S53" s="64" t="e">
        <f t="shared" si="22"/>
        <v>#REF!</v>
      </c>
      <c r="T53" s="144"/>
      <c r="U53" s="144"/>
      <c r="V53" s="144"/>
      <c r="W53" s="59">
        <f t="shared" si="2"/>
        <v>0</v>
      </c>
      <c r="X53" s="144"/>
      <c r="Y53" s="144"/>
      <c r="Z53" s="144"/>
      <c r="AA53" s="144"/>
      <c r="AB53" s="144"/>
      <c r="AC53" s="144"/>
      <c r="AD53" s="144"/>
      <c r="AE53" s="144"/>
      <c r="AF53" s="144"/>
      <c r="AG53" s="270"/>
      <c r="AH53" s="59">
        <v>0</v>
      </c>
      <c r="AI53" s="59">
        <f t="shared" si="5"/>
        <v>0</v>
      </c>
      <c r="AJ53" s="59">
        <f t="shared" si="4"/>
        <v>0</v>
      </c>
      <c r="AK53" s="270">
        <v>0</v>
      </c>
      <c r="AL53" s="64">
        <v>0</v>
      </c>
      <c r="AM53" s="64">
        <f t="shared" si="18"/>
        <v>0</v>
      </c>
      <c r="AN53" s="270"/>
      <c r="AO53" s="270"/>
    </row>
    <row r="54" spans="1:41" ht="19.5" customHeight="1" x14ac:dyDescent="0.25">
      <c r="A54" s="1384"/>
      <c r="B54" s="565"/>
      <c r="C54" s="672">
        <v>244</v>
      </c>
      <c r="D54" s="64" t="e">
        <f t="shared" si="19"/>
        <v>#REF!</v>
      </c>
      <c r="E54" s="64" t="e">
        <f t="shared" si="20"/>
        <v>#REF!</v>
      </c>
      <c r="F54" s="64" t="e">
        <f t="shared" si="1"/>
        <v>#REF!</v>
      </c>
      <c r="G54" s="158">
        <v>8129946.3700000001</v>
      </c>
      <c r="H54" s="158">
        <f>J54+L54+O54</f>
        <v>7572555.3399999999</v>
      </c>
      <c r="I54" s="158">
        <f t="shared" si="9"/>
        <v>-557391.03000000026</v>
      </c>
      <c r="J54" s="64"/>
      <c r="K54" s="64">
        <v>6092876.3700000001</v>
      </c>
      <c r="L54" s="64">
        <v>4991499.58</v>
      </c>
      <c r="M54" s="64">
        <f>L54-K54</f>
        <v>-1101376.79</v>
      </c>
      <c r="N54" s="64">
        <v>2037070</v>
      </c>
      <c r="O54" s="64">
        <v>2581055.7599999998</v>
      </c>
      <c r="P54" s="64">
        <f>O54-N54</f>
        <v>543985.75999999978</v>
      </c>
      <c r="Q54" s="64" t="e">
        <f>U54+X54+Y54+#REF!+AC54+T54</f>
        <v>#REF!</v>
      </c>
      <c r="R54" s="64">
        <f t="shared" si="21"/>
        <v>290582555.03000003</v>
      </c>
      <c r="S54" s="64" t="e">
        <f t="shared" si="22"/>
        <v>#REF!</v>
      </c>
      <c r="T54" s="64">
        <f>274653215.52+143964.1</f>
        <v>274797179.62</v>
      </c>
      <c r="U54" s="64">
        <v>13093103</v>
      </c>
      <c r="V54" s="64">
        <f>13093102.18+0.82</f>
        <v>13093103</v>
      </c>
      <c r="W54" s="59">
        <f t="shared" si="2"/>
        <v>0</v>
      </c>
      <c r="X54" s="64">
        <v>1004958.24</v>
      </c>
      <c r="Y54" s="64">
        <v>1339402.79</v>
      </c>
      <c r="Z54" s="64">
        <v>1687314.17</v>
      </c>
      <c r="AA54" s="64"/>
      <c r="AB54" s="64"/>
      <c r="AC54" s="64"/>
      <c r="AD54" s="64"/>
      <c r="AE54" s="64"/>
      <c r="AF54" s="64"/>
      <c r="AG54" s="64"/>
      <c r="AH54" s="59">
        <v>8501654.8900000006</v>
      </c>
      <c r="AI54" s="59" t="e">
        <f t="shared" si="5"/>
        <v>#REF!</v>
      </c>
      <c r="AJ54" s="59" t="e">
        <f t="shared" si="4"/>
        <v>#REF!</v>
      </c>
      <c r="AK54" s="64">
        <v>7385296.54</v>
      </c>
      <c r="AL54" s="64" t="e">
        <f>#REF!+224823.31</f>
        <v>#REF!</v>
      </c>
      <c r="AM54" s="64" t="e">
        <f t="shared" si="18"/>
        <v>#REF!</v>
      </c>
      <c r="AN54" s="64">
        <v>1116358.3500000001</v>
      </c>
      <c r="AO54" s="64">
        <v>4991752.5</v>
      </c>
    </row>
    <row r="55" spans="1:41" ht="19.5" customHeight="1" x14ac:dyDescent="0.25">
      <c r="A55" s="1384" t="s">
        <v>183</v>
      </c>
      <c r="B55" s="564"/>
      <c r="C55" s="1383">
        <v>243</v>
      </c>
      <c r="D55" s="64" t="e">
        <f t="shared" si="19"/>
        <v>#REF!</v>
      </c>
      <c r="E55" s="64">
        <f t="shared" si="20"/>
        <v>34259500.909999996</v>
      </c>
      <c r="F55" s="64" t="e">
        <f t="shared" si="1"/>
        <v>#REF!</v>
      </c>
      <c r="G55" s="158"/>
      <c r="H55" s="158"/>
      <c r="I55" s="158">
        <f t="shared" si="9"/>
        <v>0</v>
      </c>
      <c r="J55" s="122"/>
      <c r="K55" s="122"/>
      <c r="L55" s="64"/>
      <c r="M55" s="122"/>
      <c r="N55" s="122"/>
      <c r="O55" s="122"/>
      <c r="P55" s="122"/>
      <c r="Q55" s="64" t="e">
        <f>U55+X55+Y55+#REF!+AC55+T55</f>
        <v>#REF!</v>
      </c>
      <c r="R55" s="64">
        <f t="shared" si="21"/>
        <v>34259500.909999996</v>
      </c>
      <c r="S55" s="64" t="e">
        <f t="shared" si="22"/>
        <v>#REF!</v>
      </c>
      <c r="T55" s="64">
        <f>296579.68+138221.23</f>
        <v>434800.91000000003</v>
      </c>
      <c r="U55" s="64">
        <v>33824700</v>
      </c>
      <c r="V55" s="64">
        <v>33824700</v>
      </c>
      <c r="W55" s="59">
        <f t="shared" si="2"/>
        <v>0</v>
      </c>
      <c r="X55" s="64"/>
      <c r="Y55" s="64"/>
      <c r="Z55" s="64"/>
      <c r="AA55" s="64"/>
      <c r="AB55" s="64"/>
      <c r="AC55" s="64"/>
      <c r="AD55" s="64"/>
      <c r="AE55" s="64"/>
      <c r="AF55" s="64"/>
      <c r="AG55" s="122"/>
      <c r="AH55" s="59">
        <v>0</v>
      </c>
      <c r="AI55" s="59">
        <f t="shared" si="5"/>
        <v>0</v>
      </c>
      <c r="AJ55" s="59">
        <f t="shared" si="4"/>
        <v>0</v>
      </c>
      <c r="AK55" s="122">
        <v>0</v>
      </c>
      <c r="AL55" s="64">
        <v>0</v>
      </c>
      <c r="AM55" s="64">
        <f t="shared" si="18"/>
        <v>0</v>
      </c>
      <c r="AN55" s="122"/>
      <c r="AO55" s="122"/>
    </row>
    <row r="56" spans="1:41" s="145" customFormat="1" ht="18.75" hidden="1" customHeight="1" x14ac:dyDescent="0.25">
      <c r="A56" s="1384"/>
      <c r="B56" s="563"/>
      <c r="C56" s="1383"/>
      <c r="D56" s="144" t="e">
        <f t="shared" si="19"/>
        <v>#REF!</v>
      </c>
      <c r="E56" s="64">
        <f t="shared" si="20"/>
        <v>0</v>
      </c>
      <c r="F56" s="64" t="e">
        <f t="shared" si="1"/>
        <v>#REF!</v>
      </c>
      <c r="G56" s="158"/>
      <c r="H56" s="158"/>
      <c r="I56" s="158">
        <f t="shared" si="9"/>
        <v>0</v>
      </c>
      <c r="J56" s="270"/>
      <c r="K56" s="270"/>
      <c r="L56" s="64"/>
      <c r="M56" s="270"/>
      <c r="N56" s="270"/>
      <c r="O56" s="270"/>
      <c r="P56" s="270"/>
      <c r="Q56" s="64" t="e">
        <f>U56+X56+Y56+#REF!+AC56+T56</f>
        <v>#REF!</v>
      </c>
      <c r="R56" s="64">
        <f t="shared" si="21"/>
        <v>0</v>
      </c>
      <c r="S56" s="64" t="e">
        <f t="shared" si="22"/>
        <v>#REF!</v>
      </c>
      <c r="T56" s="144"/>
      <c r="U56" s="144"/>
      <c r="V56" s="144"/>
      <c r="W56" s="59">
        <f t="shared" si="2"/>
        <v>0</v>
      </c>
      <c r="X56" s="144"/>
      <c r="Y56" s="144"/>
      <c r="Z56" s="144"/>
      <c r="AA56" s="144"/>
      <c r="AB56" s="144"/>
      <c r="AC56" s="144"/>
      <c r="AD56" s="144"/>
      <c r="AE56" s="144"/>
      <c r="AF56" s="144"/>
      <c r="AG56" s="270"/>
      <c r="AH56" s="59">
        <v>0</v>
      </c>
      <c r="AI56" s="59">
        <f t="shared" si="5"/>
        <v>0</v>
      </c>
      <c r="AJ56" s="59">
        <f t="shared" si="4"/>
        <v>0</v>
      </c>
      <c r="AK56" s="270">
        <v>0</v>
      </c>
      <c r="AL56" s="64">
        <v>0</v>
      </c>
      <c r="AM56" s="64">
        <f t="shared" si="18"/>
        <v>0</v>
      </c>
      <c r="AN56" s="270"/>
      <c r="AO56" s="270"/>
    </row>
    <row r="57" spans="1:41" s="145" customFormat="1" ht="33.75" hidden="1" customHeight="1" x14ac:dyDescent="0.25">
      <c r="A57" s="1384"/>
      <c r="B57" s="563"/>
      <c r="C57" s="1383"/>
      <c r="D57" s="144" t="e">
        <f t="shared" si="19"/>
        <v>#REF!</v>
      </c>
      <c r="E57" s="64">
        <f t="shared" si="20"/>
        <v>0</v>
      </c>
      <c r="F57" s="64" t="e">
        <f t="shared" si="1"/>
        <v>#REF!</v>
      </c>
      <c r="G57" s="158"/>
      <c r="H57" s="158"/>
      <c r="I57" s="158">
        <f t="shared" si="9"/>
        <v>0</v>
      </c>
      <c r="J57" s="270"/>
      <c r="K57" s="270"/>
      <c r="L57" s="64"/>
      <c r="M57" s="270"/>
      <c r="N57" s="270"/>
      <c r="O57" s="270"/>
      <c r="P57" s="270"/>
      <c r="Q57" s="64" t="e">
        <f>U57+X57+Y57+#REF!+AC57+T57</f>
        <v>#REF!</v>
      </c>
      <c r="R57" s="64">
        <f t="shared" si="21"/>
        <v>0</v>
      </c>
      <c r="S57" s="64" t="e">
        <f t="shared" si="22"/>
        <v>#REF!</v>
      </c>
      <c r="T57" s="144"/>
      <c r="U57" s="144"/>
      <c r="V57" s="144"/>
      <c r="W57" s="59">
        <f t="shared" si="2"/>
        <v>0</v>
      </c>
      <c r="X57" s="144"/>
      <c r="Y57" s="144"/>
      <c r="Z57" s="144"/>
      <c r="AA57" s="144"/>
      <c r="AB57" s="144"/>
      <c r="AC57" s="144"/>
      <c r="AD57" s="144"/>
      <c r="AE57" s="144"/>
      <c r="AF57" s="144"/>
      <c r="AG57" s="270"/>
      <c r="AH57" s="59">
        <v>0</v>
      </c>
      <c r="AI57" s="59">
        <f t="shared" si="5"/>
        <v>0</v>
      </c>
      <c r="AJ57" s="59">
        <f t="shared" si="4"/>
        <v>0</v>
      </c>
      <c r="AK57" s="270">
        <v>0</v>
      </c>
      <c r="AL57" s="64">
        <v>0</v>
      </c>
      <c r="AM57" s="64">
        <f t="shared" si="18"/>
        <v>0</v>
      </c>
      <c r="AN57" s="270"/>
      <c r="AO57" s="270"/>
    </row>
    <row r="58" spans="1:41" ht="19.5" customHeight="1" x14ac:dyDescent="0.25">
      <c r="A58" s="1384"/>
      <c r="B58" s="132"/>
      <c r="C58" s="672">
        <v>244</v>
      </c>
      <c r="D58" s="64" t="e">
        <f t="shared" si="19"/>
        <v>#REF!</v>
      </c>
      <c r="E58" s="64" t="e">
        <f t="shared" si="20"/>
        <v>#REF!</v>
      </c>
      <c r="F58" s="64" t="e">
        <f t="shared" si="1"/>
        <v>#REF!</v>
      </c>
      <c r="G58" s="158">
        <v>4356051.1100000003</v>
      </c>
      <c r="H58" s="158">
        <f>J58+L58+O58</f>
        <v>3930338.0300000003</v>
      </c>
      <c r="I58" s="158">
        <f t="shared" si="9"/>
        <v>-425713.08000000007</v>
      </c>
      <c r="J58" s="64"/>
      <c r="K58" s="64">
        <v>3440483.3100000005</v>
      </c>
      <c r="L58" s="64">
        <v>2500000</v>
      </c>
      <c r="M58" s="64">
        <f>L58-K58</f>
        <v>-940483.31000000052</v>
      </c>
      <c r="N58" s="64">
        <v>915567.8</v>
      </c>
      <c r="O58" s="64">
        <v>1430338.03</v>
      </c>
      <c r="P58" s="64">
        <f>O58-N58</f>
        <v>514770.23</v>
      </c>
      <c r="Q58" s="64" t="e">
        <f>U58+X58+Y58+#REF!+AC58+T58</f>
        <v>#REF!</v>
      </c>
      <c r="R58" s="64">
        <f t="shared" si="21"/>
        <v>191349697.97</v>
      </c>
      <c r="S58" s="64" t="e">
        <f t="shared" si="22"/>
        <v>#REF!</v>
      </c>
      <c r="T58" s="64">
        <f>44811624.57+174521</f>
        <v>44986145.57</v>
      </c>
      <c r="U58" s="64">
        <v>145552800</v>
      </c>
      <c r="V58" s="64">
        <v>145552800</v>
      </c>
      <c r="W58" s="59">
        <f t="shared" si="2"/>
        <v>0</v>
      </c>
      <c r="X58" s="64">
        <v>753152.4</v>
      </c>
      <c r="Y58" s="64">
        <v>649223.5</v>
      </c>
      <c r="Z58" s="64">
        <v>57600</v>
      </c>
      <c r="AA58" s="64"/>
      <c r="AB58" s="64"/>
      <c r="AC58" s="64"/>
      <c r="AD58" s="64"/>
      <c r="AE58" s="64"/>
      <c r="AF58" s="64"/>
      <c r="AG58" s="64">
        <v>70000</v>
      </c>
      <c r="AH58" s="59">
        <v>11294046.300000001</v>
      </c>
      <c r="AI58" s="59" t="e">
        <f t="shared" si="5"/>
        <v>#REF!</v>
      </c>
      <c r="AJ58" s="59" t="e">
        <f t="shared" si="4"/>
        <v>#REF!</v>
      </c>
      <c r="AK58" s="64">
        <v>8037598.5599999996</v>
      </c>
      <c r="AL58" s="64" t="e">
        <f>#REF!</f>
        <v>#REF!</v>
      </c>
      <c r="AM58" s="64" t="e">
        <f t="shared" si="18"/>
        <v>#REF!</v>
      </c>
      <c r="AN58" s="64">
        <v>3256447.74</v>
      </c>
      <c r="AO58" s="64">
        <v>2899400</v>
      </c>
    </row>
    <row r="59" spans="1:41" ht="19.5" customHeight="1" x14ac:dyDescent="0.25">
      <c r="A59" s="1384" t="s">
        <v>184</v>
      </c>
      <c r="B59" s="132"/>
      <c r="C59" s="672">
        <v>243</v>
      </c>
      <c r="D59" s="64">
        <f t="shared" si="19"/>
        <v>0</v>
      </c>
      <c r="E59" s="64">
        <f>H59+R59+AH59+AG59</f>
        <v>0</v>
      </c>
      <c r="F59" s="64">
        <f t="shared" si="1"/>
        <v>0</v>
      </c>
      <c r="G59" s="158"/>
      <c r="H59" s="158"/>
      <c r="I59" s="158">
        <f t="shared" si="9"/>
        <v>0</v>
      </c>
      <c r="J59" s="64"/>
      <c r="K59" s="64"/>
      <c r="L59" s="64"/>
      <c r="M59" s="64"/>
      <c r="N59" s="64"/>
      <c r="O59" s="64"/>
      <c r="P59" s="64"/>
      <c r="Q59" s="64"/>
      <c r="R59" s="64"/>
      <c r="S59" s="64"/>
      <c r="T59" s="64"/>
      <c r="U59" s="64">
        <v>0</v>
      </c>
      <c r="V59" s="64">
        <v>0</v>
      </c>
      <c r="W59" s="64">
        <f t="shared" si="2"/>
        <v>0</v>
      </c>
      <c r="X59" s="64">
        <v>0</v>
      </c>
      <c r="Y59" s="64"/>
      <c r="Z59" s="64"/>
      <c r="AA59" s="64"/>
      <c r="AB59" s="64"/>
      <c r="AC59" s="64"/>
      <c r="AD59" s="64"/>
      <c r="AE59" s="64"/>
      <c r="AF59" s="64">
        <v>0</v>
      </c>
      <c r="AG59" s="64">
        <v>0</v>
      </c>
      <c r="AH59" s="64">
        <v>0</v>
      </c>
      <c r="AI59" s="64">
        <f t="shared" si="5"/>
        <v>0</v>
      </c>
      <c r="AJ59" s="64">
        <f t="shared" si="4"/>
        <v>0</v>
      </c>
      <c r="AK59" s="64"/>
      <c r="AL59" s="64"/>
      <c r="AM59" s="64">
        <f t="shared" si="18"/>
        <v>0</v>
      </c>
      <c r="AN59" s="64"/>
      <c r="AO59" s="64"/>
    </row>
    <row r="60" spans="1:41" ht="16.5" customHeight="1" x14ac:dyDescent="0.25">
      <c r="A60" s="1384"/>
      <c r="B60" s="132"/>
      <c r="C60" s="672">
        <v>244</v>
      </c>
      <c r="D60" s="64">
        <f t="shared" si="19"/>
        <v>7336</v>
      </c>
      <c r="E60" s="64">
        <f>H60+R60+AI60+AG60</f>
        <v>10500</v>
      </c>
      <c r="F60" s="64">
        <f t="shared" si="1"/>
        <v>3164</v>
      </c>
      <c r="G60" s="158">
        <v>7336</v>
      </c>
      <c r="H60" s="158">
        <f>J60+L60+O60</f>
        <v>10500</v>
      </c>
      <c r="I60" s="158">
        <f t="shared" si="9"/>
        <v>3164</v>
      </c>
      <c r="J60" s="64">
        <f>SUM(J61:J65)</f>
        <v>0</v>
      </c>
      <c r="K60" s="64">
        <v>7336</v>
      </c>
      <c r="L60" s="64">
        <v>10500</v>
      </c>
      <c r="M60" s="64">
        <f>L60-K60</f>
        <v>3164</v>
      </c>
      <c r="N60" s="64"/>
      <c r="O60" s="64"/>
      <c r="P60" s="64">
        <f>O60-N60</f>
        <v>0</v>
      </c>
      <c r="Q60" s="64"/>
      <c r="R60" s="64"/>
      <c r="S60" s="64">
        <f>R60-Q60</f>
        <v>0</v>
      </c>
      <c r="T60" s="64"/>
      <c r="U60" s="64"/>
      <c r="V60" s="64"/>
      <c r="W60" s="64">
        <f t="shared" si="2"/>
        <v>0</v>
      </c>
      <c r="X60" s="64"/>
      <c r="Y60" s="64"/>
      <c r="Z60" s="64"/>
      <c r="AA60" s="64"/>
      <c r="AB60" s="64"/>
      <c r="AC60" s="64"/>
      <c r="AD60" s="64"/>
      <c r="AE60" s="64"/>
      <c r="AF60" s="64">
        <f t="shared" ref="AF60:AG60" si="23">SUM(AF61:AF65)</f>
        <v>0</v>
      </c>
      <c r="AG60" s="64">
        <f t="shared" si="23"/>
        <v>0</v>
      </c>
      <c r="AH60" s="64"/>
      <c r="AI60" s="59">
        <f t="shared" si="5"/>
        <v>0</v>
      </c>
      <c r="AJ60" s="64"/>
      <c r="AK60" s="64"/>
      <c r="AL60" s="64"/>
      <c r="AM60" s="64"/>
      <c r="AN60" s="64"/>
      <c r="AO60" s="64"/>
    </row>
    <row r="61" spans="1:41" ht="15.75" x14ac:dyDescent="0.25">
      <c r="A61" s="1384" t="s">
        <v>185</v>
      </c>
      <c r="B61" s="1385"/>
      <c r="C61" s="672">
        <v>243</v>
      </c>
      <c r="D61" s="64"/>
      <c r="E61" s="64">
        <f>H61+R61+AH61+AG61</f>
        <v>57449055.199999996</v>
      </c>
      <c r="F61" s="64">
        <f t="shared" si="1"/>
        <v>57449055.199999996</v>
      </c>
      <c r="G61" s="158"/>
      <c r="H61" s="158"/>
      <c r="I61" s="158">
        <f t="shared" si="9"/>
        <v>0</v>
      </c>
      <c r="J61" s="64"/>
      <c r="K61" s="64"/>
      <c r="L61" s="64"/>
      <c r="M61" s="64"/>
      <c r="N61" s="64"/>
      <c r="O61" s="64"/>
      <c r="P61" s="64"/>
      <c r="Q61" s="64"/>
      <c r="R61" s="64">
        <f>T61</f>
        <v>57449055.199999996</v>
      </c>
      <c r="S61" s="64">
        <f>R61-Q61</f>
        <v>57449055.199999996</v>
      </c>
      <c r="T61" s="64">
        <f>7519434.36+49069517.66+860103.18</f>
        <v>57449055.199999996</v>
      </c>
      <c r="U61" s="64"/>
      <c r="V61" s="64"/>
      <c r="W61" s="59">
        <f t="shared" si="2"/>
        <v>0</v>
      </c>
      <c r="X61" s="64"/>
      <c r="Y61" s="64"/>
      <c r="Z61" s="64"/>
      <c r="AA61" s="64"/>
      <c r="AB61" s="64"/>
      <c r="AC61" s="64"/>
      <c r="AD61" s="64"/>
      <c r="AE61" s="64"/>
      <c r="AF61" s="64"/>
      <c r="AG61" s="64"/>
      <c r="AH61" s="59">
        <v>0</v>
      </c>
      <c r="AI61" s="59">
        <f t="shared" si="5"/>
        <v>0</v>
      </c>
      <c r="AJ61" s="59">
        <f t="shared" si="4"/>
        <v>0</v>
      </c>
      <c r="AK61" s="64"/>
      <c r="AL61" s="64"/>
      <c r="AM61" s="64">
        <f t="shared" si="18"/>
        <v>0</v>
      </c>
      <c r="AN61" s="64"/>
      <c r="AO61" s="64"/>
    </row>
    <row r="62" spans="1:41" ht="15.75" x14ac:dyDescent="0.25">
      <c r="A62" s="1384"/>
      <c r="B62" s="1385"/>
      <c r="C62" s="672">
        <v>244</v>
      </c>
      <c r="D62" s="64" t="e">
        <f>G62+Q62+AG62+AH62</f>
        <v>#REF!</v>
      </c>
      <c r="E62" s="64">
        <f>H62+R62+AI62+AG62</f>
        <v>449488046.50999999</v>
      </c>
      <c r="F62" s="64" t="e">
        <f t="shared" si="1"/>
        <v>#REF!</v>
      </c>
      <c r="G62" s="158">
        <v>1572087.63</v>
      </c>
      <c r="H62" s="158">
        <f>J62+L62+O62</f>
        <v>1472241.1600000001</v>
      </c>
      <c r="I62" s="158">
        <f t="shared" si="9"/>
        <v>-99846.469999999739</v>
      </c>
      <c r="J62" s="64"/>
      <c r="K62" s="64">
        <v>1178179.43</v>
      </c>
      <c r="L62" s="64">
        <v>700000</v>
      </c>
      <c r="M62" s="64">
        <f>L62-K62</f>
        <v>-478179.42999999993</v>
      </c>
      <c r="N62" s="64">
        <v>393908.2</v>
      </c>
      <c r="O62" s="64">
        <v>772241.16</v>
      </c>
      <c r="P62" s="64">
        <f>O62-N62</f>
        <v>378332.96</v>
      </c>
      <c r="Q62" s="64" t="e">
        <f>U62+X62+Y62+#REF!+AC62+T62+57449055.2</f>
        <v>#REF!</v>
      </c>
      <c r="R62" s="64">
        <f>T62+V62+X62+Z62+AA62+AD62</f>
        <v>445927854.77999997</v>
      </c>
      <c r="S62" s="64" t="e">
        <f>R62-Q62</f>
        <v>#REF!</v>
      </c>
      <c r="T62" s="64">
        <f>175520555.7+2814821-T61</f>
        <v>120886321.5</v>
      </c>
      <c r="U62" s="64">
        <v>324932430</v>
      </c>
      <c r="V62" s="64">
        <v>324932430</v>
      </c>
      <c r="W62" s="59">
        <f t="shared" si="2"/>
        <v>0</v>
      </c>
      <c r="X62" s="64">
        <v>109103.28</v>
      </c>
      <c r="Y62" s="64"/>
      <c r="Z62" s="64"/>
      <c r="AA62" s="64"/>
      <c r="AB62" s="64"/>
      <c r="AC62" s="64"/>
      <c r="AD62" s="64"/>
      <c r="AE62" s="64"/>
      <c r="AF62" s="64"/>
      <c r="AG62" s="64"/>
      <c r="AH62" s="59">
        <v>4124459.15</v>
      </c>
      <c r="AI62" s="59">
        <f t="shared" si="5"/>
        <v>2087950.5699999998</v>
      </c>
      <c r="AJ62" s="59">
        <f t="shared" si="4"/>
        <v>-2036508.58</v>
      </c>
      <c r="AK62" s="64">
        <v>2124459.15</v>
      </c>
      <c r="AL62" s="64">
        <f>1624459.15+500000-174384</f>
        <v>1950075.15</v>
      </c>
      <c r="AM62" s="64">
        <f t="shared" si="18"/>
        <v>-174384</v>
      </c>
      <c r="AN62" s="64">
        <v>2000000</v>
      </c>
      <c r="AO62" s="64">
        <v>137875.42000000001</v>
      </c>
    </row>
    <row r="63" spans="1:41" ht="15.75" x14ac:dyDescent="0.25">
      <c r="A63" s="132" t="s">
        <v>186</v>
      </c>
      <c r="B63" s="673"/>
      <c r="C63" s="672">
        <v>244</v>
      </c>
      <c r="D63" s="64">
        <f>G63+Q63+AG63+AH63</f>
        <v>0</v>
      </c>
      <c r="E63" s="59">
        <f>H63+R63+AH63+AG63</f>
        <v>0</v>
      </c>
      <c r="F63" s="64">
        <f t="shared" si="1"/>
        <v>0</v>
      </c>
      <c r="G63" s="158"/>
      <c r="H63" s="158"/>
      <c r="I63" s="158">
        <f t="shared" si="9"/>
        <v>0</v>
      </c>
      <c r="J63" s="64"/>
      <c r="K63" s="64"/>
      <c r="L63" s="64"/>
      <c r="M63" s="64"/>
      <c r="N63" s="64"/>
      <c r="O63" s="64"/>
      <c r="P63" s="64"/>
      <c r="Q63" s="64"/>
      <c r="R63" s="64"/>
      <c r="S63" s="64"/>
      <c r="T63" s="64"/>
      <c r="U63" s="64"/>
      <c r="V63" s="64"/>
      <c r="W63" s="59">
        <f t="shared" si="2"/>
        <v>0</v>
      </c>
      <c r="X63" s="64"/>
      <c r="Y63" s="64"/>
      <c r="Z63" s="64"/>
      <c r="AA63" s="64"/>
      <c r="AB63" s="64"/>
      <c r="AC63" s="64"/>
      <c r="AD63" s="64"/>
      <c r="AE63" s="64"/>
      <c r="AF63" s="64"/>
      <c r="AG63" s="64"/>
      <c r="AH63" s="59">
        <v>0</v>
      </c>
      <c r="AI63" s="59">
        <f t="shared" si="5"/>
        <v>0</v>
      </c>
      <c r="AJ63" s="59">
        <f t="shared" si="4"/>
        <v>0</v>
      </c>
      <c r="AK63" s="64"/>
      <c r="AL63" s="64"/>
      <c r="AM63" s="64">
        <f t="shared" si="18"/>
        <v>0</v>
      </c>
      <c r="AN63" s="64"/>
      <c r="AO63" s="64"/>
    </row>
    <row r="64" spans="1:41" ht="15.75" x14ac:dyDescent="0.25">
      <c r="A64" s="1384" t="s">
        <v>187</v>
      </c>
      <c r="B64" s="1385"/>
      <c r="C64" s="672">
        <v>243</v>
      </c>
      <c r="D64" s="64"/>
      <c r="E64" s="59">
        <f>H64+R64+AH64+AG64</f>
        <v>0</v>
      </c>
      <c r="F64" s="64">
        <f t="shared" si="1"/>
        <v>0</v>
      </c>
      <c r="G64" s="158"/>
      <c r="H64" s="158"/>
      <c r="I64" s="158">
        <f t="shared" si="9"/>
        <v>0</v>
      </c>
      <c r="J64" s="64"/>
      <c r="K64" s="64"/>
      <c r="L64" s="64"/>
      <c r="M64" s="64"/>
      <c r="N64" s="64"/>
      <c r="O64" s="64"/>
      <c r="P64" s="64"/>
      <c r="Q64" s="64"/>
      <c r="R64" s="64"/>
      <c r="S64" s="64"/>
      <c r="T64" s="64"/>
      <c r="U64" s="64"/>
      <c r="V64" s="64"/>
      <c r="W64" s="59">
        <f t="shared" si="2"/>
        <v>0</v>
      </c>
      <c r="X64" s="64"/>
      <c r="Y64" s="64"/>
      <c r="Z64" s="64"/>
      <c r="AA64" s="64"/>
      <c r="AB64" s="64"/>
      <c r="AC64" s="64"/>
      <c r="AD64" s="64"/>
      <c r="AE64" s="64"/>
      <c r="AF64" s="64"/>
      <c r="AG64" s="64"/>
      <c r="AH64" s="59">
        <v>0</v>
      </c>
      <c r="AI64" s="59">
        <f t="shared" si="5"/>
        <v>0</v>
      </c>
      <c r="AJ64" s="59">
        <f t="shared" si="4"/>
        <v>0</v>
      </c>
      <c r="AK64" s="64"/>
      <c r="AL64" s="64"/>
      <c r="AM64" s="64">
        <f t="shared" si="18"/>
        <v>0</v>
      </c>
      <c r="AN64" s="64"/>
      <c r="AO64" s="64"/>
    </row>
    <row r="65" spans="1:41" ht="15.75" x14ac:dyDescent="0.25">
      <c r="A65" s="1384"/>
      <c r="B65" s="1385"/>
      <c r="C65" s="672">
        <v>244</v>
      </c>
      <c r="D65" s="64" t="e">
        <f>G65+Q65+AG65+AH65</f>
        <v>#REF!</v>
      </c>
      <c r="E65" s="64" t="e">
        <f>H65+R65+AI65+AG65</f>
        <v>#REF!</v>
      </c>
      <c r="F65" s="64" t="e">
        <f t="shared" si="1"/>
        <v>#REF!</v>
      </c>
      <c r="G65" s="158">
        <v>31841804.129999999</v>
      </c>
      <c r="H65" s="158">
        <f>J65+L65+O65</f>
        <v>31024805.539999999</v>
      </c>
      <c r="I65" s="158">
        <f t="shared" si="9"/>
        <v>-816998.58999999985</v>
      </c>
      <c r="J65" s="64"/>
      <c r="K65" s="64">
        <v>22153731.129999999</v>
      </c>
      <c r="L65" s="64">
        <v>22659972.449999999</v>
      </c>
      <c r="M65" s="64">
        <f>L65-K65</f>
        <v>506241.3200000003</v>
      </c>
      <c r="N65" s="64">
        <v>9688073</v>
      </c>
      <c r="O65" s="64">
        <v>8364833.0899999999</v>
      </c>
      <c r="P65" s="64">
        <f>O65-N65</f>
        <v>-1323239.9100000001</v>
      </c>
      <c r="Q65" s="64" t="e">
        <f>U65+X65+Y65+#REF!+AC65+T65</f>
        <v>#REF!</v>
      </c>
      <c r="R65" s="64">
        <f>T65+V65+X65+Z65+AA65+AD65</f>
        <v>56230054.460000001</v>
      </c>
      <c r="S65" s="64" t="e">
        <f>R65-Q65</f>
        <v>#REF!</v>
      </c>
      <c r="T65" s="64">
        <f>20068511.31+580003.2</f>
        <v>20648514.509999998</v>
      </c>
      <c r="U65" s="64">
        <v>26181170</v>
      </c>
      <c r="V65" s="64">
        <v>26181170</v>
      </c>
      <c r="W65" s="59">
        <f t="shared" si="2"/>
        <v>0</v>
      </c>
      <c r="X65" s="64">
        <f>6539495.82-400</f>
        <v>6539095.8200000003</v>
      </c>
      <c r="Y65" s="64">
        <v>1500000</v>
      </c>
      <c r="Z65" s="64">
        <v>2861274.13</v>
      </c>
      <c r="AA65" s="64"/>
      <c r="AB65" s="64"/>
      <c r="AC65" s="64"/>
      <c r="AD65" s="64"/>
      <c r="AE65" s="64"/>
      <c r="AF65" s="64"/>
      <c r="AG65" s="64"/>
      <c r="AH65" s="59">
        <v>78995345.959999993</v>
      </c>
      <c r="AI65" s="59" t="e">
        <f t="shared" si="5"/>
        <v>#REF!</v>
      </c>
      <c r="AJ65" s="59" t="e">
        <f t="shared" si="4"/>
        <v>#REF!</v>
      </c>
      <c r="AK65" s="64">
        <v>66585314.369999997</v>
      </c>
      <c r="AL65" s="64" t="e">
        <f>#REF!</f>
        <v>#REF!</v>
      </c>
      <c r="AM65" s="64" t="e">
        <f t="shared" si="18"/>
        <v>#REF!</v>
      </c>
      <c r="AN65" s="64">
        <v>12410031.59</v>
      </c>
      <c r="AO65" s="64">
        <v>23705387.800000001</v>
      </c>
    </row>
    <row r="66" spans="1:41" s="115" customFormat="1" ht="21.75" customHeight="1" x14ac:dyDescent="0.2">
      <c r="A66" s="130" t="s">
        <v>188</v>
      </c>
      <c r="B66" s="675">
        <v>300</v>
      </c>
      <c r="C66" s="114" t="s">
        <v>149</v>
      </c>
      <c r="D66" s="59">
        <f>G66+Q66+AG66+AH66</f>
        <v>0</v>
      </c>
      <c r="E66" s="59">
        <f t="shared" ref="E66:E75" si="24">H66+R66+AH66+AG66</f>
        <v>0</v>
      </c>
      <c r="F66" s="64">
        <f t="shared" si="1"/>
        <v>0</v>
      </c>
      <c r="G66" s="157">
        <f>G68+G69</f>
        <v>0</v>
      </c>
      <c r="H66" s="157"/>
      <c r="I66" s="158">
        <f t="shared" si="9"/>
        <v>0</v>
      </c>
      <c r="J66" s="59"/>
      <c r="K66" s="59"/>
      <c r="L66" s="59"/>
      <c r="M66" s="59"/>
      <c r="N66" s="59">
        <f>N68+N69</f>
        <v>0</v>
      </c>
      <c r="O66" s="59"/>
      <c r="P66" s="59"/>
      <c r="Q66" s="59">
        <f t="shared" ref="Q66" si="25">SUM(U66:Y66)</f>
        <v>0</v>
      </c>
      <c r="R66" s="59"/>
      <c r="S66" s="59"/>
      <c r="T66" s="59"/>
      <c r="U66" s="59">
        <v>0</v>
      </c>
      <c r="V66" s="59">
        <v>0</v>
      </c>
      <c r="W66" s="59">
        <f t="shared" si="2"/>
        <v>0</v>
      </c>
      <c r="X66" s="59">
        <v>0</v>
      </c>
      <c r="Y66" s="59">
        <v>0</v>
      </c>
      <c r="Z66" s="59"/>
      <c r="AA66" s="59"/>
      <c r="AB66" s="59"/>
      <c r="AC66" s="59"/>
      <c r="AD66" s="59"/>
      <c r="AE66" s="59"/>
      <c r="AF66" s="59">
        <f>AF68+AF69</f>
        <v>0</v>
      </c>
      <c r="AG66" s="59">
        <f>SUM(AG68:AG69)</f>
        <v>0</v>
      </c>
      <c r="AH66" s="59">
        <f t="shared" si="16"/>
        <v>0</v>
      </c>
      <c r="AI66" s="59">
        <f t="shared" si="5"/>
        <v>0</v>
      </c>
      <c r="AJ66" s="59">
        <f t="shared" si="4"/>
        <v>0</v>
      </c>
      <c r="AK66" s="59"/>
      <c r="AL66" s="59"/>
      <c r="AM66" s="64">
        <f t="shared" si="18"/>
        <v>0</v>
      </c>
      <c r="AN66" s="59"/>
      <c r="AO66" s="59"/>
    </row>
    <row r="67" spans="1:41" ht="15.75" x14ac:dyDescent="0.25">
      <c r="A67" s="132" t="s">
        <v>92</v>
      </c>
      <c r="B67" s="133"/>
      <c r="C67" s="134"/>
      <c r="D67" s="64"/>
      <c r="E67" s="59">
        <f t="shared" si="24"/>
        <v>0</v>
      </c>
      <c r="F67" s="59">
        <f t="shared" si="1"/>
        <v>0</v>
      </c>
      <c r="G67" s="158"/>
      <c r="H67" s="158"/>
      <c r="I67" s="158">
        <f t="shared" si="9"/>
        <v>0</v>
      </c>
      <c r="J67" s="64"/>
      <c r="K67" s="64"/>
      <c r="L67" s="64"/>
      <c r="M67" s="64"/>
      <c r="N67" s="64"/>
      <c r="O67" s="64"/>
      <c r="P67" s="64"/>
      <c r="Q67" s="64"/>
      <c r="R67" s="64"/>
      <c r="S67" s="64"/>
      <c r="T67" s="64"/>
      <c r="U67" s="64"/>
      <c r="V67" s="64"/>
      <c r="W67" s="59">
        <f t="shared" si="2"/>
        <v>0</v>
      </c>
      <c r="X67" s="64"/>
      <c r="Y67" s="64"/>
      <c r="Z67" s="64"/>
      <c r="AA67" s="64"/>
      <c r="AB67" s="64"/>
      <c r="AC67" s="64"/>
      <c r="AD67" s="64"/>
      <c r="AE67" s="64"/>
      <c r="AF67" s="64"/>
      <c r="AG67" s="64"/>
      <c r="AH67" s="59">
        <f t="shared" si="16"/>
        <v>0</v>
      </c>
      <c r="AI67" s="59">
        <f t="shared" si="5"/>
        <v>0</v>
      </c>
      <c r="AJ67" s="59">
        <f t="shared" si="4"/>
        <v>0</v>
      </c>
      <c r="AK67" s="64"/>
      <c r="AL67" s="64"/>
      <c r="AM67" s="64"/>
      <c r="AN67" s="64"/>
      <c r="AO67" s="64"/>
    </row>
    <row r="68" spans="1:41" ht="15.75" x14ac:dyDescent="0.25">
      <c r="A68" s="132" t="s">
        <v>189</v>
      </c>
      <c r="B68" s="673">
        <v>310</v>
      </c>
      <c r="C68" s="134"/>
      <c r="D68" s="64"/>
      <c r="E68" s="59">
        <f t="shared" si="24"/>
        <v>0</v>
      </c>
      <c r="F68" s="59">
        <f t="shared" si="1"/>
        <v>0</v>
      </c>
      <c r="G68" s="158"/>
      <c r="H68" s="158"/>
      <c r="I68" s="158">
        <f t="shared" si="9"/>
        <v>0</v>
      </c>
      <c r="J68" s="64"/>
      <c r="K68" s="64"/>
      <c r="L68" s="64"/>
      <c r="M68" s="64"/>
      <c r="N68" s="64"/>
      <c r="O68" s="64"/>
      <c r="P68" s="64"/>
      <c r="Q68" s="64"/>
      <c r="R68" s="64"/>
      <c r="S68" s="64"/>
      <c r="T68" s="64"/>
      <c r="U68" s="64"/>
      <c r="V68" s="64"/>
      <c r="W68" s="59">
        <f t="shared" si="2"/>
        <v>0</v>
      </c>
      <c r="X68" s="64"/>
      <c r="Y68" s="64"/>
      <c r="Z68" s="64"/>
      <c r="AA68" s="64"/>
      <c r="AB68" s="64"/>
      <c r="AC68" s="64"/>
      <c r="AD68" s="64"/>
      <c r="AE68" s="64"/>
      <c r="AF68" s="64"/>
      <c r="AG68" s="64"/>
      <c r="AH68" s="59">
        <f t="shared" si="16"/>
        <v>0</v>
      </c>
      <c r="AI68" s="59">
        <f t="shared" si="5"/>
        <v>0</v>
      </c>
      <c r="AJ68" s="59">
        <f t="shared" si="4"/>
        <v>0</v>
      </c>
      <c r="AK68" s="64"/>
      <c r="AL68" s="64"/>
      <c r="AM68" s="64"/>
      <c r="AN68" s="64"/>
      <c r="AO68" s="64"/>
    </row>
    <row r="69" spans="1:41" ht="15.75" x14ac:dyDescent="0.25">
      <c r="A69" s="132" t="s">
        <v>190</v>
      </c>
      <c r="B69" s="673">
        <v>320</v>
      </c>
      <c r="C69" s="134"/>
      <c r="D69" s="64"/>
      <c r="E69" s="59">
        <f t="shared" si="24"/>
        <v>0</v>
      </c>
      <c r="F69" s="59">
        <f t="shared" si="1"/>
        <v>0</v>
      </c>
      <c r="G69" s="158"/>
      <c r="H69" s="158"/>
      <c r="I69" s="158">
        <f t="shared" si="9"/>
        <v>0</v>
      </c>
      <c r="J69" s="64"/>
      <c r="K69" s="64"/>
      <c r="L69" s="64"/>
      <c r="M69" s="64"/>
      <c r="N69" s="64"/>
      <c r="O69" s="64"/>
      <c r="P69" s="64"/>
      <c r="Q69" s="64"/>
      <c r="R69" s="64"/>
      <c r="S69" s="64"/>
      <c r="T69" s="64"/>
      <c r="U69" s="64"/>
      <c r="V69" s="64"/>
      <c r="W69" s="59">
        <f t="shared" si="2"/>
        <v>0</v>
      </c>
      <c r="X69" s="64"/>
      <c r="Y69" s="64"/>
      <c r="Z69" s="64"/>
      <c r="AA69" s="64"/>
      <c r="AB69" s="64"/>
      <c r="AC69" s="64"/>
      <c r="AD69" s="64"/>
      <c r="AE69" s="64"/>
      <c r="AF69" s="64"/>
      <c r="AG69" s="64"/>
      <c r="AH69" s="59">
        <f t="shared" si="16"/>
        <v>0</v>
      </c>
      <c r="AI69" s="59">
        <f t="shared" si="5"/>
        <v>0</v>
      </c>
      <c r="AJ69" s="59">
        <f t="shared" si="4"/>
        <v>0</v>
      </c>
      <c r="AK69" s="64"/>
      <c r="AL69" s="64"/>
      <c r="AM69" s="64"/>
      <c r="AN69" s="64"/>
      <c r="AO69" s="64"/>
    </row>
    <row r="70" spans="1:41" s="115" customFormat="1" ht="15.75" x14ac:dyDescent="0.2">
      <c r="A70" s="130" t="s">
        <v>191</v>
      </c>
      <c r="B70" s="675">
        <v>400</v>
      </c>
      <c r="C70" s="138"/>
      <c r="D70" s="59">
        <f>G70+Q70+AG70+AH70</f>
        <v>0</v>
      </c>
      <c r="E70" s="59">
        <f t="shared" si="24"/>
        <v>0</v>
      </c>
      <c r="F70" s="59">
        <f t="shared" si="1"/>
        <v>0</v>
      </c>
      <c r="G70" s="157">
        <f>G72+G73</f>
        <v>0</v>
      </c>
      <c r="H70" s="157"/>
      <c r="I70" s="158">
        <f t="shared" si="9"/>
        <v>0</v>
      </c>
      <c r="J70" s="59"/>
      <c r="K70" s="59"/>
      <c r="L70" s="59"/>
      <c r="M70" s="59"/>
      <c r="N70" s="59">
        <f>N72+N73</f>
        <v>0</v>
      </c>
      <c r="O70" s="59"/>
      <c r="P70" s="59"/>
      <c r="Q70" s="59">
        <f>Q72+Q73</f>
        <v>0</v>
      </c>
      <c r="R70" s="59"/>
      <c r="S70" s="59"/>
      <c r="T70" s="59"/>
      <c r="U70" s="59">
        <v>0</v>
      </c>
      <c r="V70" s="59"/>
      <c r="W70" s="59">
        <f t="shared" si="2"/>
        <v>0</v>
      </c>
      <c r="X70" s="59">
        <v>0</v>
      </c>
      <c r="Y70" s="59">
        <v>0</v>
      </c>
      <c r="Z70" s="59"/>
      <c r="AA70" s="59"/>
      <c r="AB70" s="59"/>
      <c r="AC70" s="59"/>
      <c r="AD70" s="59"/>
      <c r="AE70" s="59"/>
      <c r="AF70" s="59">
        <f>AF72+AF73</f>
        <v>0</v>
      </c>
      <c r="AG70" s="59">
        <v>0</v>
      </c>
      <c r="AH70" s="59">
        <f t="shared" si="16"/>
        <v>0</v>
      </c>
      <c r="AI70" s="59">
        <f t="shared" si="5"/>
        <v>0</v>
      </c>
      <c r="AJ70" s="59">
        <f t="shared" si="4"/>
        <v>0</v>
      </c>
      <c r="AK70" s="59"/>
      <c r="AL70" s="59"/>
      <c r="AM70" s="59"/>
      <c r="AN70" s="59"/>
      <c r="AO70" s="59"/>
    </row>
    <row r="71" spans="1:41" ht="15.75" x14ac:dyDescent="0.25">
      <c r="A71" s="132" t="s">
        <v>92</v>
      </c>
      <c r="B71" s="133"/>
      <c r="C71" s="134"/>
      <c r="D71" s="64"/>
      <c r="E71" s="59">
        <f t="shared" si="24"/>
        <v>0</v>
      </c>
      <c r="F71" s="59">
        <f t="shared" si="1"/>
        <v>0</v>
      </c>
      <c r="G71" s="158"/>
      <c r="H71" s="158"/>
      <c r="I71" s="158">
        <f t="shared" si="9"/>
        <v>0</v>
      </c>
      <c r="J71" s="64"/>
      <c r="K71" s="64"/>
      <c r="L71" s="64"/>
      <c r="M71" s="64"/>
      <c r="N71" s="64"/>
      <c r="O71" s="64"/>
      <c r="P71" s="64"/>
      <c r="Q71" s="64"/>
      <c r="R71" s="64"/>
      <c r="S71" s="64"/>
      <c r="T71" s="64"/>
      <c r="U71" s="64"/>
      <c r="V71" s="64"/>
      <c r="W71" s="59">
        <f t="shared" si="2"/>
        <v>0</v>
      </c>
      <c r="X71" s="64"/>
      <c r="Y71" s="64"/>
      <c r="Z71" s="64"/>
      <c r="AA71" s="64"/>
      <c r="AB71" s="64"/>
      <c r="AC71" s="64"/>
      <c r="AD71" s="64"/>
      <c r="AE71" s="64"/>
      <c r="AF71" s="64"/>
      <c r="AG71" s="64"/>
      <c r="AH71" s="59">
        <f t="shared" si="16"/>
        <v>0</v>
      </c>
      <c r="AI71" s="59">
        <f t="shared" si="5"/>
        <v>0</v>
      </c>
      <c r="AJ71" s="59">
        <f t="shared" si="4"/>
        <v>0</v>
      </c>
      <c r="AK71" s="64"/>
      <c r="AL71" s="64"/>
      <c r="AM71" s="64"/>
      <c r="AN71" s="64"/>
      <c r="AO71" s="64"/>
    </row>
    <row r="72" spans="1:41" ht="15.75" x14ac:dyDescent="0.25">
      <c r="A72" s="132" t="s">
        <v>192</v>
      </c>
      <c r="B72" s="673">
        <v>410</v>
      </c>
      <c r="C72" s="134"/>
      <c r="D72" s="64">
        <f>G72+Q72</f>
        <v>0</v>
      </c>
      <c r="E72" s="59">
        <f t="shared" si="24"/>
        <v>0</v>
      </c>
      <c r="F72" s="59">
        <f t="shared" si="1"/>
        <v>0</v>
      </c>
      <c r="G72" s="158"/>
      <c r="H72" s="158"/>
      <c r="I72" s="158">
        <f t="shared" si="9"/>
        <v>0</v>
      </c>
      <c r="J72" s="64"/>
      <c r="K72" s="64"/>
      <c r="L72" s="64"/>
      <c r="M72" s="64"/>
      <c r="N72" s="64"/>
      <c r="O72" s="64"/>
      <c r="P72" s="64"/>
      <c r="Q72" s="64"/>
      <c r="R72" s="64"/>
      <c r="S72" s="64"/>
      <c r="T72" s="64"/>
      <c r="U72" s="64"/>
      <c r="V72" s="64"/>
      <c r="W72" s="59">
        <f t="shared" si="2"/>
        <v>0</v>
      </c>
      <c r="X72" s="64"/>
      <c r="Y72" s="64"/>
      <c r="Z72" s="64"/>
      <c r="AA72" s="64"/>
      <c r="AB72" s="64"/>
      <c r="AC72" s="64"/>
      <c r="AD72" s="64"/>
      <c r="AE72" s="64"/>
      <c r="AF72" s="64"/>
      <c r="AG72" s="64"/>
      <c r="AH72" s="59">
        <f t="shared" si="16"/>
        <v>0</v>
      </c>
      <c r="AI72" s="59">
        <f t="shared" si="5"/>
        <v>0</v>
      </c>
      <c r="AJ72" s="59">
        <f t="shared" si="4"/>
        <v>0</v>
      </c>
      <c r="AK72" s="64"/>
      <c r="AL72" s="64"/>
      <c r="AM72" s="64"/>
      <c r="AN72" s="64"/>
      <c r="AO72" s="64"/>
    </row>
    <row r="73" spans="1:41" ht="15.75" x14ac:dyDescent="0.25">
      <c r="A73" s="132" t="s">
        <v>193</v>
      </c>
      <c r="B73" s="673">
        <v>420</v>
      </c>
      <c r="C73" s="134"/>
      <c r="D73" s="64"/>
      <c r="E73" s="59">
        <f t="shared" si="24"/>
        <v>0</v>
      </c>
      <c r="F73" s="59">
        <f t="shared" si="1"/>
        <v>0</v>
      </c>
      <c r="G73" s="158"/>
      <c r="H73" s="158"/>
      <c r="I73" s="158">
        <f t="shared" si="9"/>
        <v>0</v>
      </c>
      <c r="J73" s="64"/>
      <c r="K73" s="64"/>
      <c r="L73" s="64"/>
      <c r="M73" s="64"/>
      <c r="N73" s="64"/>
      <c r="O73" s="64"/>
      <c r="P73" s="64"/>
      <c r="Q73" s="64"/>
      <c r="R73" s="64"/>
      <c r="S73" s="64"/>
      <c r="T73" s="64"/>
      <c r="U73" s="64"/>
      <c r="V73" s="64"/>
      <c r="W73" s="59">
        <f t="shared" si="2"/>
        <v>0</v>
      </c>
      <c r="X73" s="64"/>
      <c r="Y73" s="64"/>
      <c r="Z73" s="64"/>
      <c r="AA73" s="64"/>
      <c r="AB73" s="64"/>
      <c r="AC73" s="64"/>
      <c r="AD73" s="64"/>
      <c r="AE73" s="64"/>
      <c r="AF73" s="64"/>
      <c r="AG73" s="64"/>
      <c r="AH73" s="59">
        <f t="shared" si="16"/>
        <v>0</v>
      </c>
      <c r="AI73" s="59">
        <f t="shared" si="5"/>
        <v>0</v>
      </c>
      <c r="AJ73" s="59">
        <f t="shared" si="4"/>
        <v>0</v>
      </c>
      <c r="AK73" s="64"/>
      <c r="AL73" s="64"/>
      <c r="AM73" s="64"/>
      <c r="AN73" s="64"/>
      <c r="AO73" s="64"/>
    </row>
    <row r="74" spans="1:41" s="115" customFormat="1" ht="17.25" customHeight="1" x14ac:dyDescent="0.2">
      <c r="A74" s="130" t="s">
        <v>194</v>
      </c>
      <c r="B74" s="675">
        <v>500</v>
      </c>
      <c r="C74" s="114" t="s">
        <v>149</v>
      </c>
      <c r="D74" s="59">
        <f>G74+Q74+AG74+AH74</f>
        <v>723849472.93999994</v>
      </c>
      <c r="E74" s="59">
        <f t="shared" si="24"/>
        <v>635270669.06999993</v>
      </c>
      <c r="F74" s="59">
        <f t="shared" si="1"/>
        <v>-88578803.870000005</v>
      </c>
      <c r="G74" s="157">
        <f>J74+K74+N74</f>
        <v>493797.8900000006</v>
      </c>
      <c r="H74" s="157">
        <f>H22-H10</f>
        <v>-88085005.980000019</v>
      </c>
      <c r="I74" s="158">
        <f t="shared" si="9"/>
        <v>-88578803.87000002</v>
      </c>
      <c r="J74" s="59"/>
      <c r="K74" s="59">
        <f>K22-K10</f>
        <v>493797.8900000006</v>
      </c>
      <c r="L74" s="59">
        <f>L22-L10</f>
        <v>-88085005.980000019</v>
      </c>
      <c r="M74" s="59">
        <f>L74-K74</f>
        <v>-88578803.87000002</v>
      </c>
      <c r="N74" s="59">
        <f>N22-N10</f>
        <v>0</v>
      </c>
      <c r="O74" s="59">
        <f>O22-O10</f>
        <v>0</v>
      </c>
      <c r="P74" s="59"/>
      <c r="Q74" s="59">
        <f>716398979.29+10227+4684.74</f>
        <v>716413891.02999997</v>
      </c>
      <c r="R74" s="59">
        <f>T74+V74+X74+Z74</f>
        <v>716413891.02999997</v>
      </c>
      <c r="S74" s="59">
        <f>R74-Q74</f>
        <v>0</v>
      </c>
      <c r="T74" s="59">
        <f>716398979.29+10227+4684.74</f>
        <v>716413891.02999997</v>
      </c>
      <c r="U74" s="59">
        <v>0</v>
      </c>
      <c r="V74" s="59"/>
      <c r="W74" s="59">
        <f t="shared" si="2"/>
        <v>0</v>
      </c>
      <c r="X74" s="59">
        <v>0</v>
      </c>
      <c r="Y74" s="59">
        <v>0</v>
      </c>
      <c r="Z74" s="59"/>
      <c r="AA74" s="59"/>
      <c r="AB74" s="59"/>
      <c r="AC74" s="59"/>
      <c r="AD74" s="59"/>
      <c r="AE74" s="59"/>
      <c r="AF74" s="59">
        <v>0</v>
      </c>
      <c r="AG74" s="59">
        <v>142804.66</v>
      </c>
      <c r="AH74" s="59">
        <f>AH22-AH10</f>
        <v>6798979.3600000143</v>
      </c>
      <c r="AI74" s="59" t="e">
        <f t="shared" ref="AI74:AJ74" si="26">AI22-AI10</f>
        <v>#REF!</v>
      </c>
      <c r="AJ74" s="59" t="e">
        <f t="shared" si="26"/>
        <v>#REF!</v>
      </c>
      <c r="AK74" s="59">
        <f>AK22-AK10</f>
        <v>6652959.8899999857</v>
      </c>
      <c r="AL74" s="59" t="e">
        <f>AL22-AL10</f>
        <v>#REF!</v>
      </c>
      <c r="AM74" s="59" t="e">
        <f>AM22-AM10</f>
        <v>#REF!</v>
      </c>
      <c r="AN74" s="59">
        <v>146019.47000000626</v>
      </c>
      <c r="AO74" s="59">
        <f t="shared" ref="AO74" si="27">AO22-AO10</f>
        <v>371653.98999999464</v>
      </c>
    </row>
    <row r="75" spans="1:41" s="115" customFormat="1" ht="15.75" x14ac:dyDescent="0.2">
      <c r="A75" s="130" t="s">
        <v>195</v>
      </c>
      <c r="B75" s="675">
        <v>600</v>
      </c>
      <c r="C75" s="114" t="s">
        <v>149</v>
      </c>
      <c r="D75" s="59" t="e">
        <f>D10-D22+D74</f>
        <v>#REF!</v>
      </c>
      <c r="E75" s="59">
        <f t="shared" si="24"/>
        <v>49011428.341535777</v>
      </c>
      <c r="F75" s="59" t="e">
        <f t="shared" ref="F75" si="28">E75-D75</f>
        <v>#REF!</v>
      </c>
      <c r="G75" s="157">
        <f>G10+G74-G22</f>
        <v>0</v>
      </c>
      <c r="H75" s="157">
        <f>H10+H74-H22</f>
        <v>0</v>
      </c>
      <c r="I75" s="158">
        <f t="shared" si="9"/>
        <v>0</v>
      </c>
      <c r="J75" s="59"/>
      <c r="K75" s="59">
        <f t="shared" ref="K75:AA75" si="29">K10+K74-K22</f>
        <v>0</v>
      </c>
      <c r="L75" s="59"/>
      <c r="M75" s="59"/>
      <c r="N75" s="59">
        <f t="shared" si="29"/>
        <v>0</v>
      </c>
      <c r="O75" s="59">
        <f t="shared" si="29"/>
        <v>0</v>
      </c>
      <c r="P75" s="59"/>
      <c r="Q75" s="59" t="e">
        <f>Q10+Q74-Q22</f>
        <v>#REF!</v>
      </c>
      <c r="R75" s="59">
        <f t="shared" si="29"/>
        <v>49011428.339999676</v>
      </c>
      <c r="S75" s="59" t="e">
        <f t="shared" si="29"/>
        <v>#REF!</v>
      </c>
      <c r="T75" s="59">
        <f t="shared" si="29"/>
        <v>49011428.340000033</v>
      </c>
      <c r="U75" s="59">
        <f t="shared" si="29"/>
        <v>0</v>
      </c>
      <c r="V75" s="59">
        <f t="shared" si="29"/>
        <v>0</v>
      </c>
      <c r="W75" s="59">
        <f t="shared" ref="W75" si="30">V75-U75</f>
        <v>0</v>
      </c>
      <c r="X75" s="59">
        <f t="shared" si="29"/>
        <v>0</v>
      </c>
      <c r="Y75" s="59">
        <f t="shared" si="29"/>
        <v>0</v>
      </c>
      <c r="Z75" s="59">
        <f t="shared" si="29"/>
        <v>0</v>
      </c>
      <c r="AA75" s="59">
        <f t="shared" si="29"/>
        <v>0</v>
      </c>
      <c r="AB75" s="59" t="e">
        <f>AA75-#REF!</f>
        <v>#REF!</v>
      </c>
      <c r="AC75" s="59"/>
      <c r="AD75" s="59"/>
      <c r="AE75" s="59"/>
      <c r="AF75" s="59">
        <f t="shared" ref="AF75:AN75" si="31">AF10+AF74-AF22</f>
        <v>0</v>
      </c>
      <c r="AG75" s="59">
        <f t="shared" si="31"/>
        <v>1.536098076030612E-3</v>
      </c>
      <c r="AH75" s="59">
        <f t="shared" si="31"/>
        <v>0</v>
      </c>
      <c r="AI75" s="59">
        <f t="shared" si="5"/>
        <v>0</v>
      </c>
      <c r="AJ75" s="59">
        <f t="shared" ref="AJ75" si="32">AI75-AH75</f>
        <v>0</v>
      </c>
      <c r="AK75" s="59">
        <f t="shared" si="31"/>
        <v>0</v>
      </c>
      <c r="AL75" s="59"/>
      <c r="AM75" s="59"/>
      <c r="AN75" s="59">
        <f t="shared" si="31"/>
        <v>0</v>
      </c>
      <c r="AO75" s="59"/>
    </row>
    <row r="76" spans="1:41" s="115" customFormat="1" ht="19.5" hidden="1" customHeight="1" thickBot="1" x14ac:dyDescent="0.25">
      <c r="A76" s="463"/>
      <c r="B76" s="464"/>
      <c r="C76" s="465"/>
      <c r="D76" s="466"/>
      <c r="E76" s="466"/>
      <c r="F76" s="466"/>
      <c r="G76" s="466"/>
      <c r="H76" s="466"/>
      <c r="I76" s="471"/>
      <c r="J76" s="466"/>
      <c r="K76" s="466"/>
      <c r="L76" s="466"/>
      <c r="M76" s="466"/>
      <c r="N76" s="466"/>
      <c r="O76" s="466"/>
      <c r="P76" s="466"/>
      <c r="Q76" s="466"/>
      <c r="R76" s="466"/>
      <c r="S76" s="466"/>
      <c r="T76" s="466"/>
      <c r="U76" s="466"/>
      <c r="V76" s="466"/>
      <c r="W76" s="466"/>
      <c r="X76" s="466"/>
      <c r="Y76" s="466"/>
      <c r="Z76" s="466"/>
      <c r="AA76" s="466"/>
      <c r="AB76" s="466"/>
      <c r="AC76" s="466"/>
      <c r="AD76" s="466"/>
      <c r="AE76" s="466"/>
      <c r="AF76" s="466"/>
      <c r="AG76" s="466"/>
      <c r="AH76" s="466"/>
      <c r="AI76" s="466"/>
      <c r="AJ76" s="466"/>
      <c r="AK76" s="466"/>
      <c r="AL76" s="466"/>
      <c r="AM76" s="466"/>
      <c r="AN76" s="466"/>
      <c r="AO76" s="466"/>
    </row>
    <row r="77" spans="1:41" s="115" customFormat="1" ht="15.75" hidden="1" x14ac:dyDescent="0.2">
      <c r="A77" s="463"/>
      <c r="B77" s="464"/>
      <c r="C77" s="465"/>
      <c r="D77" s="157" t="e">
        <f>D22-D10</f>
        <v>#REF!</v>
      </c>
      <c r="E77" s="157" t="e">
        <f t="shared" ref="E77:AO77" si="33">E22-E10</f>
        <v>#REF!</v>
      </c>
      <c r="F77" s="157" t="e">
        <f t="shared" si="33"/>
        <v>#REF!</v>
      </c>
      <c r="G77" s="157">
        <f t="shared" si="33"/>
        <v>493797.8900000453</v>
      </c>
      <c r="H77" s="157">
        <f t="shared" si="33"/>
        <v>-88085005.980000019</v>
      </c>
      <c r="I77" s="157">
        <f t="shared" si="33"/>
        <v>-88578803.870000064</v>
      </c>
      <c r="J77" s="157">
        <f t="shared" si="33"/>
        <v>0</v>
      </c>
      <c r="K77" s="157">
        <f t="shared" si="33"/>
        <v>493797.8900000006</v>
      </c>
      <c r="L77" s="157">
        <f t="shared" si="33"/>
        <v>-88085005.980000019</v>
      </c>
      <c r="M77" s="157">
        <f t="shared" si="33"/>
        <v>-88578803.870000035</v>
      </c>
      <c r="N77" s="157">
        <f t="shared" si="33"/>
        <v>0</v>
      </c>
      <c r="O77" s="157">
        <f t="shared" si="33"/>
        <v>0</v>
      </c>
      <c r="P77" s="157">
        <f t="shared" si="33"/>
        <v>0</v>
      </c>
      <c r="Q77" s="157" t="e">
        <f t="shared" si="33"/>
        <v>#REF!</v>
      </c>
      <c r="R77" s="157">
        <f t="shared" si="33"/>
        <v>667402462.6900003</v>
      </c>
      <c r="S77" s="157" t="e">
        <f t="shared" si="33"/>
        <v>#REF!</v>
      </c>
      <c r="T77" s="157">
        <f t="shared" si="33"/>
        <v>667402462.68999994</v>
      </c>
      <c r="U77" s="157">
        <f t="shared" si="33"/>
        <v>0</v>
      </c>
      <c r="V77" s="157">
        <f t="shared" si="33"/>
        <v>0</v>
      </c>
      <c r="W77" s="157">
        <f t="shared" si="33"/>
        <v>0</v>
      </c>
      <c r="X77" s="157">
        <f t="shared" si="33"/>
        <v>0</v>
      </c>
      <c r="Y77" s="157">
        <f t="shared" si="33"/>
        <v>0</v>
      </c>
      <c r="Z77" s="157">
        <f t="shared" si="33"/>
        <v>0</v>
      </c>
      <c r="AA77" s="157"/>
      <c r="AB77" s="157"/>
      <c r="AC77" s="157"/>
      <c r="AD77" s="157"/>
      <c r="AE77" s="157"/>
      <c r="AF77" s="157">
        <f t="shared" si="33"/>
        <v>0</v>
      </c>
      <c r="AG77" s="157">
        <f t="shared" si="33"/>
        <v>142804.65846390184</v>
      </c>
      <c r="AH77" s="157">
        <f t="shared" si="33"/>
        <v>6798979.3600000143</v>
      </c>
      <c r="AI77" s="157" t="e">
        <f t="shared" si="33"/>
        <v>#REF!</v>
      </c>
      <c r="AJ77" s="157" t="e">
        <f t="shared" si="33"/>
        <v>#REF!</v>
      </c>
      <c r="AK77" s="157">
        <f t="shared" si="33"/>
        <v>6652959.8899999857</v>
      </c>
      <c r="AL77" s="157" t="e">
        <f t="shared" si="33"/>
        <v>#REF!</v>
      </c>
      <c r="AM77" s="157" t="e">
        <f t="shared" si="33"/>
        <v>#REF!</v>
      </c>
      <c r="AN77" s="157">
        <f t="shared" si="33"/>
        <v>146019.47000000626</v>
      </c>
      <c r="AO77" s="157">
        <f t="shared" si="33"/>
        <v>371653.98999999464</v>
      </c>
    </row>
    <row r="78" spans="1:41" s="115" customFormat="1" ht="15.75" hidden="1" x14ac:dyDescent="0.2">
      <c r="A78" s="463"/>
      <c r="B78" s="464"/>
      <c r="C78" s="465"/>
      <c r="D78" s="466" t="e">
        <f>D77+D75</f>
        <v>#REF!</v>
      </c>
      <c r="E78" s="466" t="e">
        <f t="shared" ref="E78:AO78" si="34">E77+E75</f>
        <v>#REF!</v>
      </c>
      <c r="F78" s="466" t="e">
        <f t="shared" si="34"/>
        <v>#REF!</v>
      </c>
      <c r="G78" s="466">
        <f t="shared" si="34"/>
        <v>493797.8900000453</v>
      </c>
      <c r="H78" s="466">
        <f t="shared" si="34"/>
        <v>-88085005.980000019</v>
      </c>
      <c r="I78" s="466">
        <f t="shared" si="34"/>
        <v>-88578803.870000064</v>
      </c>
      <c r="J78" s="466">
        <f t="shared" si="34"/>
        <v>0</v>
      </c>
      <c r="K78" s="466">
        <f t="shared" si="34"/>
        <v>493797.8900000006</v>
      </c>
      <c r="L78" s="466">
        <f t="shared" si="34"/>
        <v>-88085005.980000019</v>
      </c>
      <c r="M78" s="466">
        <f t="shared" si="34"/>
        <v>-88578803.870000035</v>
      </c>
      <c r="N78" s="466">
        <f t="shared" si="34"/>
        <v>0</v>
      </c>
      <c r="O78" s="466">
        <f t="shared" si="34"/>
        <v>0</v>
      </c>
      <c r="P78" s="466">
        <f t="shared" si="34"/>
        <v>0</v>
      </c>
      <c r="Q78" s="466" t="e">
        <f t="shared" si="34"/>
        <v>#REF!</v>
      </c>
      <c r="R78" s="466">
        <f t="shared" si="34"/>
        <v>716413891.02999997</v>
      </c>
      <c r="S78" s="466" t="e">
        <f t="shared" si="34"/>
        <v>#REF!</v>
      </c>
      <c r="T78" s="466">
        <f t="shared" si="34"/>
        <v>716413891.02999997</v>
      </c>
      <c r="U78" s="466">
        <f t="shared" si="34"/>
        <v>0</v>
      </c>
      <c r="V78" s="466">
        <f t="shared" si="34"/>
        <v>0</v>
      </c>
      <c r="W78" s="466">
        <f t="shared" si="34"/>
        <v>0</v>
      </c>
      <c r="X78" s="466">
        <f t="shared" si="34"/>
        <v>0</v>
      </c>
      <c r="Y78" s="466">
        <f t="shared" si="34"/>
        <v>0</v>
      </c>
      <c r="Z78" s="466">
        <f t="shared" si="34"/>
        <v>0</v>
      </c>
      <c r="AA78" s="466"/>
      <c r="AB78" s="466"/>
      <c r="AC78" s="466"/>
      <c r="AD78" s="466"/>
      <c r="AE78" s="466"/>
      <c r="AF78" s="466">
        <f t="shared" si="34"/>
        <v>0</v>
      </c>
      <c r="AG78" s="466">
        <f t="shared" si="34"/>
        <v>142804.65999999992</v>
      </c>
      <c r="AH78" s="466">
        <f t="shared" si="34"/>
        <v>6798979.3600000143</v>
      </c>
      <c r="AI78" s="466" t="e">
        <f t="shared" si="34"/>
        <v>#REF!</v>
      </c>
      <c r="AJ78" s="466" t="e">
        <f t="shared" si="34"/>
        <v>#REF!</v>
      </c>
      <c r="AK78" s="466">
        <f t="shared" si="34"/>
        <v>6652959.8899999857</v>
      </c>
      <c r="AL78" s="466" t="e">
        <f t="shared" si="34"/>
        <v>#REF!</v>
      </c>
      <c r="AM78" s="466" t="e">
        <f t="shared" si="34"/>
        <v>#REF!</v>
      </c>
      <c r="AN78" s="466">
        <f t="shared" si="34"/>
        <v>146019.47000000626</v>
      </c>
      <c r="AO78" s="466">
        <f t="shared" si="34"/>
        <v>371653.98999999464</v>
      </c>
    </row>
    <row r="79" spans="1:41" s="115" customFormat="1" ht="15.75" hidden="1" x14ac:dyDescent="0.2">
      <c r="A79" s="463"/>
      <c r="B79" s="464"/>
      <c r="C79" s="465"/>
      <c r="D79" s="466" t="e">
        <f>D74=D78</f>
        <v>#REF!</v>
      </c>
      <c r="E79" s="466" t="e">
        <f t="shared" ref="E79:AO79" si="35">E74=E78</f>
        <v>#REF!</v>
      </c>
      <c r="F79" s="466" t="e">
        <f t="shared" si="35"/>
        <v>#REF!</v>
      </c>
      <c r="G79" s="466" t="b">
        <f t="shared" si="35"/>
        <v>0</v>
      </c>
      <c r="H79" s="466" t="b">
        <f t="shared" si="35"/>
        <v>1</v>
      </c>
      <c r="I79" s="466" t="b">
        <f t="shared" si="35"/>
        <v>0</v>
      </c>
      <c r="J79" s="466" t="b">
        <f t="shared" si="35"/>
        <v>1</v>
      </c>
      <c r="K79" s="466" t="b">
        <f t="shared" si="35"/>
        <v>1</v>
      </c>
      <c r="L79" s="466" t="b">
        <f t="shared" si="35"/>
        <v>1</v>
      </c>
      <c r="M79" s="466" t="b">
        <f t="shared" si="35"/>
        <v>1</v>
      </c>
      <c r="N79" s="466" t="b">
        <f t="shared" si="35"/>
        <v>1</v>
      </c>
      <c r="O79" s="466" t="b">
        <f t="shared" si="35"/>
        <v>1</v>
      </c>
      <c r="P79" s="466" t="b">
        <f t="shared" si="35"/>
        <v>1</v>
      </c>
      <c r="Q79" s="466" t="e">
        <f t="shared" si="35"/>
        <v>#REF!</v>
      </c>
      <c r="R79" s="466" t="b">
        <f t="shared" si="35"/>
        <v>1</v>
      </c>
      <c r="S79" s="466" t="e">
        <f t="shared" si="35"/>
        <v>#REF!</v>
      </c>
      <c r="T79" s="466" t="b">
        <f t="shared" si="35"/>
        <v>1</v>
      </c>
      <c r="U79" s="466" t="b">
        <f t="shared" si="35"/>
        <v>1</v>
      </c>
      <c r="V79" s="466" t="b">
        <f t="shared" si="35"/>
        <v>1</v>
      </c>
      <c r="W79" s="466" t="b">
        <f t="shared" si="35"/>
        <v>1</v>
      </c>
      <c r="X79" s="466" t="b">
        <f t="shared" si="35"/>
        <v>1</v>
      </c>
      <c r="Y79" s="466" t="b">
        <f t="shared" si="35"/>
        <v>1</v>
      </c>
      <c r="Z79" s="466" t="b">
        <f t="shared" si="35"/>
        <v>1</v>
      </c>
      <c r="AA79" s="466"/>
      <c r="AB79" s="466"/>
      <c r="AC79" s="466"/>
      <c r="AD79" s="466"/>
      <c r="AE79" s="466"/>
      <c r="AF79" s="466" t="b">
        <f t="shared" si="35"/>
        <v>1</v>
      </c>
      <c r="AG79" s="466" t="b">
        <f t="shared" si="35"/>
        <v>1</v>
      </c>
      <c r="AH79" s="466" t="b">
        <f t="shared" si="35"/>
        <v>1</v>
      </c>
      <c r="AI79" s="466" t="e">
        <f t="shared" si="35"/>
        <v>#REF!</v>
      </c>
      <c r="AJ79" s="466" t="e">
        <f t="shared" si="35"/>
        <v>#REF!</v>
      </c>
      <c r="AK79" s="466" t="b">
        <f t="shared" si="35"/>
        <v>1</v>
      </c>
      <c r="AL79" s="466" t="e">
        <f t="shared" si="35"/>
        <v>#REF!</v>
      </c>
      <c r="AM79" s="466" t="e">
        <f t="shared" si="35"/>
        <v>#REF!</v>
      </c>
      <c r="AN79" s="466" t="b">
        <f t="shared" si="35"/>
        <v>1</v>
      </c>
      <c r="AO79" s="466" t="b">
        <f t="shared" si="35"/>
        <v>1</v>
      </c>
    </row>
    <row r="80" spans="1:41" s="115" customFormat="1" ht="15.75" hidden="1" x14ac:dyDescent="0.2">
      <c r="A80" s="463"/>
      <c r="B80" s="464"/>
      <c r="C80" s="465"/>
      <c r="D80" s="466"/>
      <c r="E80" s="466" t="e">
        <f>E22-E10</f>
        <v>#REF!</v>
      </c>
      <c r="F80" s="466"/>
      <c r="G80" s="466"/>
      <c r="H80" s="466"/>
      <c r="I80" s="466"/>
      <c r="J80" s="466"/>
      <c r="K80" s="466"/>
      <c r="L80" s="466"/>
      <c r="M80" s="466"/>
      <c r="N80" s="466"/>
      <c r="O80" s="466"/>
      <c r="P80" s="466"/>
      <c r="Q80" s="466"/>
      <c r="R80" s="466"/>
      <c r="S80" s="466"/>
      <c r="T80" s="466"/>
      <c r="U80" s="466"/>
      <c r="V80" s="466"/>
      <c r="W80" s="466"/>
      <c r="X80" s="466"/>
      <c r="Y80" s="466"/>
      <c r="Z80" s="466"/>
      <c r="AA80" s="466"/>
      <c r="AB80" s="466"/>
      <c r="AC80" s="466"/>
      <c r="AD80" s="466"/>
      <c r="AE80" s="466"/>
      <c r="AF80" s="466"/>
      <c r="AG80" s="466"/>
      <c r="AH80" s="466"/>
      <c r="AI80" s="466"/>
      <c r="AJ80" s="466"/>
      <c r="AK80" s="466"/>
      <c r="AL80" s="466"/>
      <c r="AM80" s="466"/>
      <c r="AN80" s="466"/>
      <c r="AO80" s="466"/>
    </row>
    <row r="81" spans="1:41" s="115" customFormat="1" ht="15.75" hidden="1" x14ac:dyDescent="0.2">
      <c r="A81" s="463"/>
      <c r="B81" s="464"/>
      <c r="C81" s="465"/>
      <c r="D81" s="466"/>
      <c r="E81" s="466"/>
      <c r="F81" s="466"/>
      <c r="G81" s="466"/>
      <c r="H81" s="466"/>
      <c r="I81" s="466"/>
      <c r="J81" s="466"/>
      <c r="K81" s="466"/>
      <c r="L81" s="466"/>
      <c r="M81" s="466"/>
      <c r="N81" s="466"/>
      <c r="O81" s="466"/>
      <c r="P81" s="466"/>
      <c r="Q81" s="466"/>
      <c r="R81" s="466"/>
      <c r="S81" s="466"/>
      <c r="T81" s="466"/>
      <c r="U81" s="466"/>
      <c r="V81" s="466">
        <v>824053700</v>
      </c>
      <c r="W81" s="466"/>
      <c r="X81" s="466"/>
      <c r="Y81" s="466"/>
      <c r="Z81" s="466"/>
      <c r="AA81" s="466"/>
      <c r="AB81" s="466"/>
      <c r="AC81" s="466"/>
      <c r="AD81" s="466"/>
      <c r="AE81" s="466"/>
      <c r="AF81" s="466"/>
      <c r="AG81" s="466"/>
      <c r="AH81" s="466"/>
      <c r="AI81" s="466"/>
      <c r="AJ81" s="466"/>
      <c r="AK81" s="466"/>
      <c r="AL81" s="466" t="e">
        <f>AK74-AL74</f>
        <v>#REF!</v>
      </c>
      <c r="AM81" s="466"/>
      <c r="AN81" s="466"/>
      <c r="AO81" s="466"/>
    </row>
    <row r="82" spans="1:41" s="115" customFormat="1" ht="15.75" hidden="1" x14ac:dyDescent="0.2">
      <c r="A82" s="463"/>
      <c r="B82" s="464"/>
      <c r="C82" s="465"/>
      <c r="D82" s="466"/>
      <c r="E82" s="466"/>
      <c r="F82" s="466" t="e">
        <f>F10-F22</f>
        <v>#REF!</v>
      </c>
      <c r="G82" s="466"/>
      <c r="H82" s="466"/>
      <c r="I82" s="466"/>
      <c r="J82" s="466"/>
      <c r="K82" s="466"/>
      <c r="L82" s="466"/>
      <c r="M82" s="466"/>
      <c r="N82" s="466"/>
      <c r="O82" s="466"/>
      <c r="P82" s="466"/>
      <c r="Q82" s="466"/>
      <c r="R82" s="466"/>
      <c r="S82" s="466"/>
      <c r="T82" s="466"/>
      <c r="U82" s="466"/>
      <c r="V82" s="466">
        <f>V81-X10-Y10-1896500.82-6372300</f>
        <v>777712202.17999995</v>
      </c>
      <c r="W82" s="466"/>
      <c r="X82" s="466"/>
      <c r="Y82" s="466"/>
      <c r="Z82" s="466"/>
      <c r="AA82" s="466"/>
      <c r="AB82" s="466"/>
      <c r="AC82" s="466"/>
      <c r="AD82" s="466"/>
      <c r="AE82" s="466"/>
      <c r="AF82" s="466"/>
      <c r="AG82" s="466"/>
      <c r="AH82" s="466"/>
      <c r="AI82" s="466"/>
      <c r="AJ82" s="466"/>
      <c r="AK82" s="466"/>
      <c r="AL82" s="466"/>
      <c r="AM82" s="466"/>
      <c r="AN82" s="466"/>
      <c r="AO82" s="466"/>
    </row>
    <row r="83" spans="1:41" s="115" customFormat="1" ht="15.75" hidden="1" x14ac:dyDescent="0.2">
      <c r="A83" s="463"/>
      <c r="B83" s="464"/>
      <c r="C83" s="465"/>
      <c r="D83" s="466"/>
      <c r="E83" s="466"/>
      <c r="F83" s="466" t="e">
        <f>F75=F82</f>
        <v>#REF!</v>
      </c>
      <c r="G83" s="466"/>
      <c r="H83" s="466"/>
      <c r="I83" s="466"/>
      <c r="J83" s="466"/>
      <c r="K83" s="466"/>
      <c r="L83" s="466"/>
      <c r="M83" s="466"/>
      <c r="N83" s="466"/>
      <c r="O83" s="466"/>
      <c r="P83" s="466"/>
      <c r="Q83" s="466"/>
      <c r="R83" s="466"/>
      <c r="S83" s="466"/>
      <c r="T83" s="466"/>
      <c r="U83" s="466"/>
      <c r="V83" s="466"/>
      <c r="W83" s="466"/>
      <c r="X83" s="466"/>
      <c r="Y83" s="466"/>
      <c r="Z83" s="466"/>
      <c r="AA83" s="466"/>
      <c r="AB83" s="466"/>
      <c r="AC83" s="466"/>
      <c r="AD83" s="466"/>
      <c r="AE83" s="466"/>
      <c r="AF83" s="466"/>
      <c r="AG83" s="466"/>
      <c r="AH83" s="466"/>
      <c r="AI83" s="466"/>
      <c r="AJ83" s="466"/>
      <c r="AK83" s="466"/>
      <c r="AL83" s="466"/>
      <c r="AM83" s="466"/>
      <c r="AN83" s="466"/>
      <c r="AO83" s="466"/>
    </row>
    <row r="84" spans="1:41" s="115" customFormat="1" ht="15.75" hidden="1" x14ac:dyDescent="0.2">
      <c r="A84" s="463"/>
      <c r="B84" s="464"/>
      <c r="C84" s="465"/>
      <c r="D84" s="466"/>
      <c r="E84" s="466"/>
      <c r="F84" s="466"/>
      <c r="G84" s="466"/>
      <c r="H84" s="466"/>
      <c r="I84" s="466"/>
      <c r="J84" s="466"/>
      <c r="K84" s="466"/>
      <c r="L84" s="466"/>
      <c r="M84" s="466"/>
      <c r="N84" s="466"/>
      <c r="O84" s="466"/>
      <c r="P84" s="466"/>
      <c r="Q84" s="466"/>
      <c r="R84" s="466"/>
      <c r="S84" s="466"/>
      <c r="T84" s="466"/>
      <c r="U84" s="466"/>
      <c r="V84" s="466"/>
      <c r="W84" s="466"/>
      <c r="X84" s="466"/>
      <c r="Y84" s="466"/>
      <c r="Z84" s="466"/>
      <c r="AA84" s="466"/>
      <c r="AB84" s="466"/>
      <c r="AC84" s="466"/>
      <c r="AD84" s="466"/>
      <c r="AE84" s="466"/>
      <c r="AF84" s="466"/>
      <c r="AG84" s="466"/>
      <c r="AH84" s="466"/>
      <c r="AI84" s="466"/>
      <c r="AJ84" s="466"/>
      <c r="AK84" s="466"/>
      <c r="AL84" s="466"/>
      <c r="AM84" s="466"/>
      <c r="AN84" s="466"/>
      <c r="AO84" s="466"/>
    </row>
    <row r="85" spans="1:41" s="115" customFormat="1" ht="15.75" hidden="1" x14ac:dyDescent="0.2">
      <c r="A85" s="463"/>
      <c r="B85" s="464"/>
      <c r="C85" s="465"/>
      <c r="D85" s="466"/>
      <c r="E85" s="466"/>
      <c r="F85" s="466"/>
      <c r="G85" s="283">
        <v>493797.89</v>
      </c>
      <c r="H85" s="157">
        <v>493797.8900000155</v>
      </c>
      <c r="I85" s="298">
        <v>1.548323780298233E-8</v>
      </c>
      <c r="J85" s="467"/>
      <c r="K85" s="467"/>
      <c r="L85" s="467"/>
      <c r="M85" s="467"/>
      <c r="N85" s="467"/>
      <c r="O85" s="467"/>
      <c r="P85" s="467"/>
      <c r="Q85" s="468"/>
      <c r="R85" s="468"/>
      <c r="S85" s="468"/>
      <c r="T85" s="468"/>
      <c r="U85" s="468"/>
      <c r="V85" s="468"/>
      <c r="W85" s="468"/>
      <c r="X85" s="468"/>
      <c r="Y85" s="468"/>
      <c r="Z85" s="468"/>
      <c r="AA85" s="468"/>
      <c r="AB85" s="468"/>
      <c r="AC85" s="468"/>
      <c r="AD85" s="468"/>
      <c r="AE85" s="468"/>
      <c r="AF85" s="469"/>
      <c r="AG85" s="469"/>
      <c r="AH85" s="470"/>
      <c r="AI85" s="470"/>
      <c r="AJ85" s="470"/>
      <c r="AK85" s="470"/>
      <c r="AL85" s="470"/>
      <c r="AM85" s="470"/>
      <c r="AN85" s="470"/>
      <c r="AO85" s="470"/>
    </row>
    <row r="86" spans="1:41" ht="16.5" hidden="1" thickBot="1" x14ac:dyDescent="0.3">
      <c r="G86" s="407">
        <v>-2.1200180053710938E-3</v>
      </c>
      <c r="H86" s="304">
        <v>0</v>
      </c>
      <c r="I86" s="377">
        <v>2.1200180053710938E-3</v>
      </c>
      <c r="J86" s="117"/>
      <c r="K86" s="117"/>
      <c r="L86" s="117"/>
      <c r="M86" s="117"/>
      <c r="N86" s="117"/>
      <c r="O86" s="117"/>
      <c r="P86" s="117"/>
      <c r="Q86" s="117"/>
      <c r="R86" s="117"/>
      <c r="S86" s="117"/>
      <c r="T86" s="111">
        <v>49006743.600000001</v>
      </c>
      <c r="U86" s="117" t="s">
        <v>237</v>
      </c>
      <c r="V86" s="117"/>
      <c r="W86" s="117"/>
      <c r="X86" s="117"/>
      <c r="Y86" s="117"/>
      <c r="Z86" s="117"/>
      <c r="AA86" s="117"/>
      <c r="AB86" s="117"/>
      <c r="AC86" s="117"/>
      <c r="AD86" s="117"/>
      <c r="AE86" s="117"/>
      <c r="AH86" s="137">
        <f>AH22-AH10</f>
        <v>6798979.3600000143</v>
      </c>
      <c r="AI86" s="137" t="e">
        <f>AI22-AI10</f>
        <v>#REF!</v>
      </c>
      <c r="AK86" s="137">
        <f>AK22-AK10</f>
        <v>6652959.8899999857</v>
      </c>
      <c r="AL86" s="137" t="e">
        <f>AL22-AL10</f>
        <v>#REF!</v>
      </c>
      <c r="AM86" s="137"/>
      <c r="AN86" s="137">
        <f t="shared" ref="AN86:AO86" si="36">AN22-AN10</f>
        <v>146019.47000000626</v>
      </c>
      <c r="AO86" s="137">
        <f t="shared" si="36"/>
        <v>371653.98999999464</v>
      </c>
    </row>
    <row r="87" spans="1:41" ht="15.75" hidden="1" x14ac:dyDescent="0.25">
      <c r="D87" s="111" t="e">
        <f>D22-D10</f>
        <v>#REF!</v>
      </c>
      <c r="G87" s="466"/>
      <c r="H87" s="466"/>
      <c r="I87" s="471"/>
      <c r="J87" s="117"/>
      <c r="K87" s="111"/>
      <c r="L87" s="111"/>
      <c r="M87" s="111"/>
      <c r="N87" s="117"/>
      <c r="O87" s="117"/>
      <c r="P87" s="117"/>
      <c r="Q87" s="117"/>
      <c r="R87" s="117"/>
      <c r="S87" s="117"/>
      <c r="T87" s="111">
        <f>T75-T86</f>
        <v>4684.7400000318885</v>
      </c>
      <c r="U87" s="117" t="s">
        <v>197</v>
      </c>
      <c r="V87" s="117"/>
      <c r="W87" s="117"/>
      <c r="X87" s="117"/>
      <c r="Y87" s="117"/>
      <c r="Z87" s="117"/>
      <c r="AA87" s="117"/>
      <c r="AB87" s="117"/>
      <c r="AC87" s="117"/>
      <c r="AD87" s="117"/>
      <c r="AE87" s="117"/>
    </row>
    <row r="88" spans="1:41" ht="15.75" hidden="1" x14ac:dyDescent="0.25">
      <c r="G88" s="157">
        <v>493797.8921200037</v>
      </c>
      <c r="H88" s="157">
        <v>493797.8900000155</v>
      </c>
      <c r="I88" s="157">
        <v>-2.1199882030487061E-3</v>
      </c>
      <c r="J88" s="117">
        <v>211</v>
      </c>
      <c r="K88" s="111">
        <v>170582.06</v>
      </c>
      <c r="L88" s="111"/>
      <c r="M88" s="111"/>
      <c r="N88" s="117"/>
      <c r="O88" s="117"/>
      <c r="P88" s="117"/>
      <c r="Q88" s="117"/>
      <c r="R88" s="117"/>
      <c r="S88" s="117"/>
      <c r="T88" s="117"/>
      <c r="U88" s="117"/>
      <c r="V88" s="117"/>
      <c r="W88" s="117"/>
      <c r="X88" s="117"/>
      <c r="Y88" s="117"/>
      <c r="Z88" s="117"/>
      <c r="AA88" s="117"/>
      <c r="AB88" s="117"/>
      <c r="AC88" s="117"/>
      <c r="AD88" s="117"/>
      <c r="AE88" s="117"/>
      <c r="AF88" s="117">
        <v>211</v>
      </c>
      <c r="AG88" s="137">
        <v>109680.99846390169</v>
      </c>
      <c r="AK88" s="263"/>
      <c r="AL88" s="263"/>
      <c r="AM88" s="263"/>
      <c r="AN88" s="137">
        <v>2818.05</v>
      </c>
      <c r="AO88" s="137"/>
    </row>
    <row r="89" spans="1:41" ht="15.75" hidden="1" x14ac:dyDescent="0.25">
      <c r="G89" s="466">
        <v>493797.88999998569</v>
      </c>
      <c r="H89" s="466">
        <v>493797.8900000155</v>
      </c>
      <c r="I89" s="466">
        <v>2.9802322387695313E-8</v>
      </c>
      <c r="J89" s="117">
        <v>213</v>
      </c>
      <c r="K89" s="111">
        <f>K88*30.2%+0.01</f>
        <v>51515.792119999998</v>
      </c>
      <c r="L89" s="111"/>
      <c r="M89" s="111"/>
      <c r="N89" s="117"/>
      <c r="O89" s="117"/>
      <c r="P89" s="117"/>
      <c r="Q89" s="117"/>
      <c r="R89" s="117"/>
      <c r="S89" s="117"/>
      <c r="T89" s="117"/>
      <c r="U89" s="117"/>
      <c r="V89" s="117"/>
      <c r="W89" s="117"/>
      <c r="X89" s="117"/>
      <c r="Y89" s="117"/>
      <c r="Z89" s="117"/>
      <c r="AA89" s="117"/>
      <c r="AB89" s="117"/>
      <c r="AC89" s="117"/>
      <c r="AD89" s="117"/>
      <c r="AE89" s="117"/>
      <c r="AF89" s="117">
        <v>213</v>
      </c>
      <c r="AG89" s="137">
        <v>33123.660000000003</v>
      </c>
      <c r="AK89" s="263"/>
      <c r="AL89" s="263"/>
      <c r="AM89" s="263"/>
      <c r="AN89" s="137">
        <v>63920</v>
      </c>
      <c r="AO89" s="137"/>
    </row>
    <row r="90" spans="1:41" ht="15.75" hidden="1" x14ac:dyDescent="0.25">
      <c r="G90" s="466" t="b">
        <v>0</v>
      </c>
      <c r="H90" s="466" t="b">
        <v>1</v>
      </c>
      <c r="I90" s="466" t="b">
        <v>0</v>
      </c>
      <c r="J90" s="117">
        <v>226</v>
      </c>
      <c r="K90" s="111">
        <v>176906.04</v>
      </c>
      <c r="L90" s="111"/>
      <c r="M90" s="111"/>
      <c r="N90" s="117"/>
      <c r="O90" s="117"/>
      <c r="P90" s="117"/>
      <c r="Q90" s="111"/>
      <c r="R90" s="111"/>
      <c r="S90" s="111"/>
      <c r="T90" s="111"/>
      <c r="U90" s="117"/>
      <c r="V90" s="117"/>
      <c r="W90" s="117"/>
      <c r="X90" s="117"/>
      <c r="Y90" s="117"/>
      <c r="Z90" s="117"/>
      <c r="AA90" s="117"/>
      <c r="AB90" s="117"/>
      <c r="AC90" s="117"/>
      <c r="AD90" s="117"/>
      <c r="AE90" s="117"/>
      <c r="AG90" s="137">
        <f>SUM(AG88:AG89)</f>
        <v>142804.65846390169</v>
      </c>
      <c r="AK90" s="264">
        <f>AK74</f>
        <v>6652959.8899999857</v>
      </c>
      <c r="AL90" s="264"/>
      <c r="AM90" s="264"/>
      <c r="AN90" s="137">
        <v>1155747.52</v>
      </c>
      <c r="AO90" s="137"/>
    </row>
    <row r="91" spans="1:41" hidden="1" x14ac:dyDescent="0.25">
      <c r="G91" s="117"/>
      <c r="H91" s="117"/>
      <c r="I91" s="117"/>
      <c r="J91" s="117">
        <v>340</v>
      </c>
      <c r="K91" s="111">
        <v>94794</v>
      </c>
      <c r="L91" s="111"/>
      <c r="M91" s="111"/>
      <c r="N91" s="117"/>
      <c r="O91" s="117"/>
      <c r="P91" s="117"/>
      <c r="Q91" s="117"/>
      <c r="R91" s="117"/>
      <c r="S91" s="117"/>
      <c r="T91" s="117"/>
      <c r="U91" s="117"/>
      <c r="V91" s="117"/>
      <c r="W91" s="117"/>
      <c r="X91" s="117"/>
      <c r="Y91" s="117"/>
      <c r="Z91" s="117"/>
      <c r="AA91" s="117"/>
      <c r="AB91" s="117"/>
      <c r="AC91" s="117"/>
      <c r="AD91" s="117"/>
      <c r="AE91" s="117"/>
    </row>
    <row r="92" spans="1:41" s="531" customFormat="1" ht="18.75" hidden="1" x14ac:dyDescent="0.3">
      <c r="C92" s="532"/>
      <c r="H92" s="535">
        <f>H22-H85</f>
        <v>180960396.12999997</v>
      </c>
      <c r="K92" s="533">
        <f>SUM(K88:K91)</f>
        <v>493797.89211999997</v>
      </c>
      <c r="L92" s="533"/>
      <c r="M92" s="533"/>
      <c r="AG92" s="534"/>
      <c r="AH92" s="534"/>
      <c r="AI92" s="534"/>
      <c r="AJ92" s="534"/>
    </row>
    <row r="93" spans="1:41" s="531" customFormat="1" ht="18.75" hidden="1" x14ac:dyDescent="0.3">
      <c r="C93" s="532"/>
      <c r="G93" s="531" t="s">
        <v>450</v>
      </c>
      <c r="H93" s="535">
        <f>212239200+57300000</f>
        <v>269539200</v>
      </c>
      <c r="I93" s="533">
        <f>H93+H85</f>
        <v>270032997.88999999</v>
      </c>
      <c r="K93" s="533"/>
      <c r="L93" s="533"/>
      <c r="M93" s="533"/>
      <c r="AG93" s="534"/>
      <c r="AH93" s="534"/>
      <c r="AI93" s="534"/>
      <c r="AJ93" s="534"/>
    </row>
    <row r="94" spans="1:41" hidden="1" x14ac:dyDescent="0.25">
      <c r="G94" s="117"/>
      <c r="H94" s="111">
        <f>H93-H92</f>
        <v>88578803.870000035</v>
      </c>
      <c r="I94" s="117"/>
      <c r="J94" s="117"/>
      <c r="K94" s="111"/>
      <c r="L94" s="111"/>
      <c r="M94" s="111"/>
      <c r="N94" s="117"/>
      <c r="O94" s="117"/>
      <c r="P94" s="117"/>
      <c r="Q94" s="117"/>
      <c r="R94" s="117"/>
      <c r="S94" s="117"/>
      <c r="T94" s="117"/>
      <c r="U94" s="117"/>
      <c r="V94" s="117"/>
      <c r="W94" s="117"/>
      <c r="X94" s="117"/>
      <c r="Y94" s="117"/>
      <c r="Z94" s="117"/>
      <c r="AA94" s="117"/>
      <c r="AB94" s="117"/>
      <c r="AC94" s="117"/>
      <c r="AD94" s="117"/>
      <c r="AE94" s="117"/>
    </row>
    <row r="95" spans="1:41" hidden="1" x14ac:dyDescent="0.25">
      <c r="G95" s="117"/>
      <c r="H95" s="117"/>
      <c r="I95" s="117"/>
      <c r="J95" s="117"/>
      <c r="K95" s="117"/>
      <c r="L95" s="117"/>
      <c r="M95" s="117"/>
      <c r="N95" s="117"/>
      <c r="O95" s="117"/>
      <c r="P95" s="117"/>
      <c r="Q95" s="117"/>
      <c r="R95" s="117"/>
      <c r="S95" s="117"/>
      <c r="T95" s="117"/>
      <c r="U95" s="117"/>
      <c r="V95" s="117"/>
      <c r="W95" s="117"/>
      <c r="X95" s="117"/>
      <c r="Y95" s="117"/>
      <c r="Z95" s="117"/>
      <c r="AA95" s="117"/>
      <c r="AB95" s="117"/>
      <c r="AC95" s="117"/>
      <c r="AD95" s="117"/>
      <c r="AE95" s="117"/>
    </row>
    <row r="96" spans="1:41" hidden="1" x14ac:dyDescent="0.25">
      <c r="E96" s="111" t="e">
        <f>E44-T44-AI44</f>
        <v>#REF!</v>
      </c>
      <c r="G96" s="117"/>
      <c r="H96" s="117"/>
      <c r="I96" s="117"/>
      <c r="J96" s="117"/>
      <c r="K96" s="117"/>
      <c r="L96" s="117"/>
      <c r="M96" s="117"/>
      <c r="N96" s="117"/>
      <c r="O96" s="117"/>
      <c r="P96" s="117"/>
      <c r="Q96" s="117"/>
      <c r="R96" s="117"/>
      <c r="S96" s="117"/>
      <c r="T96" s="117"/>
      <c r="U96" s="117"/>
      <c r="V96" s="117"/>
      <c r="W96" s="117"/>
      <c r="X96" s="117"/>
      <c r="Y96" s="117"/>
      <c r="Z96" s="117"/>
      <c r="AA96" s="117"/>
      <c r="AB96" s="117"/>
      <c r="AC96" s="117"/>
      <c r="AD96" s="117"/>
      <c r="AE96" s="117"/>
    </row>
    <row r="97" spans="7:31" hidden="1" x14ac:dyDescent="0.25">
      <c r="G97" s="117"/>
      <c r="H97" s="117"/>
      <c r="I97" s="117"/>
      <c r="J97" s="117"/>
      <c r="K97" s="117"/>
      <c r="L97" s="117"/>
      <c r="M97" s="117"/>
      <c r="N97" s="117"/>
      <c r="O97" s="117"/>
      <c r="P97" s="117"/>
      <c r="Q97" s="117"/>
      <c r="R97" s="117"/>
      <c r="S97" s="117"/>
      <c r="T97" s="117"/>
      <c r="U97" s="117"/>
      <c r="V97" s="117"/>
      <c r="W97" s="117"/>
      <c r="X97" s="117"/>
      <c r="Y97" s="117"/>
      <c r="Z97" s="117"/>
      <c r="AA97" s="117"/>
      <c r="AB97" s="117"/>
      <c r="AC97" s="117"/>
      <c r="AD97" s="117"/>
      <c r="AE97" s="117"/>
    </row>
    <row r="98" spans="7:31" x14ac:dyDescent="0.25">
      <c r="G98" s="117"/>
      <c r="H98" s="117"/>
      <c r="I98" s="117"/>
      <c r="J98" s="117"/>
      <c r="K98" s="117"/>
      <c r="L98" s="117"/>
      <c r="M98" s="117"/>
      <c r="N98" s="117"/>
      <c r="O98" s="117"/>
      <c r="P98" s="117"/>
      <c r="Q98" s="117"/>
      <c r="R98" s="117"/>
      <c r="S98" s="117"/>
      <c r="T98" s="117"/>
      <c r="U98" s="117"/>
      <c r="V98" s="117"/>
      <c r="W98" s="117"/>
      <c r="X98" s="117"/>
      <c r="Y98" s="117"/>
      <c r="Z98" s="117"/>
      <c r="AA98" s="117"/>
      <c r="AB98" s="117"/>
      <c r="AC98" s="117"/>
      <c r="AD98" s="117"/>
      <c r="AE98" s="117"/>
    </row>
    <row r="99" spans="7:31" x14ac:dyDescent="0.25">
      <c r="G99" s="117"/>
      <c r="H99" s="117"/>
      <c r="I99" s="117"/>
      <c r="J99" s="117"/>
      <c r="K99" s="117"/>
      <c r="L99" s="117"/>
      <c r="M99" s="117"/>
      <c r="N99" s="117"/>
      <c r="O99" s="117"/>
      <c r="P99" s="117"/>
      <c r="Q99" s="117"/>
      <c r="R99" s="117"/>
      <c r="S99" s="117"/>
      <c r="T99" s="117"/>
      <c r="U99" s="117"/>
      <c r="V99" s="117"/>
      <c r="W99" s="117"/>
      <c r="X99" s="117"/>
      <c r="Y99" s="117"/>
      <c r="Z99" s="117"/>
      <c r="AA99" s="117"/>
      <c r="AB99" s="117"/>
      <c r="AC99" s="117"/>
      <c r="AD99" s="117"/>
      <c r="AE99" s="117"/>
    </row>
    <row r="100" spans="7:31" x14ac:dyDescent="0.25">
      <c r="G100" s="117"/>
      <c r="H100" s="117"/>
      <c r="I100" s="117"/>
      <c r="J100" s="117"/>
      <c r="K100" s="117"/>
      <c r="L100" s="117"/>
      <c r="M100" s="117"/>
      <c r="N100" s="117"/>
      <c r="O100" s="117"/>
      <c r="P100" s="117"/>
      <c r="Q100" s="117"/>
      <c r="R100" s="117"/>
      <c r="S100" s="117"/>
      <c r="T100" s="117"/>
      <c r="U100" s="117"/>
      <c r="V100" s="117"/>
      <c r="W100" s="117"/>
      <c r="X100" s="117"/>
      <c r="Y100" s="117"/>
      <c r="Z100" s="117"/>
      <c r="AA100" s="117"/>
      <c r="AB100" s="117"/>
      <c r="AC100" s="117"/>
      <c r="AD100" s="117"/>
      <c r="AE100" s="117"/>
    </row>
    <row r="101" spans="7:31" x14ac:dyDescent="0.25">
      <c r="G101" s="117"/>
      <c r="H101" s="117"/>
      <c r="I101" s="117"/>
      <c r="J101" s="117"/>
      <c r="K101" s="117"/>
      <c r="L101" s="117"/>
      <c r="M101" s="117"/>
      <c r="N101" s="117"/>
      <c r="O101" s="117"/>
      <c r="P101" s="117"/>
      <c r="Q101" s="117"/>
      <c r="R101" s="117"/>
      <c r="S101" s="117"/>
      <c r="T101" s="117"/>
      <c r="U101" s="117"/>
      <c r="V101" s="117"/>
      <c r="W101" s="117"/>
      <c r="X101" s="117"/>
      <c r="Y101" s="117"/>
      <c r="Z101" s="117"/>
      <c r="AA101" s="117"/>
      <c r="AB101" s="117"/>
      <c r="AC101" s="117"/>
      <c r="AD101" s="117"/>
      <c r="AE101" s="117"/>
    </row>
    <row r="102" spans="7:31" x14ac:dyDescent="0.25">
      <c r="G102" s="117"/>
      <c r="H102" s="117"/>
      <c r="I102" s="117"/>
      <c r="J102" s="117"/>
      <c r="K102" s="117"/>
      <c r="L102" s="117"/>
      <c r="M102" s="117"/>
      <c r="N102" s="117"/>
      <c r="O102" s="117"/>
      <c r="P102" s="117"/>
      <c r="Q102" s="117"/>
      <c r="R102" s="117"/>
      <c r="S102" s="117"/>
      <c r="T102" s="117"/>
      <c r="U102" s="117"/>
      <c r="V102" s="117"/>
      <c r="W102" s="117"/>
      <c r="X102" s="117"/>
      <c r="Y102" s="117"/>
      <c r="Z102" s="117"/>
      <c r="AA102" s="117"/>
      <c r="AB102" s="117"/>
      <c r="AC102" s="117"/>
      <c r="AD102" s="117"/>
      <c r="AE102" s="117"/>
    </row>
    <row r="103" spans="7:31" x14ac:dyDescent="0.25">
      <c r="G103" s="117"/>
      <c r="H103" s="117"/>
      <c r="I103" s="117"/>
      <c r="J103" s="117"/>
      <c r="K103" s="117"/>
      <c r="L103" s="117"/>
      <c r="M103" s="117"/>
      <c r="N103" s="117"/>
      <c r="O103" s="117"/>
      <c r="P103" s="117"/>
      <c r="Q103" s="117"/>
      <c r="R103" s="117"/>
      <c r="S103" s="117"/>
      <c r="T103" s="117"/>
      <c r="U103" s="117"/>
      <c r="V103" s="117"/>
      <c r="W103" s="117"/>
      <c r="X103" s="117"/>
      <c r="Y103" s="117"/>
      <c r="Z103" s="117"/>
      <c r="AA103" s="117"/>
      <c r="AB103" s="117"/>
      <c r="AC103" s="117"/>
      <c r="AD103" s="117"/>
      <c r="AE103" s="117"/>
    </row>
    <row r="104" spans="7:31" x14ac:dyDescent="0.25">
      <c r="G104" s="117"/>
      <c r="H104" s="117"/>
      <c r="I104" s="117"/>
      <c r="J104" s="117"/>
      <c r="K104" s="117"/>
      <c r="L104" s="117"/>
      <c r="M104" s="117"/>
      <c r="N104" s="117"/>
      <c r="O104" s="117"/>
      <c r="P104" s="117"/>
      <c r="Q104" s="117"/>
      <c r="R104" s="117"/>
      <c r="S104" s="117"/>
      <c r="T104" s="117"/>
      <c r="U104" s="117"/>
      <c r="V104" s="117"/>
      <c r="W104" s="117"/>
      <c r="X104" s="117"/>
      <c r="Y104" s="117"/>
      <c r="Z104" s="117"/>
      <c r="AA104" s="117"/>
      <c r="AB104" s="117"/>
      <c r="AC104" s="117"/>
      <c r="AD104" s="117"/>
      <c r="AE104" s="117"/>
    </row>
    <row r="105" spans="7:31" x14ac:dyDescent="0.25">
      <c r="G105" s="117"/>
      <c r="H105" s="117"/>
      <c r="I105" s="117"/>
      <c r="J105" s="117"/>
      <c r="K105" s="117"/>
      <c r="L105" s="117"/>
      <c r="M105" s="117"/>
      <c r="N105" s="117"/>
      <c r="O105" s="117"/>
      <c r="P105" s="117"/>
      <c r="Q105" s="117"/>
      <c r="R105" s="117"/>
      <c r="S105" s="117"/>
      <c r="T105" s="117"/>
      <c r="U105" s="117"/>
      <c r="V105" s="117"/>
      <c r="W105" s="117"/>
      <c r="X105" s="117"/>
      <c r="Y105" s="117"/>
      <c r="Z105" s="117"/>
      <c r="AA105" s="117"/>
      <c r="AB105" s="117"/>
      <c r="AC105" s="117"/>
      <c r="AD105" s="117"/>
      <c r="AE105" s="117"/>
    </row>
    <row r="106" spans="7:31" x14ac:dyDescent="0.25">
      <c r="G106" s="117"/>
      <c r="H106" s="117"/>
      <c r="I106" s="117"/>
      <c r="J106" s="117"/>
      <c r="K106" s="117"/>
      <c r="L106" s="117"/>
      <c r="M106" s="117"/>
      <c r="N106" s="117"/>
      <c r="O106" s="117"/>
      <c r="P106" s="117"/>
      <c r="Q106" s="117"/>
      <c r="R106" s="117"/>
      <c r="S106" s="117"/>
      <c r="T106" s="117"/>
      <c r="U106" s="117"/>
      <c r="V106" s="117"/>
      <c r="W106" s="117"/>
      <c r="X106" s="117"/>
      <c r="Y106" s="117"/>
      <c r="Z106" s="117"/>
      <c r="AA106" s="117"/>
      <c r="AB106" s="117"/>
      <c r="AC106" s="117"/>
      <c r="AD106" s="117"/>
      <c r="AE106" s="117"/>
    </row>
    <row r="107" spans="7:31" x14ac:dyDescent="0.25">
      <c r="G107" s="117"/>
      <c r="H107" s="117"/>
      <c r="I107" s="117"/>
      <c r="J107" s="117"/>
      <c r="K107" s="117"/>
      <c r="L107" s="117"/>
      <c r="M107" s="117"/>
      <c r="N107" s="117"/>
      <c r="O107" s="117"/>
      <c r="P107" s="117"/>
      <c r="Q107" s="117"/>
      <c r="R107" s="117"/>
      <c r="S107" s="117"/>
      <c r="T107" s="117"/>
      <c r="U107" s="117"/>
      <c r="V107" s="117"/>
      <c r="W107" s="117"/>
      <c r="X107" s="117"/>
      <c r="Y107" s="117"/>
      <c r="Z107" s="117"/>
      <c r="AA107" s="117"/>
      <c r="AB107" s="117"/>
      <c r="AC107" s="117"/>
      <c r="AD107" s="117"/>
      <c r="AE107" s="117"/>
    </row>
    <row r="108" spans="7:31" x14ac:dyDescent="0.25">
      <c r="G108" s="117"/>
      <c r="H108" s="117"/>
      <c r="I108" s="117"/>
      <c r="J108" s="117"/>
      <c r="K108" s="117"/>
      <c r="L108" s="117"/>
      <c r="M108" s="117"/>
      <c r="N108" s="117"/>
      <c r="O108" s="117"/>
      <c r="P108" s="117"/>
      <c r="Q108" s="117"/>
      <c r="R108" s="117"/>
      <c r="S108" s="117"/>
      <c r="T108" s="117"/>
      <c r="U108" s="117"/>
      <c r="V108" s="117"/>
      <c r="W108" s="117"/>
      <c r="X108" s="117"/>
      <c r="Y108" s="117"/>
      <c r="Z108" s="117"/>
      <c r="AA108" s="117"/>
      <c r="AB108" s="117"/>
      <c r="AC108" s="117"/>
      <c r="AD108" s="117"/>
      <c r="AE108" s="117"/>
    </row>
    <row r="109" spans="7:31" x14ac:dyDescent="0.25">
      <c r="G109" s="117"/>
      <c r="H109" s="117"/>
      <c r="I109" s="117"/>
      <c r="J109" s="117"/>
      <c r="K109" s="117"/>
      <c r="L109" s="117"/>
      <c r="M109" s="117"/>
      <c r="N109" s="117"/>
      <c r="O109" s="117"/>
      <c r="P109" s="117"/>
      <c r="Q109" s="117"/>
      <c r="R109" s="117"/>
      <c r="S109" s="117"/>
      <c r="T109" s="117"/>
      <c r="U109" s="117"/>
      <c r="V109" s="117"/>
      <c r="W109" s="117"/>
      <c r="X109" s="117"/>
      <c r="Y109" s="117"/>
      <c r="Z109" s="117"/>
      <c r="AA109" s="117"/>
      <c r="AB109" s="117"/>
      <c r="AC109" s="117"/>
      <c r="AD109" s="117"/>
      <c r="AE109" s="117"/>
    </row>
    <row r="110" spans="7:31" x14ac:dyDescent="0.25">
      <c r="G110" s="117"/>
      <c r="H110" s="117"/>
      <c r="I110" s="117"/>
      <c r="J110" s="117"/>
      <c r="K110" s="117"/>
      <c r="L110" s="117"/>
      <c r="M110" s="117"/>
      <c r="N110" s="117"/>
      <c r="O110" s="117"/>
      <c r="P110" s="117"/>
      <c r="Q110" s="117"/>
      <c r="R110" s="117"/>
      <c r="S110" s="117"/>
      <c r="T110" s="117"/>
      <c r="U110" s="117"/>
      <c r="V110" s="117"/>
      <c r="W110" s="117"/>
      <c r="X110" s="117"/>
      <c r="Y110" s="117"/>
      <c r="Z110" s="117"/>
      <c r="AA110" s="117"/>
      <c r="AB110" s="117"/>
      <c r="AC110" s="117"/>
      <c r="AD110" s="117"/>
      <c r="AE110" s="117"/>
    </row>
    <row r="111" spans="7:31" x14ac:dyDescent="0.25">
      <c r="G111" s="117"/>
      <c r="H111" s="117"/>
      <c r="I111" s="117"/>
      <c r="J111" s="117"/>
      <c r="K111" s="117"/>
      <c r="L111" s="117"/>
      <c r="M111" s="117"/>
      <c r="N111" s="117"/>
      <c r="O111" s="117"/>
      <c r="P111" s="117"/>
      <c r="Q111" s="117"/>
      <c r="R111" s="117"/>
      <c r="S111" s="117"/>
      <c r="T111" s="117"/>
      <c r="U111" s="117"/>
      <c r="V111" s="117"/>
      <c r="W111" s="117"/>
      <c r="X111" s="117"/>
      <c r="Y111" s="117"/>
      <c r="Z111" s="117"/>
      <c r="AA111" s="117"/>
      <c r="AB111" s="117"/>
      <c r="AC111" s="117"/>
      <c r="AD111" s="117"/>
      <c r="AE111" s="117"/>
    </row>
    <row r="112" spans="7:31" x14ac:dyDescent="0.25">
      <c r="G112" s="117"/>
      <c r="H112" s="117"/>
      <c r="I112" s="117"/>
      <c r="J112" s="117"/>
      <c r="K112" s="117"/>
      <c r="L112" s="117"/>
      <c r="M112" s="117"/>
      <c r="N112" s="117"/>
      <c r="O112" s="117"/>
      <c r="P112" s="117"/>
      <c r="Q112" s="117"/>
      <c r="R112" s="117"/>
      <c r="S112" s="117"/>
      <c r="T112" s="117"/>
      <c r="U112" s="117"/>
      <c r="V112" s="117"/>
      <c r="W112" s="117"/>
      <c r="X112" s="117"/>
      <c r="Y112" s="117"/>
      <c r="Z112" s="117"/>
      <c r="AA112" s="117"/>
      <c r="AB112" s="117"/>
      <c r="AC112" s="117"/>
      <c r="AD112" s="117"/>
      <c r="AE112" s="117"/>
    </row>
    <row r="113" spans="7:31" x14ac:dyDescent="0.25">
      <c r="G113" s="117"/>
      <c r="H113" s="117"/>
      <c r="I113" s="117"/>
      <c r="J113" s="117"/>
      <c r="K113" s="117"/>
      <c r="L113" s="117"/>
      <c r="M113" s="117"/>
      <c r="N113" s="117"/>
      <c r="O113" s="117"/>
      <c r="P113" s="117"/>
      <c r="Q113" s="117"/>
      <c r="R113" s="117"/>
      <c r="S113" s="117"/>
      <c r="T113" s="117"/>
      <c r="U113" s="117"/>
      <c r="V113" s="117"/>
      <c r="W113" s="117"/>
      <c r="X113" s="117"/>
      <c r="Y113" s="117"/>
      <c r="Z113" s="117"/>
      <c r="AA113" s="117"/>
      <c r="AB113" s="117"/>
      <c r="AC113" s="117"/>
      <c r="AD113" s="117"/>
      <c r="AE113" s="117"/>
    </row>
    <row r="114" spans="7:31" x14ac:dyDescent="0.25">
      <c r="G114" s="117"/>
      <c r="H114" s="117"/>
      <c r="I114" s="117"/>
      <c r="J114" s="117"/>
      <c r="K114" s="117"/>
      <c r="L114" s="117"/>
      <c r="M114" s="117"/>
      <c r="N114" s="117"/>
      <c r="O114" s="117"/>
      <c r="P114" s="117"/>
      <c r="Q114" s="117"/>
      <c r="R114" s="117"/>
      <c r="S114" s="117"/>
      <c r="T114" s="117"/>
      <c r="U114" s="117"/>
      <c r="V114" s="117"/>
      <c r="W114" s="117"/>
      <c r="X114" s="117"/>
      <c r="Y114" s="117"/>
      <c r="Z114" s="117"/>
      <c r="AA114" s="117"/>
      <c r="AB114" s="117"/>
      <c r="AC114" s="117"/>
      <c r="AD114" s="117"/>
      <c r="AE114" s="117"/>
    </row>
    <row r="115" spans="7:31" x14ac:dyDescent="0.25">
      <c r="G115" s="117"/>
      <c r="H115" s="117"/>
      <c r="I115" s="117"/>
      <c r="J115" s="117"/>
      <c r="K115" s="117"/>
      <c r="L115" s="117"/>
      <c r="M115" s="117"/>
      <c r="N115" s="117"/>
      <c r="O115" s="117"/>
      <c r="P115" s="117"/>
      <c r="Q115" s="117"/>
      <c r="R115" s="117"/>
      <c r="S115" s="117"/>
      <c r="T115" s="117"/>
      <c r="U115" s="117"/>
      <c r="V115" s="117"/>
      <c r="W115" s="117"/>
      <c r="X115" s="117"/>
      <c r="Y115" s="117"/>
      <c r="Z115" s="117"/>
      <c r="AA115" s="117"/>
      <c r="AB115" s="117"/>
      <c r="AC115" s="117"/>
      <c r="AD115" s="117"/>
      <c r="AE115" s="117"/>
    </row>
    <row r="116" spans="7:31" x14ac:dyDescent="0.25">
      <c r="G116" s="117"/>
      <c r="H116" s="117"/>
      <c r="I116" s="117"/>
      <c r="J116" s="117"/>
      <c r="K116" s="117"/>
      <c r="L116" s="117"/>
      <c r="M116" s="117"/>
      <c r="N116" s="117"/>
      <c r="O116" s="117"/>
      <c r="P116" s="117"/>
      <c r="Q116" s="117"/>
      <c r="R116" s="117"/>
      <c r="S116" s="117"/>
      <c r="T116" s="117"/>
      <c r="U116" s="117"/>
      <c r="V116" s="117"/>
      <c r="W116" s="117"/>
      <c r="X116" s="117"/>
      <c r="Y116" s="117"/>
      <c r="Z116" s="117"/>
      <c r="AA116" s="117"/>
      <c r="AB116" s="117"/>
      <c r="AC116" s="117"/>
      <c r="AD116" s="117"/>
      <c r="AE116" s="117"/>
    </row>
    <row r="117" spans="7:31" x14ac:dyDescent="0.25">
      <c r="G117" s="117"/>
      <c r="H117" s="117"/>
      <c r="I117" s="117"/>
      <c r="J117" s="117"/>
      <c r="K117" s="117"/>
      <c r="L117" s="117"/>
      <c r="M117" s="117"/>
      <c r="N117" s="117"/>
      <c r="O117" s="117"/>
      <c r="P117" s="117"/>
      <c r="Q117" s="117"/>
      <c r="R117" s="117"/>
      <c r="S117" s="117"/>
      <c r="T117" s="117"/>
      <c r="U117" s="117"/>
      <c r="V117" s="117"/>
      <c r="W117" s="117"/>
      <c r="X117" s="117"/>
      <c r="Y117" s="117"/>
      <c r="Z117" s="117"/>
      <c r="AA117" s="117"/>
      <c r="AB117" s="117"/>
      <c r="AC117" s="117"/>
      <c r="AD117" s="117"/>
      <c r="AE117" s="117"/>
    </row>
    <row r="118" spans="7:31" x14ac:dyDescent="0.25">
      <c r="G118" s="117"/>
      <c r="H118" s="117"/>
      <c r="I118" s="117"/>
      <c r="J118" s="117"/>
      <c r="K118" s="117"/>
      <c r="L118" s="117"/>
      <c r="M118" s="117"/>
      <c r="N118" s="117"/>
      <c r="O118" s="117"/>
      <c r="P118" s="117"/>
      <c r="Q118" s="117"/>
      <c r="R118" s="117"/>
      <c r="S118" s="117"/>
      <c r="T118" s="117"/>
      <c r="U118" s="117"/>
      <c r="V118" s="117"/>
      <c r="W118" s="117"/>
      <c r="X118" s="117"/>
      <c r="Y118" s="117"/>
      <c r="Z118" s="117"/>
      <c r="AA118" s="117"/>
      <c r="AB118" s="117"/>
      <c r="AC118" s="117"/>
      <c r="AD118" s="117"/>
      <c r="AE118" s="117"/>
    </row>
    <row r="119" spans="7:31" x14ac:dyDescent="0.25">
      <c r="G119" s="117"/>
      <c r="H119" s="117"/>
      <c r="I119" s="117"/>
      <c r="J119" s="117"/>
      <c r="K119" s="117"/>
      <c r="L119" s="117"/>
      <c r="M119" s="117"/>
      <c r="N119" s="117"/>
      <c r="O119" s="117"/>
      <c r="P119" s="117"/>
      <c r="Q119" s="117"/>
      <c r="R119" s="117"/>
      <c r="S119" s="117"/>
      <c r="T119" s="117"/>
      <c r="U119" s="117"/>
      <c r="V119" s="117"/>
      <c r="W119" s="117"/>
      <c r="X119" s="117"/>
      <c r="Y119" s="117"/>
      <c r="Z119" s="117"/>
      <c r="AA119" s="117"/>
      <c r="AB119" s="117"/>
      <c r="AC119" s="117"/>
      <c r="AD119" s="117"/>
      <c r="AE119" s="117"/>
    </row>
    <row r="120" spans="7:31" x14ac:dyDescent="0.25">
      <c r="G120" s="117"/>
      <c r="H120" s="117"/>
      <c r="I120" s="117"/>
      <c r="J120" s="117"/>
      <c r="K120" s="117"/>
      <c r="L120" s="117"/>
      <c r="M120" s="117"/>
      <c r="N120" s="117"/>
      <c r="O120" s="117"/>
      <c r="P120" s="117"/>
      <c r="Q120" s="117"/>
      <c r="R120" s="117"/>
      <c r="S120" s="117"/>
      <c r="T120" s="117"/>
      <c r="U120" s="117"/>
      <c r="V120" s="117"/>
      <c r="W120" s="117"/>
      <c r="X120" s="117"/>
      <c r="Y120" s="117"/>
      <c r="Z120" s="117"/>
      <c r="AA120" s="117"/>
      <c r="AB120" s="117"/>
      <c r="AC120" s="117"/>
      <c r="AD120" s="117"/>
      <c r="AE120" s="117"/>
    </row>
    <row r="121" spans="7:31" x14ac:dyDescent="0.25">
      <c r="G121" s="117"/>
      <c r="H121" s="117"/>
      <c r="I121" s="117"/>
      <c r="J121" s="117"/>
      <c r="K121" s="117"/>
      <c r="L121" s="117"/>
      <c r="M121" s="117"/>
      <c r="N121" s="117"/>
      <c r="O121" s="117"/>
      <c r="P121" s="117"/>
      <c r="Q121" s="117"/>
      <c r="R121" s="117"/>
      <c r="S121" s="117"/>
      <c r="T121" s="117"/>
      <c r="U121" s="117"/>
      <c r="V121" s="117"/>
      <c r="W121" s="117"/>
      <c r="X121" s="117"/>
      <c r="Y121" s="117"/>
      <c r="Z121" s="117"/>
      <c r="AA121" s="117"/>
      <c r="AB121" s="117"/>
      <c r="AC121" s="117"/>
      <c r="AD121" s="117"/>
      <c r="AE121" s="117"/>
    </row>
  </sheetData>
  <mergeCells count="44">
    <mergeCell ref="B35:B39"/>
    <mergeCell ref="AE7:AE8"/>
    <mergeCell ref="AF7:AF8"/>
    <mergeCell ref="AG7:AG8"/>
    <mergeCell ref="AB7:AB8"/>
    <mergeCell ref="AC7:AC8"/>
    <mergeCell ref="AD7:AD8"/>
    <mergeCell ref="U7:U8"/>
    <mergeCell ref="V7:V8"/>
    <mergeCell ref="W7:W8"/>
    <mergeCell ref="X7:X8"/>
    <mergeCell ref="Y7:Y8"/>
    <mergeCell ref="B25:B27"/>
    <mergeCell ref="B28:B31"/>
    <mergeCell ref="S7:S8"/>
    <mergeCell ref="E6:E8"/>
    <mergeCell ref="G6:AO6"/>
    <mergeCell ref="G7:G8"/>
    <mergeCell ref="H7:H8"/>
    <mergeCell ref="AH7:AO8"/>
    <mergeCell ref="Z7:AA7"/>
    <mergeCell ref="B41:B43"/>
    <mergeCell ref="B44:B45"/>
    <mergeCell ref="A51:A54"/>
    <mergeCell ref="C51:C53"/>
    <mergeCell ref="T7:T8"/>
    <mergeCell ref="A30:A31"/>
    <mergeCell ref="I7:I8"/>
    <mergeCell ref="J7:P7"/>
    <mergeCell ref="Q7:Q8"/>
    <mergeCell ref="R7:R8"/>
    <mergeCell ref="A5:A8"/>
    <mergeCell ref="B5:B8"/>
    <mergeCell ref="C5:C8"/>
    <mergeCell ref="D5:AO5"/>
    <mergeCell ref="D6:D8"/>
    <mergeCell ref="F6:F8"/>
    <mergeCell ref="A64:A65"/>
    <mergeCell ref="B64:B65"/>
    <mergeCell ref="A55:A58"/>
    <mergeCell ref="C55:C57"/>
    <mergeCell ref="A59:A60"/>
    <mergeCell ref="A61:A62"/>
    <mergeCell ref="B61:B62"/>
  </mergeCells>
  <pageMargins left="0.19685039370078741" right="0.19685039370078741" top="0.31496062992125984" bottom="0.15748031496062992" header="0.19685039370078741" footer="0.15748031496062992"/>
  <pageSetup paperSize="9" scale="34" orientation="portrait" r:id="rId1"/>
  <rowBreaks count="1" manualBreakCount="1">
    <brk id="34" max="38" man="1"/>
  </rowBreaks>
  <legacy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50"/>
    <pageSetUpPr fitToPage="1"/>
  </sheetPr>
  <dimension ref="A1:CH121"/>
  <sheetViews>
    <sheetView showZeros="0" zoomScale="70" zoomScaleNormal="70" zoomScaleSheetLayoutView="100" workbookViewId="0">
      <pane xSplit="3" ySplit="9" topLeftCell="O10" activePane="bottomRight" state="frozen"/>
      <selection pane="topRight" activeCell="D1" sqref="D1"/>
      <selection pane="bottomLeft" activeCell="A10" sqref="A10"/>
      <selection pane="bottomRight" activeCell="AV39" sqref="AV39"/>
    </sheetView>
  </sheetViews>
  <sheetFormatPr defaultColWidth="9.140625" defaultRowHeight="18.75" x14ac:dyDescent="0.3"/>
  <cols>
    <col min="1" max="1" width="45" style="117" customWidth="1"/>
    <col min="2" max="2" width="9" style="117" customWidth="1"/>
    <col min="3" max="3" width="17.85546875" style="124" customWidth="1"/>
    <col min="4" max="6" width="18.42578125" style="117" hidden="1" customWidth="1"/>
    <col min="7" max="9" width="18.85546875" style="155" hidden="1" customWidth="1"/>
    <col min="10" max="10" width="18.85546875" style="155" customWidth="1"/>
    <col min="11" max="19" width="18.28515625" style="155" customWidth="1"/>
    <col min="20" max="23" width="18.28515625" style="155" hidden="1" customWidth="1"/>
    <col min="24" max="24" width="20.28515625" style="152" hidden="1" customWidth="1"/>
    <col min="25" max="26" width="24.140625" style="152" hidden="1" customWidth="1"/>
    <col min="27" max="40" width="20.28515625" style="152" hidden="1" customWidth="1"/>
    <col min="41" max="41" width="16.7109375" style="117" hidden="1" customWidth="1"/>
    <col min="42" max="43" width="16.7109375" style="125" hidden="1" customWidth="1"/>
    <col min="44" max="44" width="23.5703125" style="125" hidden="1" customWidth="1"/>
    <col min="45" max="45" width="15" style="125" hidden="1" customWidth="1"/>
    <col min="46" max="46" width="17.5703125" style="117" hidden="1" customWidth="1"/>
    <col min="47" max="56" width="17.5703125" style="117" customWidth="1"/>
    <col min="57" max="60" width="17.5703125" style="117" hidden="1" customWidth="1"/>
    <col min="61" max="61" width="18" style="117" hidden="1" customWidth="1"/>
    <col min="62" max="62" width="9.5703125" style="117" hidden="1" customWidth="1"/>
    <col min="63" max="63" width="22.42578125" style="117" customWidth="1"/>
    <col min="64" max="64" width="17.140625" style="117" customWidth="1"/>
    <col min="65" max="65" width="15.140625" style="117" customWidth="1"/>
    <col min="66" max="66" width="18.140625" style="117" customWidth="1"/>
    <col min="67" max="67" width="18.85546875" style="117" customWidth="1"/>
    <col min="68" max="68" width="19.85546875" style="117" customWidth="1"/>
    <col min="69" max="69" width="15.140625" style="117" customWidth="1"/>
    <col min="70" max="70" width="22.85546875" style="117" customWidth="1"/>
    <col min="71" max="71" width="20.28515625" style="117" customWidth="1"/>
    <col min="72" max="73" width="21" style="117" customWidth="1"/>
    <col min="74" max="75" width="15.140625" style="117" customWidth="1"/>
    <col min="76" max="78" width="22" style="531" customWidth="1"/>
    <col min="79" max="79" width="21.140625" style="531" customWidth="1"/>
    <col min="80" max="80" width="21.140625" style="602" customWidth="1"/>
    <col min="81" max="81" width="20" style="117" customWidth="1"/>
    <col min="82" max="82" width="18" style="117" customWidth="1"/>
    <col min="83" max="83" width="21.7109375" style="117" customWidth="1"/>
    <col min="84" max="84" width="14.42578125" style="117" customWidth="1"/>
    <col min="85" max="85" width="13.5703125" style="117" customWidth="1"/>
    <col min="86" max="86" width="15" style="117" customWidth="1"/>
    <col min="87" max="16384" width="9.140625" style="117"/>
  </cols>
  <sheetData>
    <row r="1" spans="1:86" x14ac:dyDescent="0.3">
      <c r="A1" s="123" t="s">
        <v>131</v>
      </c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1"/>
      <c r="Y1" s="111"/>
      <c r="Z1" s="111"/>
      <c r="AA1" s="111"/>
      <c r="AB1" s="111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</row>
    <row r="2" spans="1:86" x14ac:dyDescent="0.3">
      <c r="A2" s="126" t="s">
        <v>132</v>
      </c>
      <c r="G2" s="117"/>
      <c r="H2" s="117"/>
      <c r="I2" s="117"/>
      <c r="J2" s="117"/>
      <c r="K2" s="117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1"/>
      <c r="Y2" s="111"/>
      <c r="Z2" s="111"/>
      <c r="AA2" s="111"/>
      <c r="AB2" s="111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BK2" s="127" t="s">
        <v>240</v>
      </c>
      <c r="BL2" s="127" t="s">
        <v>241</v>
      </c>
    </row>
    <row r="3" spans="1:86" s="581" customFormat="1" x14ac:dyDescent="0.3">
      <c r="A3" s="580"/>
      <c r="C3" s="582"/>
      <c r="E3" s="583">
        <f>E22-E10+E75</f>
        <v>723849472.9400003</v>
      </c>
      <c r="F3" s="583"/>
      <c r="I3" s="583">
        <f>H10-H22</f>
        <v>-493797.88999998569</v>
      </c>
      <c r="X3" s="583">
        <f>X10-X22</f>
        <v>-667402462.69000006</v>
      </c>
      <c r="Y3" s="583">
        <f>X3+X74</f>
        <v>49011428.339999914</v>
      </c>
      <c r="Z3" s="583"/>
      <c r="AA3" s="583"/>
      <c r="AB3" s="583"/>
      <c r="AC3" s="584"/>
      <c r="AD3" s="584"/>
      <c r="AP3" s="585"/>
      <c r="AQ3" s="585"/>
      <c r="AR3" s="585"/>
      <c r="AS3" s="585"/>
      <c r="AT3" s="583"/>
      <c r="AU3" s="583"/>
      <c r="AV3" s="583"/>
      <c r="AW3" s="583"/>
      <c r="AX3" s="583"/>
      <c r="AY3" s="583"/>
      <c r="AZ3" s="583"/>
      <c r="BA3" s="583"/>
      <c r="BB3" s="583"/>
      <c r="BC3" s="583"/>
      <c r="BD3" s="583"/>
      <c r="BE3" s="583"/>
      <c r="BX3" s="603"/>
      <c r="BY3" s="603"/>
      <c r="BZ3" s="603"/>
      <c r="CA3" s="603"/>
      <c r="CB3" s="606"/>
    </row>
    <row r="4" spans="1:86" s="581" customFormat="1" ht="19.5" thickBot="1" x14ac:dyDescent="0.35">
      <c r="A4" s="586"/>
      <c r="C4" s="582"/>
      <c r="T4" s="583">
        <f>K10+U10</f>
        <v>170867100</v>
      </c>
      <c r="U4" s="581">
        <f>T4/2906.41</f>
        <v>58789.744048499699</v>
      </c>
      <c r="V4" s="583">
        <f>L10+V10</f>
        <v>170867100</v>
      </c>
      <c r="AP4" s="585"/>
      <c r="AQ4" s="585"/>
      <c r="AR4" s="585"/>
      <c r="AS4" s="585"/>
      <c r="AT4" s="583"/>
      <c r="AU4" s="583"/>
      <c r="AV4" s="583"/>
      <c r="AW4" s="583"/>
      <c r="AX4" s="583"/>
      <c r="AY4" s="583"/>
      <c r="AZ4" s="583"/>
      <c r="BA4" s="583"/>
      <c r="BB4" s="583"/>
      <c r="BC4" s="583"/>
      <c r="BD4" s="583"/>
      <c r="BE4" s="583"/>
      <c r="BX4" s="603"/>
      <c r="BY4" s="603"/>
      <c r="BZ4" s="603"/>
      <c r="CA4" s="603"/>
      <c r="CB4" s="606"/>
    </row>
    <row r="5" spans="1:86" ht="19.5" thickBot="1" x14ac:dyDescent="0.35">
      <c r="A5" s="1453" t="s">
        <v>88</v>
      </c>
      <c r="B5" s="1439" t="s">
        <v>133</v>
      </c>
      <c r="C5" s="1440" t="s">
        <v>134</v>
      </c>
      <c r="D5" s="1573" t="s">
        <v>135</v>
      </c>
      <c r="E5" s="1574"/>
      <c r="F5" s="1574"/>
      <c r="G5" s="1574"/>
      <c r="H5" s="1574"/>
      <c r="I5" s="1574"/>
      <c r="J5" s="1574"/>
      <c r="K5" s="1574"/>
      <c r="L5" s="1574"/>
      <c r="M5" s="1574"/>
      <c r="N5" s="1574"/>
      <c r="O5" s="1574"/>
      <c r="P5" s="1574"/>
      <c r="Q5" s="1574"/>
      <c r="R5" s="1574"/>
      <c r="S5" s="1574"/>
      <c r="T5" s="1574"/>
      <c r="U5" s="1574"/>
      <c r="V5" s="1574"/>
      <c r="W5" s="1574"/>
      <c r="X5" s="1574"/>
      <c r="Y5" s="1574"/>
      <c r="Z5" s="1574"/>
      <c r="AA5" s="1574"/>
      <c r="AB5" s="1574"/>
      <c r="AC5" s="1574"/>
      <c r="AD5" s="1574"/>
      <c r="AE5" s="1574"/>
      <c r="AF5" s="1574"/>
      <c r="AG5" s="1574"/>
      <c r="AH5" s="1574"/>
      <c r="AI5" s="1574"/>
      <c r="AJ5" s="1574"/>
      <c r="AK5" s="1574"/>
      <c r="AL5" s="1574"/>
      <c r="AM5" s="1574"/>
      <c r="AN5" s="1574"/>
      <c r="AO5" s="1574"/>
      <c r="AP5" s="1574"/>
      <c r="AQ5" s="1574"/>
      <c r="AR5" s="1574"/>
      <c r="AS5" s="1574"/>
      <c r="AT5" s="1574"/>
      <c r="AU5" s="1574"/>
      <c r="AV5" s="1574"/>
      <c r="AW5" s="1574"/>
      <c r="AX5" s="1574"/>
      <c r="AY5" s="1574"/>
      <c r="AZ5" s="1574"/>
      <c r="BA5" s="1574"/>
      <c r="BB5" s="1574"/>
      <c r="BC5" s="1574"/>
      <c r="BD5" s="1574"/>
      <c r="BE5" s="1574"/>
      <c r="BF5" s="1574"/>
      <c r="BG5" s="1574"/>
      <c r="BH5" s="1574"/>
      <c r="BI5" s="1575"/>
    </row>
    <row r="6" spans="1:86" ht="15.75" customHeight="1" thickBot="1" x14ac:dyDescent="0.35">
      <c r="A6" s="1454"/>
      <c r="B6" s="1383"/>
      <c r="C6" s="1441"/>
      <c r="D6" s="1442" t="s">
        <v>136</v>
      </c>
      <c r="E6" s="1439" t="s">
        <v>402</v>
      </c>
      <c r="F6" s="1440" t="s">
        <v>395</v>
      </c>
      <c r="G6" s="1573" t="s">
        <v>137</v>
      </c>
      <c r="H6" s="1574"/>
      <c r="I6" s="1574"/>
      <c r="J6" s="1574"/>
      <c r="K6" s="1574"/>
      <c r="L6" s="1574"/>
      <c r="M6" s="1574"/>
      <c r="N6" s="1574"/>
      <c r="O6" s="1574"/>
      <c r="P6" s="1574"/>
      <c r="Q6" s="1574"/>
      <c r="R6" s="1574"/>
      <c r="S6" s="1574"/>
      <c r="T6" s="1574"/>
      <c r="U6" s="1574"/>
      <c r="V6" s="1574"/>
      <c r="W6" s="1574"/>
      <c r="X6" s="1574"/>
      <c r="Y6" s="1574"/>
      <c r="Z6" s="1574"/>
      <c r="AA6" s="1574"/>
      <c r="AB6" s="1574"/>
      <c r="AC6" s="1574"/>
      <c r="AD6" s="1574"/>
      <c r="AE6" s="1574"/>
      <c r="AF6" s="1574"/>
      <c r="AG6" s="1574"/>
      <c r="AH6" s="1574"/>
      <c r="AI6" s="1574"/>
      <c r="AJ6" s="1574"/>
      <c r="AK6" s="1574"/>
      <c r="AL6" s="1574"/>
      <c r="AM6" s="1574"/>
      <c r="AN6" s="1574"/>
      <c r="AO6" s="1574"/>
      <c r="AP6" s="1574"/>
      <c r="AQ6" s="1574"/>
      <c r="AR6" s="1574"/>
      <c r="AS6" s="1574"/>
      <c r="AT6" s="1574"/>
      <c r="AU6" s="1574"/>
      <c r="AV6" s="1574"/>
      <c r="AW6" s="1574"/>
      <c r="AX6" s="1574"/>
      <c r="AY6" s="1574"/>
      <c r="AZ6" s="1574"/>
      <c r="BA6" s="1574"/>
      <c r="BB6" s="1574"/>
      <c r="BC6" s="1574"/>
      <c r="BD6" s="1574"/>
      <c r="BE6" s="1574"/>
      <c r="BF6" s="1574"/>
      <c r="BG6" s="1574"/>
      <c r="BH6" s="1574"/>
      <c r="BI6" s="1575"/>
    </row>
    <row r="7" spans="1:86" ht="96" customHeight="1" thickBot="1" x14ac:dyDescent="0.35">
      <c r="A7" s="1454"/>
      <c r="B7" s="1383"/>
      <c r="C7" s="1441"/>
      <c r="D7" s="1443"/>
      <c r="E7" s="1383"/>
      <c r="F7" s="1441"/>
      <c r="G7" s="1427" t="s">
        <v>138</v>
      </c>
      <c r="H7" s="1434" t="s">
        <v>397</v>
      </c>
      <c r="I7" s="1437" t="s">
        <v>395</v>
      </c>
      <c r="J7" s="1433" t="s">
        <v>363</v>
      </c>
      <c r="K7" s="1433"/>
      <c r="L7" s="1433"/>
      <c r="M7" s="1433"/>
      <c r="N7" s="1433"/>
      <c r="O7" s="1433"/>
      <c r="P7" s="1433"/>
      <c r="Q7" s="1433"/>
      <c r="R7" s="1433"/>
      <c r="S7" s="1433"/>
      <c r="T7" s="1433"/>
      <c r="U7" s="1433"/>
      <c r="V7" s="1433"/>
      <c r="W7" s="1433"/>
      <c r="X7" s="1448" t="s">
        <v>140</v>
      </c>
      <c r="Y7" s="1449" t="s">
        <v>403</v>
      </c>
      <c r="Z7" s="1451" t="s">
        <v>395</v>
      </c>
      <c r="AA7" s="1567" t="s">
        <v>360</v>
      </c>
      <c r="AB7" s="1425" t="s">
        <v>359</v>
      </c>
      <c r="AC7" s="1449" t="s">
        <v>405</v>
      </c>
      <c r="AD7" s="1451" t="s">
        <v>395</v>
      </c>
      <c r="AE7" s="1572" t="s">
        <v>253</v>
      </c>
      <c r="AF7" s="1448" t="s">
        <v>142</v>
      </c>
      <c r="AG7" s="1449" t="s">
        <v>404</v>
      </c>
      <c r="AH7" s="1451" t="s">
        <v>395</v>
      </c>
      <c r="AI7" s="1448" t="s">
        <v>488</v>
      </c>
      <c r="AJ7" s="1449" t="s">
        <v>489</v>
      </c>
      <c r="AK7" s="1451" t="s">
        <v>395</v>
      </c>
      <c r="AL7" s="1448" t="s">
        <v>490</v>
      </c>
      <c r="AM7" s="1449" t="s">
        <v>491</v>
      </c>
      <c r="AN7" s="1451" t="s">
        <v>395</v>
      </c>
      <c r="AO7" s="1465" t="s">
        <v>143</v>
      </c>
      <c r="AP7" s="1467" t="s">
        <v>144</v>
      </c>
      <c r="AQ7" s="1568" t="s">
        <v>145</v>
      </c>
      <c r="AR7" s="1569"/>
      <c r="AS7" s="1569"/>
      <c r="AT7" s="1570"/>
      <c r="AU7" s="1570"/>
      <c r="AV7" s="1570"/>
      <c r="AW7" s="1570"/>
      <c r="AX7" s="1570"/>
      <c r="AY7" s="1570"/>
      <c r="AZ7" s="1570"/>
      <c r="BA7" s="1570"/>
      <c r="BB7" s="1570"/>
      <c r="BC7" s="1570"/>
      <c r="BD7" s="1570"/>
      <c r="BE7" s="1570"/>
      <c r="BF7" s="1570"/>
      <c r="BG7" s="1570"/>
      <c r="BH7" s="1570"/>
      <c r="BI7" s="1571"/>
      <c r="BR7" s="1463" t="s">
        <v>506</v>
      </c>
      <c r="BS7" s="1464"/>
      <c r="BT7" s="1463" t="s">
        <v>197</v>
      </c>
      <c r="BU7" s="1464"/>
      <c r="CB7" s="1463" t="s">
        <v>506</v>
      </c>
      <c r="CC7" s="1464"/>
      <c r="CD7" s="1463" t="s">
        <v>197</v>
      </c>
      <c r="CE7" s="1464"/>
    </row>
    <row r="8" spans="1:86" ht="114.75" customHeight="1" x14ac:dyDescent="0.3">
      <c r="A8" s="1454"/>
      <c r="B8" s="1383"/>
      <c r="C8" s="1441"/>
      <c r="D8" s="1443"/>
      <c r="E8" s="1383"/>
      <c r="F8" s="1441"/>
      <c r="G8" s="1428"/>
      <c r="H8" s="1435"/>
      <c r="I8" s="1512"/>
      <c r="J8" s="312" t="s">
        <v>235</v>
      </c>
      <c r="K8" s="288" t="s">
        <v>365</v>
      </c>
      <c r="L8" s="289" t="s">
        <v>398</v>
      </c>
      <c r="M8" s="665" t="s">
        <v>546</v>
      </c>
      <c r="N8" s="665" t="s">
        <v>547</v>
      </c>
      <c r="O8" s="665" t="s">
        <v>548</v>
      </c>
      <c r="P8" s="665" t="s">
        <v>551</v>
      </c>
      <c r="Q8" s="665" t="s">
        <v>552</v>
      </c>
      <c r="R8" s="665" t="s">
        <v>549</v>
      </c>
      <c r="S8" s="665" t="s">
        <v>550</v>
      </c>
      <c r="T8" s="290" t="s">
        <v>395</v>
      </c>
      <c r="U8" s="288" t="s">
        <v>366</v>
      </c>
      <c r="V8" s="311" t="s">
        <v>399</v>
      </c>
      <c r="W8" s="363" t="s">
        <v>396</v>
      </c>
      <c r="X8" s="1430"/>
      <c r="Y8" s="1426"/>
      <c r="Z8" s="1445"/>
      <c r="AA8" s="1432"/>
      <c r="AB8" s="1426"/>
      <c r="AC8" s="1450"/>
      <c r="AD8" s="1452"/>
      <c r="AE8" s="1470"/>
      <c r="AF8" s="1430"/>
      <c r="AG8" s="1450"/>
      <c r="AH8" s="1452"/>
      <c r="AI8" s="1430"/>
      <c r="AJ8" s="1450"/>
      <c r="AK8" s="1452"/>
      <c r="AL8" s="1430"/>
      <c r="AM8" s="1450"/>
      <c r="AN8" s="1452"/>
      <c r="AO8" s="1466"/>
      <c r="AP8" s="1468"/>
      <c r="AQ8" s="329" t="s">
        <v>364</v>
      </c>
      <c r="AR8" s="330" t="s">
        <v>406</v>
      </c>
      <c r="AS8" s="331" t="s">
        <v>395</v>
      </c>
      <c r="AT8" s="389" t="s">
        <v>139</v>
      </c>
      <c r="AU8" s="678" t="s">
        <v>553</v>
      </c>
      <c r="AV8" s="678" t="s">
        <v>554</v>
      </c>
      <c r="AW8" s="330" t="s">
        <v>401</v>
      </c>
      <c r="AX8" s="330" t="s">
        <v>546</v>
      </c>
      <c r="AY8" s="330" t="s">
        <v>547</v>
      </c>
      <c r="AZ8" s="330" t="s">
        <v>548</v>
      </c>
      <c r="BA8" s="330" t="s">
        <v>551</v>
      </c>
      <c r="BB8" s="330" t="s">
        <v>552</v>
      </c>
      <c r="BC8" s="330" t="s">
        <v>549</v>
      </c>
      <c r="BD8" s="330" t="s">
        <v>550</v>
      </c>
      <c r="BE8" s="351" t="s">
        <v>395</v>
      </c>
      <c r="BF8" s="329" t="s">
        <v>146</v>
      </c>
      <c r="BG8" s="330" t="s">
        <v>400</v>
      </c>
      <c r="BH8" s="331" t="s">
        <v>395</v>
      </c>
      <c r="BI8" s="537" t="s">
        <v>147</v>
      </c>
      <c r="BN8" s="608" t="s">
        <v>507</v>
      </c>
      <c r="BO8" s="627" t="s">
        <v>508</v>
      </c>
      <c r="BP8" s="627" t="s">
        <v>395</v>
      </c>
      <c r="BQ8" s="627" t="s">
        <v>509</v>
      </c>
      <c r="BR8" s="612" t="s">
        <v>505</v>
      </c>
      <c r="BS8" s="613" t="s">
        <v>395</v>
      </c>
      <c r="BT8" s="612" t="s">
        <v>505</v>
      </c>
      <c r="BU8" s="613" t="s">
        <v>395</v>
      </c>
      <c r="BX8" s="608" t="s">
        <v>507</v>
      </c>
      <c r="BY8" s="627" t="s">
        <v>508</v>
      </c>
      <c r="BZ8" s="627" t="s">
        <v>395</v>
      </c>
      <c r="CA8" s="627" t="s">
        <v>509</v>
      </c>
      <c r="CB8" s="612" t="s">
        <v>505</v>
      </c>
      <c r="CC8" s="613" t="s">
        <v>395</v>
      </c>
      <c r="CD8" s="612" t="s">
        <v>505</v>
      </c>
      <c r="CE8" s="613" t="s">
        <v>395</v>
      </c>
    </row>
    <row r="9" spans="1:86" x14ac:dyDescent="0.3">
      <c r="A9" s="408">
        <v>1</v>
      </c>
      <c r="B9" s="661">
        <v>2</v>
      </c>
      <c r="C9" s="664">
        <v>3</v>
      </c>
      <c r="D9" s="429">
        <v>4</v>
      </c>
      <c r="E9" s="661"/>
      <c r="F9" s="409"/>
      <c r="G9" s="282">
        <v>5</v>
      </c>
      <c r="H9" s="156"/>
      <c r="I9" s="292"/>
      <c r="J9" s="313"/>
      <c r="K9" s="291"/>
      <c r="L9" s="156"/>
      <c r="M9" s="666"/>
      <c r="N9" s="666"/>
      <c r="O9" s="666"/>
      <c r="P9" s="666"/>
      <c r="Q9" s="666"/>
      <c r="R9" s="666"/>
      <c r="S9" s="666"/>
      <c r="T9" s="292"/>
      <c r="U9" s="291"/>
      <c r="V9" s="282"/>
      <c r="W9" s="364"/>
      <c r="X9" s="275">
        <v>6</v>
      </c>
      <c r="Y9" s="306"/>
      <c r="Z9" s="371"/>
      <c r="AA9" s="524"/>
      <c r="AB9" s="522"/>
      <c r="AC9" s="385"/>
      <c r="AD9" s="387"/>
      <c r="AE9" s="414"/>
      <c r="AF9" s="386"/>
      <c r="AG9" s="385"/>
      <c r="AH9" s="387"/>
      <c r="AI9" s="386"/>
      <c r="AJ9" s="385"/>
      <c r="AK9" s="387"/>
      <c r="AL9" s="386"/>
      <c r="AM9" s="385"/>
      <c r="AN9" s="387"/>
      <c r="AO9" s="421">
        <v>7</v>
      </c>
      <c r="AP9" s="391">
        <v>8</v>
      </c>
      <c r="AQ9" s="403">
        <v>9</v>
      </c>
      <c r="AR9" s="405"/>
      <c r="AS9" s="404"/>
      <c r="AT9" s="400"/>
      <c r="AU9" s="679"/>
      <c r="AV9" s="679"/>
      <c r="AW9" s="350"/>
      <c r="AX9" s="350"/>
      <c r="AY9" s="350"/>
      <c r="AZ9" s="350"/>
      <c r="BA9" s="350"/>
      <c r="BB9" s="350"/>
      <c r="BC9" s="350"/>
      <c r="BD9" s="350"/>
      <c r="BE9" s="352"/>
      <c r="BF9" s="332"/>
      <c r="BG9" s="160"/>
      <c r="BH9" s="333"/>
      <c r="BI9" s="538">
        <v>10</v>
      </c>
      <c r="BR9" s="612"/>
      <c r="BS9" s="614"/>
      <c r="BT9" s="625"/>
      <c r="BU9" s="614"/>
      <c r="CB9" s="612"/>
      <c r="CC9" s="614"/>
      <c r="CD9" s="625"/>
      <c r="CE9" s="614"/>
    </row>
    <row r="10" spans="1:86" s="115" customFormat="1" x14ac:dyDescent="0.3">
      <c r="A10" s="435" t="s">
        <v>148</v>
      </c>
      <c r="B10" s="662">
        <v>100</v>
      </c>
      <c r="C10" s="436" t="s">
        <v>149</v>
      </c>
      <c r="D10" s="430">
        <f>X10+AO10+AP10+AQ10+BI10+G10</f>
        <v>1439845950.4099998</v>
      </c>
      <c r="E10" s="59">
        <f>H10+Y10+AR10+AP10</f>
        <v>1439845950.4099998</v>
      </c>
      <c r="F10" s="410">
        <f>E10-D10</f>
        <v>0</v>
      </c>
      <c r="G10" s="293">
        <f>SUM(G13)</f>
        <v>269539200</v>
      </c>
      <c r="H10" s="157">
        <f>H13</f>
        <v>269539200</v>
      </c>
      <c r="I10" s="294">
        <f>H10-G10</f>
        <v>0</v>
      </c>
      <c r="J10" s="314">
        <f>SUM(J13)</f>
        <v>98672100</v>
      </c>
      <c r="K10" s="293">
        <f>SUM(K13)</f>
        <v>130176630.59999999</v>
      </c>
      <c r="L10" s="157">
        <f>H10-J10-V10</f>
        <v>130176630.59999999</v>
      </c>
      <c r="M10" s="667"/>
      <c r="N10" s="667"/>
      <c r="O10" s="667"/>
      <c r="P10" s="667"/>
      <c r="Q10" s="667"/>
      <c r="R10" s="667"/>
      <c r="S10" s="667"/>
      <c r="T10" s="294">
        <f>L10-K10</f>
        <v>0</v>
      </c>
      <c r="U10" s="293">
        <f>SUM(U13)</f>
        <v>40690469.399999999</v>
      </c>
      <c r="V10" s="283">
        <f>SUM(V13)</f>
        <v>40690469.399999999</v>
      </c>
      <c r="W10" s="365">
        <f>V10-U10</f>
        <v>0</v>
      </c>
      <c r="X10" s="276">
        <f t="shared" ref="X10:AM10" si="0">X19</f>
        <v>824053700</v>
      </c>
      <c r="Y10" s="307">
        <f t="shared" si="0"/>
        <v>824053700</v>
      </c>
      <c r="Z10" s="372">
        <f>Y10-X10</f>
        <v>0</v>
      </c>
      <c r="AA10" s="525">
        <f t="shared" si="0"/>
        <v>0</v>
      </c>
      <c r="AB10" s="307">
        <f t="shared" si="0"/>
        <v>777712203</v>
      </c>
      <c r="AC10" s="153">
        <f t="shared" si="0"/>
        <v>777712203</v>
      </c>
      <c r="AD10" s="357">
        <f>AC10-AB10</f>
        <v>0</v>
      </c>
      <c r="AE10" s="415">
        <f t="shared" si="0"/>
        <v>22131000</v>
      </c>
      <c r="AF10" s="276">
        <f t="shared" si="0"/>
        <v>15941697</v>
      </c>
      <c r="AG10" s="153">
        <f t="shared" si="0"/>
        <v>15941697</v>
      </c>
      <c r="AH10" s="357">
        <f>AG10-AF10</f>
        <v>0</v>
      </c>
      <c r="AI10" s="153">
        <f t="shared" si="0"/>
        <v>6372300</v>
      </c>
      <c r="AJ10" s="153">
        <v>6372300</v>
      </c>
      <c r="AK10" s="357">
        <f>AJ10-AI10</f>
        <v>0</v>
      </c>
      <c r="AL10" s="153">
        <f t="shared" si="0"/>
        <v>1896500</v>
      </c>
      <c r="AM10" s="153">
        <f t="shared" si="0"/>
        <v>1896500</v>
      </c>
      <c r="AN10" s="357">
        <f>AM10-AL10</f>
        <v>0</v>
      </c>
      <c r="AO10" s="422">
        <v>0</v>
      </c>
      <c r="AP10" s="392">
        <f>AP12+AP13</f>
        <v>1800000</v>
      </c>
      <c r="AQ10" s="334">
        <v>344453050.40999997</v>
      </c>
      <c r="AR10" s="347">
        <f>AW10+BG10</f>
        <v>344453050.40999997</v>
      </c>
      <c r="AS10" s="335">
        <f>AR10-AQ10</f>
        <v>0</v>
      </c>
      <c r="AT10" s="323">
        <f>AT20+AT13</f>
        <v>277647521.95999998</v>
      </c>
      <c r="AU10" s="680"/>
      <c r="AV10" s="680"/>
      <c r="AW10" s="161">
        <f>AW13+AW20</f>
        <v>276237488.63999999</v>
      </c>
      <c r="AX10" s="161"/>
      <c r="AY10" s="161"/>
      <c r="AZ10" s="161"/>
      <c r="BA10" s="161"/>
      <c r="BB10" s="161"/>
      <c r="BC10" s="161"/>
      <c r="BD10" s="161"/>
      <c r="BE10" s="347">
        <f>AW10-AT10</f>
        <v>-1410033.3199999928</v>
      </c>
      <c r="BF10" s="334">
        <f>BF13+BF20+BF21</f>
        <v>66805528.449999996</v>
      </c>
      <c r="BG10" s="161">
        <f>BG13+BG20+BG21</f>
        <v>68215561.770000011</v>
      </c>
      <c r="BH10" s="335">
        <f>BG10-BF10</f>
        <v>1410033.3200000152</v>
      </c>
      <c r="BI10" s="539">
        <v>0</v>
      </c>
      <c r="BK10" s="131">
        <v>343352551.449</v>
      </c>
      <c r="BL10" s="131">
        <v>275145687.99900001</v>
      </c>
      <c r="BM10" s="609">
        <v>68206863.450000003</v>
      </c>
      <c r="BN10" s="634"/>
      <c r="BO10" s="634"/>
      <c r="BP10" s="634"/>
      <c r="BQ10" s="634"/>
      <c r="BR10" s="615"/>
      <c r="BS10" s="616">
        <f>AK10-BR10</f>
        <v>0</v>
      </c>
      <c r="BT10" s="615">
        <f>BT14+BT20+BT21</f>
        <v>68215561.770000011</v>
      </c>
      <c r="BU10" s="626">
        <f>AN10-BT10</f>
        <v>-68215561.770000011</v>
      </c>
      <c r="BV10" s="634"/>
      <c r="BW10" s="634"/>
      <c r="BX10" s="628">
        <f>AQ10</f>
        <v>344453050.40999997</v>
      </c>
      <c r="BY10" s="628">
        <v>344453050.41000003</v>
      </c>
      <c r="BZ10" s="628">
        <f>BX10-BY10</f>
        <v>0</v>
      </c>
      <c r="CA10" s="629">
        <f>BY10</f>
        <v>344453050.41000003</v>
      </c>
      <c r="CB10" s="615">
        <v>251139175</v>
      </c>
      <c r="CC10" s="616">
        <f>AW10-CB10</f>
        <v>25098313.639999986</v>
      </c>
      <c r="CD10" s="615">
        <f>CD14+CD20+CD21</f>
        <v>68215561.770000011</v>
      </c>
      <c r="CE10" s="626">
        <f>BG10-CD10</f>
        <v>0</v>
      </c>
      <c r="CF10" s="135">
        <v>1076466.1000000001</v>
      </c>
      <c r="CG10" s="135">
        <v>146019.47000000626</v>
      </c>
      <c r="CH10" s="135">
        <f>CF10+CG10</f>
        <v>1222485.5700000064</v>
      </c>
    </row>
    <row r="11" spans="1:86" x14ac:dyDescent="0.3">
      <c r="A11" s="437" t="s">
        <v>137</v>
      </c>
      <c r="B11" s="133"/>
      <c r="C11" s="438"/>
      <c r="D11" s="431"/>
      <c r="E11" s="59">
        <f>H11+Y11+AQ11+AP11</f>
        <v>0</v>
      </c>
      <c r="F11" s="410">
        <f t="shared" ref="F11:F74" si="1">E11-D11</f>
        <v>0</v>
      </c>
      <c r="G11" s="284"/>
      <c r="H11" s="159"/>
      <c r="I11" s="296"/>
      <c r="J11" s="315"/>
      <c r="K11" s="295"/>
      <c r="L11" s="159"/>
      <c r="M11" s="668"/>
      <c r="N11" s="668"/>
      <c r="O11" s="668"/>
      <c r="P11" s="668"/>
      <c r="Q11" s="668"/>
      <c r="R11" s="668"/>
      <c r="S11" s="668"/>
      <c r="T11" s="296"/>
      <c r="U11" s="295"/>
      <c r="V11" s="284"/>
      <c r="W11" s="366"/>
      <c r="X11" s="277"/>
      <c r="Y11" s="308"/>
      <c r="Z11" s="373"/>
      <c r="AA11" s="526"/>
      <c r="AB11" s="308"/>
      <c r="AC11" s="154"/>
      <c r="AD11" s="357">
        <f t="shared" ref="AD11:AD74" si="2">AC11-AB11</f>
        <v>0</v>
      </c>
      <c r="AE11" s="416"/>
      <c r="AF11" s="277"/>
      <c r="AG11" s="154"/>
      <c r="AH11" s="358"/>
      <c r="AI11" s="277"/>
      <c r="AJ11" s="154"/>
      <c r="AK11" s="358"/>
      <c r="AL11" s="277"/>
      <c r="AM11" s="154"/>
      <c r="AN11" s="358"/>
      <c r="AO11" s="423"/>
      <c r="AP11" s="393"/>
      <c r="AQ11" s="334">
        <f t="shared" ref="AQ11:AQ12" si="3">AT11+BF11</f>
        <v>0</v>
      </c>
      <c r="AR11" s="347"/>
      <c r="AS11" s="335">
        <f t="shared" ref="AS11:AS73" si="4">AR11-AQ11</f>
        <v>0</v>
      </c>
      <c r="AT11" s="325"/>
      <c r="AU11" s="681"/>
      <c r="AV11" s="681"/>
      <c r="AW11" s="260"/>
      <c r="AX11" s="260"/>
      <c r="AY11" s="260"/>
      <c r="AZ11" s="260"/>
      <c r="BA11" s="260"/>
      <c r="BB11" s="260"/>
      <c r="BC11" s="260"/>
      <c r="BD11" s="260"/>
      <c r="BE11" s="348"/>
      <c r="BF11" s="336"/>
      <c r="BG11" s="260"/>
      <c r="BH11" s="337"/>
      <c r="BI11" s="540"/>
      <c r="BR11" s="617"/>
      <c r="BS11" s="614"/>
      <c r="BT11" s="625"/>
      <c r="BU11" s="614"/>
      <c r="BX11" s="628"/>
      <c r="BY11" s="628"/>
      <c r="CB11" s="617">
        <f>AW10-CB10</f>
        <v>25098313.639999986</v>
      </c>
      <c r="CC11" s="614"/>
      <c r="CD11" s="625"/>
      <c r="CE11" s="614"/>
      <c r="CF11" s="111">
        <f>CD10+CH10</f>
        <v>69438047.340000018</v>
      </c>
    </row>
    <row r="12" spans="1:86" x14ac:dyDescent="0.3">
      <c r="A12" s="437" t="s">
        <v>150</v>
      </c>
      <c r="B12" s="661">
        <v>110</v>
      </c>
      <c r="C12" s="438"/>
      <c r="D12" s="431"/>
      <c r="E12" s="59">
        <f>H12+Y12+AQ12+AP12</f>
        <v>0</v>
      </c>
      <c r="F12" s="410">
        <f t="shared" si="1"/>
        <v>0</v>
      </c>
      <c r="G12" s="285"/>
      <c r="H12" s="158"/>
      <c r="I12" s="298"/>
      <c r="J12" s="316"/>
      <c r="K12" s="297"/>
      <c r="L12" s="158"/>
      <c r="M12" s="669"/>
      <c r="N12" s="669"/>
      <c r="O12" s="669"/>
      <c r="P12" s="669"/>
      <c r="Q12" s="669"/>
      <c r="R12" s="669"/>
      <c r="S12" s="669"/>
      <c r="T12" s="298"/>
      <c r="U12" s="297"/>
      <c r="V12" s="285"/>
      <c r="W12" s="367"/>
      <c r="X12" s="278"/>
      <c r="Y12" s="309"/>
      <c r="Z12" s="374"/>
      <c r="AA12" s="527"/>
      <c r="AB12" s="309"/>
      <c r="AC12" s="261"/>
      <c r="AD12" s="357">
        <f t="shared" si="2"/>
        <v>0</v>
      </c>
      <c r="AE12" s="417"/>
      <c r="AF12" s="278"/>
      <c r="AG12" s="261"/>
      <c r="AH12" s="359"/>
      <c r="AI12" s="278"/>
      <c r="AJ12" s="261"/>
      <c r="AK12" s="359"/>
      <c r="AL12" s="278"/>
      <c r="AM12" s="261"/>
      <c r="AN12" s="359"/>
      <c r="AO12" s="424"/>
      <c r="AP12" s="393"/>
      <c r="AQ12" s="334">
        <f t="shared" si="3"/>
        <v>0</v>
      </c>
      <c r="AR12" s="347"/>
      <c r="AS12" s="335">
        <f t="shared" si="4"/>
        <v>0</v>
      </c>
      <c r="AT12" s="325"/>
      <c r="AU12" s="681"/>
      <c r="AV12" s="681"/>
      <c r="AW12" s="260"/>
      <c r="AX12" s="260"/>
      <c r="AY12" s="260"/>
      <c r="AZ12" s="260"/>
      <c r="BA12" s="260"/>
      <c r="BB12" s="260"/>
      <c r="BC12" s="260"/>
      <c r="BD12" s="260"/>
      <c r="BE12" s="348"/>
      <c r="BF12" s="336"/>
      <c r="BG12" s="260"/>
      <c r="BH12" s="337"/>
      <c r="BI12" s="541"/>
      <c r="BK12" s="111"/>
      <c r="BL12" s="111">
        <f>BL10-AT10</f>
        <v>-2501833.9609999657</v>
      </c>
      <c r="BM12" s="111">
        <f>BM10-BF10</f>
        <v>1401335.0000000075</v>
      </c>
      <c r="BN12" s="111"/>
      <c r="BO12" s="111"/>
      <c r="BP12" s="111"/>
      <c r="BQ12" s="111"/>
      <c r="BR12" s="615"/>
      <c r="BS12" s="614"/>
      <c r="BT12" s="625"/>
      <c r="BU12" s="614"/>
      <c r="BV12" s="111"/>
      <c r="BW12" s="111"/>
      <c r="BX12" s="628"/>
      <c r="BY12" s="628"/>
      <c r="BZ12" s="533"/>
      <c r="CA12" s="533"/>
      <c r="CB12" s="615"/>
      <c r="CC12" s="614"/>
      <c r="CD12" s="625"/>
      <c r="CE12" s="614"/>
    </row>
    <row r="13" spans="1:86" x14ac:dyDescent="0.3">
      <c r="A13" s="437" t="s">
        <v>151</v>
      </c>
      <c r="B13" s="661">
        <v>120</v>
      </c>
      <c r="C13" s="438"/>
      <c r="D13" s="431">
        <f>G13+X13+AP13+AQ13</f>
        <v>600792250.40999997</v>
      </c>
      <c r="E13" s="64">
        <f>H13+Y13+AR13+AP13</f>
        <v>600673884.45000005</v>
      </c>
      <c r="F13" s="411">
        <f t="shared" si="1"/>
        <v>-118365.95999991894</v>
      </c>
      <c r="G13" s="159">
        <f>G14</f>
        <v>269539200</v>
      </c>
      <c r="H13" s="159">
        <f>H14</f>
        <v>269539200</v>
      </c>
      <c r="I13" s="296">
        <f>H13-G13</f>
        <v>0</v>
      </c>
      <c r="J13" s="316">
        <f>J14</f>
        <v>98672100</v>
      </c>
      <c r="K13" s="295">
        <v>130176630.59999999</v>
      </c>
      <c r="L13" s="159">
        <f>H13-J13-V13</f>
        <v>130176630.59999999</v>
      </c>
      <c r="M13" s="668"/>
      <c r="N13" s="668"/>
      <c r="O13" s="668"/>
      <c r="P13" s="668"/>
      <c r="Q13" s="668"/>
      <c r="R13" s="668"/>
      <c r="S13" s="668"/>
      <c r="T13" s="298">
        <f>L13-K13</f>
        <v>0</v>
      </c>
      <c r="U13" s="285">
        <f>U14</f>
        <v>40690469.399999999</v>
      </c>
      <c r="V13" s="285">
        <f>V14</f>
        <v>40690469.399999999</v>
      </c>
      <c r="W13" s="367">
        <f>V13-U13</f>
        <v>0</v>
      </c>
      <c r="X13" s="277"/>
      <c r="Y13" s="308"/>
      <c r="Z13" s="373"/>
      <c r="AA13" s="526"/>
      <c r="AB13" s="308"/>
      <c r="AC13" s="154"/>
      <c r="AD13" s="357">
        <f t="shared" si="2"/>
        <v>0</v>
      </c>
      <c r="AE13" s="416"/>
      <c r="AF13" s="277"/>
      <c r="AG13" s="154"/>
      <c r="AH13" s="358"/>
      <c r="AI13" s="277"/>
      <c r="AJ13" s="154"/>
      <c r="AK13" s="358"/>
      <c r="AL13" s="277"/>
      <c r="AM13" s="154"/>
      <c r="AN13" s="358"/>
      <c r="AO13" s="423"/>
      <c r="AP13" s="393">
        <f>SUM(AP14:AP16)</f>
        <v>1800000</v>
      </c>
      <c r="AQ13" s="334">
        <v>329453050.40999997</v>
      </c>
      <c r="AR13" s="347">
        <f>AW13+BG13</f>
        <v>329334684.44999999</v>
      </c>
      <c r="AS13" s="335">
        <f t="shared" si="4"/>
        <v>-118365.95999997854</v>
      </c>
      <c r="AT13" s="324">
        <v>263024468.5</v>
      </c>
      <c r="AU13" s="682"/>
      <c r="AV13" s="682"/>
      <c r="AW13" s="162">
        <f>AW14+AW16</f>
        <v>261720812.07999998</v>
      </c>
      <c r="AX13" s="162"/>
      <c r="AY13" s="162"/>
      <c r="AZ13" s="162"/>
      <c r="BA13" s="162"/>
      <c r="BB13" s="162"/>
      <c r="BC13" s="162"/>
      <c r="BD13" s="162"/>
      <c r="BE13" s="349">
        <f>AW13-AT13</f>
        <v>-1303656.4200000167</v>
      </c>
      <c r="BF13" s="338">
        <v>66428581.909999996</v>
      </c>
      <c r="BG13" s="162">
        <f>BG14</f>
        <v>67613872.370000005</v>
      </c>
      <c r="BH13" s="339">
        <f>BG13-BF13</f>
        <v>1185290.4600000083</v>
      </c>
      <c r="BI13" s="541"/>
      <c r="BR13" s="618"/>
      <c r="BS13" s="614"/>
      <c r="BT13" s="625"/>
      <c r="BU13" s="614"/>
      <c r="BX13" s="628"/>
      <c r="BY13" s="628"/>
      <c r="CB13" s="618">
        <f>13676010.29-8000000</f>
        <v>5676010.2899999991</v>
      </c>
      <c r="CC13" s="614"/>
      <c r="CD13" s="625"/>
      <c r="CE13" s="614"/>
    </row>
    <row r="14" spans="1:86" x14ac:dyDescent="0.3">
      <c r="A14" s="437" t="s">
        <v>152</v>
      </c>
      <c r="B14" s="133"/>
      <c r="C14" s="438"/>
      <c r="D14" s="431">
        <f>G14+X14+AP14+AQ14</f>
        <v>582227780.40999997</v>
      </c>
      <c r="E14" s="64">
        <f>H14+Y14+AR14+AP14</f>
        <v>582109414.45000005</v>
      </c>
      <c r="F14" s="411">
        <f t="shared" si="1"/>
        <v>-118365.95999991894</v>
      </c>
      <c r="G14" s="159">
        <f>212239200+57300000</f>
        <v>269539200</v>
      </c>
      <c r="H14" s="159">
        <f>212239200+57300000</f>
        <v>269539200</v>
      </c>
      <c r="I14" s="296">
        <f>H14-G14</f>
        <v>0</v>
      </c>
      <c r="J14" s="315">
        <f>57221700+7820500+33629900</f>
        <v>98672100</v>
      </c>
      <c r="K14" s="295">
        <v>130176630.59999999</v>
      </c>
      <c r="L14" s="159">
        <f>H14-J14-V14</f>
        <v>130176630.59999999</v>
      </c>
      <c r="M14" s="668"/>
      <c r="N14" s="668"/>
      <c r="O14" s="668"/>
      <c r="P14" s="668"/>
      <c r="Q14" s="668"/>
      <c r="R14" s="668"/>
      <c r="S14" s="668"/>
      <c r="T14" s="296">
        <f>L14-K14</f>
        <v>0</v>
      </c>
      <c r="U14" s="284">
        <v>40690469.399999999</v>
      </c>
      <c r="V14" s="284">
        <v>40690469.399999999</v>
      </c>
      <c r="W14" s="366">
        <f>V14-U14</f>
        <v>0</v>
      </c>
      <c r="X14" s="277"/>
      <c r="Y14" s="308"/>
      <c r="Z14" s="373"/>
      <c r="AA14" s="526"/>
      <c r="AB14" s="308"/>
      <c r="AC14" s="154"/>
      <c r="AD14" s="357">
        <f t="shared" si="2"/>
        <v>0</v>
      </c>
      <c r="AE14" s="416"/>
      <c r="AF14" s="277"/>
      <c r="AG14" s="154"/>
      <c r="AH14" s="358"/>
      <c r="AI14" s="277"/>
      <c r="AJ14" s="154"/>
      <c r="AK14" s="358"/>
      <c r="AL14" s="277"/>
      <c r="AM14" s="154"/>
      <c r="AN14" s="358"/>
      <c r="AO14" s="423"/>
      <c r="AP14" s="394">
        <v>1800000</v>
      </c>
      <c r="AQ14" s="334">
        <v>310888580.40999997</v>
      </c>
      <c r="AR14" s="347">
        <f t="shared" ref="AR14:AR75" si="5">AW14+BG14</f>
        <v>310770214.44999999</v>
      </c>
      <c r="AS14" s="335">
        <f t="shared" si="4"/>
        <v>-118365.95999997854</v>
      </c>
      <c r="AT14" s="324">
        <v>244459998.5</v>
      </c>
      <c r="AU14" s="682"/>
      <c r="AV14" s="682"/>
      <c r="AW14" s="162">
        <f>240927461+8431943.43-4899405.93-1185290.46-118365.96</f>
        <v>243156342.07999998</v>
      </c>
      <c r="AX14" s="162"/>
      <c r="AY14" s="162"/>
      <c r="AZ14" s="162"/>
      <c r="BA14" s="162"/>
      <c r="BB14" s="162"/>
      <c r="BC14" s="162"/>
      <c r="BD14" s="162"/>
      <c r="BE14" s="349">
        <f>AW14-AT14</f>
        <v>-1303656.4200000167</v>
      </c>
      <c r="BF14" s="338">
        <v>66428581.909999996</v>
      </c>
      <c r="BG14" s="162">
        <f>CD14</f>
        <v>67613872.370000005</v>
      </c>
      <c r="BH14" s="339">
        <f>BG14-BF14</f>
        <v>1185290.4600000083</v>
      </c>
      <c r="BI14" s="541"/>
      <c r="BR14" s="618"/>
      <c r="BS14" s="614"/>
      <c r="BT14" s="618">
        <v>67613872.370000005</v>
      </c>
      <c r="BU14" s="614"/>
      <c r="BX14" s="628"/>
      <c r="BY14" s="628"/>
      <c r="CB14" s="618">
        <f>5100000</f>
        <v>5100000</v>
      </c>
      <c r="CC14" s="614"/>
      <c r="CD14" s="618">
        <v>67613872.370000005</v>
      </c>
      <c r="CE14" s="614"/>
    </row>
    <row r="15" spans="1:86" x14ac:dyDescent="0.3">
      <c r="A15" s="437" t="s">
        <v>153</v>
      </c>
      <c r="B15" s="133"/>
      <c r="C15" s="438"/>
      <c r="D15" s="431"/>
      <c r="E15" s="64">
        <f>H15+Y15+AQ15+AP15</f>
        <v>0</v>
      </c>
      <c r="F15" s="410">
        <f t="shared" si="1"/>
        <v>0</v>
      </c>
      <c r="G15" s="284"/>
      <c r="H15" s="159"/>
      <c r="I15" s="296">
        <f t="shared" ref="I15:I21" si="6">H15-G15</f>
        <v>0</v>
      </c>
      <c r="J15" s="315"/>
      <c r="K15" s="295"/>
      <c r="L15" s="159"/>
      <c r="M15" s="668"/>
      <c r="N15" s="668"/>
      <c r="O15" s="668"/>
      <c r="P15" s="668"/>
      <c r="Q15" s="668"/>
      <c r="R15" s="668"/>
      <c r="S15" s="668"/>
      <c r="T15" s="296"/>
      <c r="U15" s="295"/>
      <c r="V15" s="284"/>
      <c r="W15" s="366"/>
      <c r="X15" s="277"/>
      <c r="Y15" s="308"/>
      <c r="Z15" s="373"/>
      <c r="AA15" s="526"/>
      <c r="AB15" s="308"/>
      <c r="AC15" s="154"/>
      <c r="AD15" s="357">
        <f t="shared" si="2"/>
        <v>0</v>
      </c>
      <c r="AE15" s="416"/>
      <c r="AF15" s="277"/>
      <c r="AG15" s="154"/>
      <c r="AH15" s="358"/>
      <c r="AI15" s="277"/>
      <c r="AJ15" s="154"/>
      <c r="AK15" s="358"/>
      <c r="AL15" s="277"/>
      <c r="AM15" s="154"/>
      <c r="AN15" s="358"/>
      <c r="AO15" s="423"/>
      <c r="AP15" s="394"/>
      <c r="AQ15" s="334">
        <v>0</v>
      </c>
      <c r="AR15" s="347">
        <f t="shared" si="5"/>
        <v>0</v>
      </c>
      <c r="AS15" s="335">
        <f t="shared" si="4"/>
        <v>0</v>
      </c>
      <c r="AT15" s="325"/>
      <c r="AU15" s="681"/>
      <c r="AV15" s="681"/>
      <c r="AW15" s="260"/>
      <c r="AX15" s="260"/>
      <c r="AY15" s="260"/>
      <c r="AZ15" s="260"/>
      <c r="BA15" s="260"/>
      <c r="BB15" s="260"/>
      <c r="BC15" s="260"/>
      <c r="BD15" s="260"/>
      <c r="BE15" s="348"/>
      <c r="BF15" s="336"/>
      <c r="BG15" s="260"/>
      <c r="BH15" s="337"/>
      <c r="BI15" s="541"/>
      <c r="BR15" s="619"/>
      <c r="BS15" s="614"/>
      <c r="BT15" s="625"/>
      <c r="BU15" s="614"/>
      <c r="BX15" s="628"/>
      <c r="BY15" s="628"/>
      <c r="CB15" s="619">
        <f>SUM(CB13:CB14)</f>
        <v>10776010.289999999</v>
      </c>
      <c r="CC15" s="614"/>
      <c r="CD15" s="625"/>
      <c r="CE15" s="614"/>
    </row>
    <row r="16" spans="1:86" x14ac:dyDescent="0.3">
      <c r="A16" s="437" t="s">
        <v>154</v>
      </c>
      <c r="B16" s="133"/>
      <c r="C16" s="438"/>
      <c r="D16" s="431">
        <f>G16+X16+AP16+AQ16</f>
        <v>18564470</v>
      </c>
      <c r="E16" s="64">
        <f>H16+Y16+AR16+AP16</f>
        <v>18564470</v>
      </c>
      <c r="F16" s="410">
        <f t="shared" si="1"/>
        <v>0</v>
      </c>
      <c r="G16" s="284"/>
      <c r="H16" s="159"/>
      <c r="I16" s="296">
        <f t="shared" si="6"/>
        <v>0</v>
      </c>
      <c r="J16" s="315"/>
      <c r="K16" s="295"/>
      <c r="L16" s="159"/>
      <c r="M16" s="668"/>
      <c r="N16" s="668"/>
      <c r="O16" s="668"/>
      <c r="P16" s="668"/>
      <c r="Q16" s="668"/>
      <c r="R16" s="668"/>
      <c r="S16" s="668"/>
      <c r="T16" s="296"/>
      <c r="U16" s="295"/>
      <c r="V16" s="284"/>
      <c r="W16" s="366"/>
      <c r="X16" s="277"/>
      <c r="Y16" s="308"/>
      <c r="Z16" s="373"/>
      <c r="AA16" s="526"/>
      <c r="AB16" s="308"/>
      <c r="AC16" s="154"/>
      <c r="AD16" s="357">
        <f t="shared" si="2"/>
        <v>0</v>
      </c>
      <c r="AE16" s="416"/>
      <c r="AF16" s="277"/>
      <c r="AG16" s="154"/>
      <c r="AH16" s="358"/>
      <c r="AI16" s="277"/>
      <c r="AJ16" s="154"/>
      <c r="AK16" s="358"/>
      <c r="AL16" s="277"/>
      <c r="AM16" s="154"/>
      <c r="AN16" s="358"/>
      <c r="AO16" s="423"/>
      <c r="AP16" s="393"/>
      <c r="AQ16" s="334">
        <v>18564470</v>
      </c>
      <c r="AR16" s="347">
        <f t="shared" si="5"/>
        <v>18564470</v>
      </c>
      <c r="AS16" s="335">
        <f t="shared" si="4"/>
        <v>0</v>
      </c>
      <c r="AT16" s="324">
        <v>18564470</v>
      </c>
      <c r="AU16" s="682"/>
      <c r="AV16" s="682"/>
      <c r="AW16" s="162">
        <v>18564470</v>
      </c>
      <c r="AX16" s="162"/>
      <c r="AY16" s="162"/>
      <c r="AZ16" s="162"/>
      <c r="BA16" s="162"/>
      <c r="BB16" s="162"/>
      <c r="BC16" s="162"/>
      <c r="BD16" s="162"/>
      <c r="BE16" s="349">
        <f>AW16-AT16</f>
        <v>0</v>
      </c>
      <c r="BF16" s="338"/>
      <c r="BG16" s="162"/>
      <c r="BH16" s="339"/>
      <c r="BI16" s="541"/>
      <c r="BR16" s="618"/>
      <c r="BS16" s="614"/>
      <c r="BT16" s="625"/>
      <c r="BU16" s="614"/>
      <c r="BX16" s="628"/>
      <c r="BY16" s="628"/>
      <c r="CB16" s="618">
        <f>CB11-CB15</f>
        <v>14322303.349999987</v>
      </c>
      <c r="CC16" s="614"/>
      <c r="CD16" s="625"/>
      <c r="CE16" s="614"/>
    </row>
    <row r="17" spans="1:83" ht="31.5" x14ac:dyDescent="0.3">
      <c r="A17" s="437" t="s">
        <v>155</v>
      </c>
      <c r="B17" s="661">
        <v>130</v>
      </c>
      <c r="C17" s="438"/>
      <c r="D17" s="431"/>
      <c r="E17" s="59">
        <f>H17+Y17+AQ17+AP17</f>
        <v>0</v>
      </c>
      <c r="F17" s="410">
        <f t="shared" si="1"/>
        <v>0</v>
      </c>
      <c r="G17" s="285"/>
      <c r="H17" s="158"/>
      <c r="I17" s="296">
        <f t="shared" si="6"/>
        <v>0</v>
      </c>
      <c r="J17" s="316"/>
      <c r="K17" s="297"/>
      <c r="L17" s="158"/>
      <c r="M17" s="669"/>
      <c r="N17" s="669"/>
      <c r="O17" s="669"/>
      <c r="P17" s="669"/>
      <c r="Q17" s="669"/>
      <c r="R17" s="669"/>
      <c r="S17" s="669"/>
      <c r="T17" s="298"/>
      <c r="U17" s="297"/>
      <c r="V17" s="285"/>
      <c r="W17" s="367"/>
      <c r="X17" s="279"/>
      <c r="Y17" s="310"/>
      <c r="Z17" s="375"/>
      <c r="AA17" s="528"/>
      <c r="AB17" s="310"/>
      <c r="AC17" s="63"/>
      <c r="AD17" s="357">
        <f t="shared" si="2"/>
        <v>0</v>
      </c>
      <c r="AE17" s="418"/>
      <c r="AF17" s="279"/>
      <c r="AG17" s="63"/>
      <c r="AH17" s="360"/>
      <c r="AI17" s="279"/>
      <c r="AJ17" s="63"/>
      <c r="AK17" s="360"/>
      <c r="AL17" s="279"/>
      <c r="AM17" s="63"/>
      <c r="AN17" s="360"/>
      <c r="AO17" s="425"/>
      <c r="AP17" s="395"/>
      <c r="AQ17" s="334">
        <v>0</v>
      </c>
      <c r="AR17" s="347">
        <f t="shared" si="5"/>
        <v>0</v>
      </c>
      <c r="AS17" s="335">
        <f t="shared" si="4"/>
        <v>0</v>
      </c>
      <c r="AT17" s="325"/>
      <c r="AU17" s="681"/>
      <c r="AV17" s="681"/>
      <c r="AW17" s="260"/>
      <c r="AX17" s="260"/>
      <c r="AY17" s="260"/>
      <c r="AZ17" s="260"/>
      <c r="BA17" s="260"/>
      <c r="BB17" s="260"/>
      <c r="BC17" s="260"/>
      <c r="BD17" s="260"/>
      <c r="BE17" s="348"/>
      <c r="BF17" s="336"/>
      <c r="BG17" s="260"/>
      <c r="BH17" s="337"/>
      <c r="BI17" s="540" t="s">
        <v>149</v>
      </c>
      <c r="BR17" s="617"/>
      <c r="BS17" s="614"/>
      <c r="BT17" s="625"/>
      <c r="BU17" s="614"/>
      <c r="BX17" s="628"/>
      <c r="BY17" s="628"/>
      <c r="CB17" s="617"/>
      <c r="CC17" s="614"/>
      <c r="CD17" s="625"/>
      <c r="CE17" s="614"/>
    </row>
    <row r="18" spans="1:83" ht="63.75" customHeight="1" x14ac:dyDescent="0.3">
      <c r="A18" s="437" t="s">
        <v>156</v>
      </c>
      <c r="B18" s="661">
        <v>140</v>
      </c>
      <c r="C18" s="438"/>
      <c r="D18" s="431"/>
      <c r="E18" s="59">
        <f>H18+Y18+AQ18+AP18</f>
        <v>0</v>
      </c>
      <c r="F18" s="410">
        <f t="shared" si="1"/>
        <v>0</v>
      </c>
      <c r="G18" s="285"/>
      <c r="H18" s="158"/>
      <c r="I18" s="296">
        <f t="shared" si="6"/>
        <v>0</v>
      </c>
      <c r="J18" s="316"/>
      <c r="K18" s="297"/>
      <c r="L18" s="158"/>
      <c r="M18" s="669"/>
      <c r="N18" s="669"/>
      <c r="O18" s="669"/>
      <c r="P18" s="669"/>
      <c r="Q18" s="669"/>
      <c r="R18" s="669"/>
      <c r="S18" s="669"/>
      <c r="T18" s="298"/>
      <c r="U18" s="297"/>
      <c r="V18" s="285"/>
      <c r="W18" s="367"/>
      <c r="X18" s="279"/>
      <c r="Y18" s="310"/>
      <c r="Z18" s="375"/>
      <c r="AA18" s="528"/>
      <c r="AB18" s="310"/>
      <c r="AC18" s="63"/>
      <c r="AD18" s="357">
        <f t="shared" si="2"/>
        <v>0</v>
      </c>
      <c r="AE18" s="418"/>
      <c r="AF18" s="279"/>
      <c r="AG18" s="63"/>
      <c r="AH18" s="360"/>
      <c r="AI18" s="279"/>
      <c r="AJ18" s="63"/>
      <c r="AK18" s="360"/>
      <c r="AL18" s="279"/>
      <c r="AM18" s="63"/>
      <c r="AN18" s="360"/>
      <c r="AO18" s="425"/>
      <c r="AP18" s="395"/>
      <c r="AQ18" s="334">
        <v>0</v>
      </c>
      <c r="AR18" s="347">
        <f t="shared" si="5"/>
        <v>0</v>
      </c>
      <c r="AS18" s="335">
        <f t="shared" si="4"/>
        <v>0</v>
      </c>
      <c r="AT18" s="325"/>
      <c r="AU18" s="681"/>
      <c r="AV18" s="681"/>
      <c r="AW18" s="260"/>
      <c r="AX18" s="260"/>
      <c r="AY18" s="260"/>
      <c r="AZ18" s="260"/>
      <c r="BA18" s="260"/>
      <c r="BB18" s="260"/>
      <c r="BC18" s="260"/>
      <c r="BD18" s="260"/>
      <c r="BE18" s="348"/>
      <c r="BF18" s="336"/>
      <c r="BG18" s="260"/>
      <c r="BH18" s="337"/>
      <c r="BI18" s="540" t="s">
        <v>149</v>
      </c>
      <c r="BR18" s="617"/>
      <c r="BS18" s="614"/>
      <c r="BT18" s="625"/>
      <c r="BU18" s="614"/>
      <c r="BX18" s="628"/>
      <c r="BY18" s="628"/>
      <c r="CB18" s="617"/>
      <c r="CC18" s="614"/>
      <c r="CD18" s="625"/>
      <c r="CE18" s="614"/>
    </row>
    <row r="19" spans="1:83" ht="18.75" customHeight="1" x14ac:dyDescent="0.3">
      <c r="A19" s="437" t="s">
        <v>157</v>
      </c>
      <c r="B19" s="661">
        <v>150</v>
      </c>
      <c r="C19" s="438"/>
      <c r="D19" s="431">
        <f>G19+X19+AP19+AQ19</f>
        <v>824053700</v>
      </c>
      <c r="E19" s="64">
        <f>H19+Y19+AR19+AP19</f>
        <v>824053700</v>
      </c>
      <c r="F19" s="411">
        <f t="shared" si="1"/>
        <v>0</v>
      </c>
      <c r="G19" s="285"/>
      <c r="H19" s="158"/>
      <c r="I19" s="296">
        <f t="shared" si="6"/>
        <v>0</v>
      </c>
      <c r="J19" s="316"/>
      <c r="K19" s="297"/>
      <c r="L19" s="158"/>
      <c r="M19" s="669"/>
      <c r="N19" s="669"/>
      <c r="O19" s="669"/>
      <c r="P19" s="669"/>
      <c r="Q19" s="669"/>
      <c r="R19" s="669"/>
      <c r="S19" s="669"/>
      <c r="T19" s="298"/>
      <c r="U19" s="297"/>
      <c r="V19" s="285"/>
      <c r="W19" s="367"/>
      <c r="X19" s="279">
        <f>AB19+AE19+AF19+AI19+AL19</f>
        <v>824053700</v>
      </c>
      <c r="Y19" s="310">
        <f>AA19+AC19+AE19+AG19+AJ19+AM19</f>
        <v>824053700</v>
      </c>
      <c r="Z19" s="375">
        <f>Y19-X19</f>
        <v>0</v>
      </c>
      <c r="AA19" s="528"/>
      <c r="AB19" s="310">
        <v>777712203</v>
      </c>
      <c r="AC19" s="63">
        <v>777712203</v>
      </c>
      <c r="AD19" s="360">
        <f t="shared" si="2"/>
        <v>0</v>
      </c>
      <c r="AE19" s="418">
        <f>AE22</f>
        <v>22131000</v>
      </c>
      <c r="AF19" s="279">
        <v>15941697</v>
      </c>
      <c r="AG19" s="63">
        <v>15941697</v>
      </c>
      <c r="AH19" s="360">
        <f>AG19-AF19</f>
        <v>0</v>
      </c>
      <c r="AI19" s="63">
        <v>6372300</v>
      </c>
      <c r="AJ19" s="63">
        <v>6372300</v>
      </c>
      <c r="AK19" s="360">
        <f>AJ19-AI19</f>
        <v>0</v>
      </c>
      <c r="AL19" s="63">
        <v>1896500</v>
      </c>
      <c r="AM19" s="63">
        <v>1896500</v>
      </c>
      <c r="AN19" s="360">
        <f>AM19-AL19</f>
        <v>0</v>
      </c>
      <c r="AO19" s="426"/>
      <c r="AP19" s="395"/>
      <c r="AQ19" s="334">
        <v>0</v>
      </c>
      <c r="AR19" s="347">
        <f t="shared" si="5"/>
        <v>0</v>
      </c>
      <c r="AS19" s="335">
        <f t="shared" si="4"/>
        <v>0</v>
      </c>
      <c r="AT19" s="324"/>
      <c r="AU19" s="682"/>
      <c r="AV19" s="682"/>
      <c r="AW19" s="162"/>
      <c r="AX19" s="162"/>
      <c r="AY19" s="162"/>
      <c r="AZ19" s="162"/>
      <c r="BA19" s="162"/>
      <c r="BB19" s="162"/>
      <c r="BC19" s="162"/>
      <c r="BD19" s="162"/>
      <c r="BE19" s="349"/>
      <c r="BF19" s="338"/>
      <c r="BG19" s="162"/>
      <c r="BH19" s="339"/>
      <c r="BI19" s="540" t="s">
        <v>149</v>
      </c>
      <c r="BR19" s="617"/>
      <c r="BS19" s="614"/>
      <c r="BT19" s="625"/>
      <c r="BU19" s="614"/>
      <c r="BX19" s="628"/>
      <c r="BY19" s="628"/>
      <c r="CB19" s="617"/>
      <c r="CC19" s="614"/>
      <c r="CD19" s="625"/>
      <c r="CE19" s="614"/>
    </row>
    <row r="20" spans="1:83" ht="19.5" customHeight="1" x14ac:dyDescent="0.3">
      <c r="A20" s="437" t="s">
        <v>158</v>
      </c>
      <c r="B20" s="661">
        <v>160</v>
      </c>
      <c r="C20" s="438"/>
      <c r="D20" s="431">
        <f>G20+X20+AP20+AQ20</f>
        <v>14623053.460000001</v>
      </c>
      <c r="E20" s="64">
        <f>H20+Y20+AR20+AP20</f>
        <v>14623053.460000001</v>
      </c>
      <c r="F20" s="411">
        <f t="shared" si="1"/>
        <v>0</v>
      </c>
      <c r="G20" s="285"/>
      <c r="H20" s="158"/>
      <c r="I20" s="296">
        <f t="shared" si="6"/>
        <v>0</v>
      </c>
      <c r="J20" s="316"/>
      <c r="K20" s="297"/>
      <c r="L20" s="158"/>
      <c r="M20" s="669"/>
      <c r="N20" s="669"/>
      <c r="O20" s="669"/>
      <c r="P20" s="669"/>
      <c r="Q20" s="669"/>
      <c r="R20" s="669"/>
      <c r="S20" s="669"/>
      <c r="T20" s="298"/>
      <c r="U20" s="297"/>
      <c r="V20" s="285"/>
      <c r="W20" s="367"/>
      <c r="X20" s="279"/>
      <c r="Y20" s="310"/>
      <c r="Z20" s="375"/>
      <c r="AA20" s="528"/>
      <c r="AB20" s="310"/>
      <c r="AC20" s="63"/>
      <c r="AD20" s="357">
        <f t="shared" si="2"/>
        <v>0</v>
      </c>
      <c r="AE20" s="418"/>
      <c r="AF20" s="279"/>
      <c r="AG20" s="63"/>
      <c r="AH20" s="360"/>
      <c r="AI20" s="279"/>
      <c r="AJ20" s="63"/>
      <c r="AK20" s="360"/>
      <c r="AL20" s="279"/>
      <c r="AM20" s="63"/>
      <c r="AN20" s="360"/>
      <c r="AO20" s="425"/>
      <c r="AP20" s="395"/>
      <c r="AQ20" s="334">
        <v>14623053.460000001</v>
      </c>
      <c r="AR20" s="347">
        <f t="shared" si="5"/>
        <v>14623053.460000001</v>
      </c>
      <c r="AS20" s="335">
        <f t="shared" si="4"/>
        <v>0</v>
      </c>
      <c r="AT20" s="324">
        <v>14623053.460000001</v>
      </c>
      <c r="AU20" s="682"/>
      <c r="AV20" s="682"/>
      <c r="AW20" s="162">
        <f>14623053.46-106376.9</f>
        <v>14516676.560000001</v>
      </c>
      <c r="AX20" s="162"/>
      <c r="AY20" s="162"/>
      <c r="AZ20" s="162"/>
      <c r="BA20" s="162"/>
      <c r="BB20" s="162"/>
      <c r="BC20" s="162"/>
      <c r="BD20" s="162"/>
      <c r="BE20" s="349">
        <f>AW20-AT20</f>
        <v>-106376.90000000037</v>
      </c>
      <c r="BF20" s="338"/>
      <c r="BG20" s="162">
        <f>CD20</f>
        <v>106376.9</v>
      </c>
      <c r="BH20" s="339">
        <f>BG20-BF20</f>
        <v>106376.9</v>
      </c>
      <c r="BI20" s="542"/>
      <c r="BR20" s="617"/>
      <c r="BS20" s="614"/>
      <c r="BT20" s="618">
        <v>106376.9</v>
      </c>
      <c r="BU20" s="614"/>
      <c r="BX20" s="628"/>
      <c r="BY20" s="628"/>
      <c r="CB20" s="617"/>
      <c r="CC20" s="614"/>
      <c r="CD20" s="618">
        <v>106376.9</v>
      </c>
      <c r="CE20" s="614"/>
    </row>
    <row r="21" spans="1:83" ht="22.5" customHeight="1" x14ac:dyDescent="0.3">
      <c r="A21" s="437" t="s">
        <v>159</v>
      </c>
      <c r="B21" s="661">
        <v>180</v>
      </c>
      <c r="C21" s="664" t="s">
        <v>149</v>
      </c>
      <c r="D21" s="64">
        <f>G21+X21+AQ21+AO21</f>
        <v>376946.54</v>
      </c>
      <c r="E21" s="64">
        <f>H21+Y21+AR21+AP21</f>
        <v>495312.5</v>
      </c>
      <c r="F21" s="411">
        <f t="shared" si="1"/>
        <v>118365.96000000002</v>
      </c>
      <c r="G21" s="284"/>
      <c r="H21" s="159"/>
      <c r="I21" s="296">
        <f t="shared" si="6"/>
        <v>0</v>
      </c>
      <c r="J21" s="315"/>
      <c r="K21" s="295"/>
      <c r="L21" s="159"/>
      <c r="M21" s="668"/>
      <c r="N21" s="668"/>
      <c r="O21" s="668"/>
      <c r="P21" s="668"/>
      <c r="Q21" s="668"/>
      <c r="R21" s="668"/>
      <c r="S21" s="668"/>
      <c r="T21" s="296"/>
      <c r="U21" s="295"/>
      <c r="V21" s="284"/>
      <c r="W21" s="366"/>
      <c r="X21" s="277"/>
      <c r="Y21" s="308"/>
      <c r="Z21" s="373"/>
      <c r="AA21" s="526"/>
      <c r="AB21" s="308"/>
      <c r="AC21" s="154"/>
      <c r="AD21" s="357">
        <f t="shared" si="2"/>
        <v>0</v>
      </c>
      <c r="AE21" s="416"/>
      <c r="AF21" s="277"/>
      <c r="AG21" s="154"/>
      <c r="AH21" s="358"/>
      <c r="AI21" s="277"/>
      <c r="AJ21" s="154"/>
      <c r="AK21" s="358"/>
      <c r="AL21" s="277"/>
      <c r="AM21" s="154"/>
      <c r="AN21" s="358"/>
      <c r="AO21" s="423"/>
      <c r="AP21" s="393"/>
      <c r="AQ21" s="334">
        <v>376946.54</v>
      </c>
      <c r="AR21" s="347">
        <f t="shared" si="5"/>
        <v>495312.5</v>
      </c>
      <c r="AS21" s="335">
        <f t="shared" si="4"/>
        <v>118365.96000000002</v>
      </c>
      <c r="AT21" s="325"/>
      <c r="AU21" s="681"/>
      <c r="AV21" s="681"/>
      <c r="AW21" s="260"/>
      <c r="AX21" s="260"/>
      <c r="AY21" s="260"/>
      <c r="AZ21" s="260"/>
      <c r="BA21" s="260"/>
      <c r="BB21" s="260"/>
      <c r="BC21" s="260"/>
      <c r="BD21" s="260"/>
      <c r="BE21" s="348"/>
      <c r="BF21" s="338">
        <v>376946.54</v>
      </c>
      <c r="BG21" s="162">
        <f>CD21</f>
        <v>495312.5</v>
      </c>
      <c r="BH21" s="339">
        <f>BG21-BF21</f>
        <v>118365.96000000002</v>
      </c>
      <c r="BI21" s="543" t="s">
        <v>149</v>
      </c>
      <c r="BR21" s="617"/>
      <c r="BS21" s="614"/>
      <c r="BT21" s="618">
        <v>495312.5</v>
      </c>
      <c r="BU21" s="614"/>
      <c r="BX21" s="628"/>
      <c r="BY21" s="628"/>
      <c r="CA21" s="533">
        <f>BX22-CA22</f>
        <v>0</v>
      </c>
      <c r="CB21" s="617"/>
      <c r="CC21" s="614"/>
      <c r="CD21" s="618">
        <v>495312.5</v>
      </c>
      <c r="CE21" s="614"/>
    </row>
    <row r="22" spans="1:83" s="115" customFormat="1" x14ac:dyDescent="0.3">
      <c r="A22" s="435" t="s">
        <v>160</v>
      </c>
      <c r="B22" s="662">
        <v>200</v>
      </c>
      <c r="C22" s="436" t="s">
        <v>149</v>
      </c>
      <c r="D22" s="430">
        <f>G22+X22+AP22+AQ22</f>
        <v>2114683995.0084641</v>
      </c>
      <c r="E22" s="59">
        <f>H22+Y22+AR22+AP22</f>
        <v>2114683995.0084643</v>
      </c>
      <c r="F22" s="410">
        <f t="shared" si="1"/>
        <v>0</v>
      </c>
      <c r="G22" s="293">
        <f>G23+G28+G32+G41+G44+G66+G70</f>
        <v>270032997.89000005</v>
      </c>
      <c r="H22" s="157">
        <f>H23+H35+H44</f>
        <v>270032997.88999999</v>
      </c>
      <c r="I22" s="294">
        <f>H22-G22</f>
        <v>0</v>
      </c>
      <c r="J22" s="314">
        <f>J23+J32+J44</f>
        <v>98672100</v>
      </c>
      <c r="K22" s="293">
        <f t="shared" ref="K22:Q22" si="7">K23+K28+K32+K41+K44+K66+K70</f>
        <v>130670428.48999999</v>
      </c>
      <c r="L22" s="157">
        <f t="shared" si="7"/>
        <v>130670428.49000001</v>
      </c>
      <c r="M22" s="157">
        <f t="shared" si="7"/>
        <v>190590884.36000001</v>
      </c>
      <c r="N22" s="157">
        <f t="shared" si="7"/>
        <v>9773083.5500000007</v>
      </c>
      <c r="O22" s="157">
        <f t="shared" si="7"/>
        <v>2874437.1500000004</v>
      </c>
      <c r="P22" s="157">
        <f t="shared" si="7"/>
        <v>566030.92999999993</v>
      </c>
      <c r="Q22" s="157">
        <f t="shared" si="7"/>
        <v>1131701.52</v>
      </c>
      <c r="R22" s="667">
        <f>M22+N22+O22+P22+Q22</f>
        <v>204936137.51000005</v>
      </c>
      <c r="S22" s="667">
        <f>J22+L22-R22</f>
        <v>24406390.979999959</v>
      </c>
      <c r="T22" s="294">
        <f>L22-K22</f>
        <v>0</v>
      </c>
      <c r="U22" s="293">
        <f>U23+U28+U32+U41+U44+U66+U70</f>
        <v>40690469.399999999</v>
      </c>
      <c r="V22" s="283">
        <f>V23+V28+V32+V41+V44+V66+V70</f>
        <v>40690469.399999999</v>
      </c>
      <c r="W22" s="365">
        <f>V22-U22</f>
        <v>0</v>
      </c>
      <c r="X22" s="276">
        <f>X23+X32+X44</f>
        <v>1491456162.6900001</v>
      </c>
      <c r="Y22" s="307">
        <f>Y23+Y28+Y40+Y41+Y66+Y44+Y32</f>
        <v>1491456162.6900003</v>
      </c>
      <c r="Z22" s="372">
        <f>Y22-X22</f>
        <v>0</v>
      </c>
      <c r="AA22" s="525">
        <f>AA23+AA32+AA44</f>
        <v>667402462.68999994</v>
      </c>
      <c r="AB22" s="307">
        <f>AB23+AB32+AB44</f>
        <v>777712203</v>
      </c>
      <c r="AC22" s="153">
        <f>AC23+AC32+AC44</f>
        <v>777712203</v>
      </c>
      <c r="AD22" s="357">
        <f t="shared" si="2"/>
        <v>0</v>
      </c>
      <c r="AE22" s="415">
        <f>AE23+AE28+AE40+AE41+AE66+AE44+AE32</f>
        <v>22131000</v>
      </c>
      <c r="AF22" s="276">
        <f>AF23+AF28+AF40+AF41+AF66+AF44+AF32</f>
        <v>15941697</v>
      </c>
      <c r="AG22" s="153">
        <f t="shared" ref="AG22:AJ22" si="8">AG23+AG28+AG40+AG41+AG66+AG44+AG32</f>
        <v>15941697</v>
      </c>
      <c r="AH22" s="357">
        <f>AG22-AF22</f>
        <v>0</v>
      </c>
      <c r="AI22" s="153">
        <f t="shared" si="8"/>
        <v>6372300</v>
      </c>
      <c r="AJ22" s="153">
        <f t="shared" si="8"/>
        <v>6372300</v>
      </c>
      <c r="AK22" s="357">
        <f>AJ22-AI22</f>
        <v>0</v>
      </c>
      <c r="AL22" s="153">
        <f t="shared" ref="AL22:AM22" si="9">AL23+AL28+AL40+AL41+AL66+AL44+AL32</f>
        <v>1896500</v>
      </c>
      <c r="AM22" s="153">
        <f t="shared" si="9"/>
        <v>1896500</v>
      </c>
      <c r="AN22" s="357">
        <f>AM22-AL22</f>
        <v>0</v>
      </c>
      <c r="AO22" s="422">
        <f>AO23+AO28+AO35+AO40+AO41+AO66+AO44</f>
        <v>0</v>
      </c>
      <c r="AP22" s="396">
        <f>AP23+AP28+AP40+AP41+AP44+AP66+AP32</f>
        <v>1942804.6584639018</v>
      </c>
      <c r="AQ22" s="334">
        <v>351252029.76999998</v>
      </c>
      <c r="AR22" s="347">
        <f t="shared" si="5"/>
        <v>351252029.76999998</v>
      </c>
      <c r="AS22" s="335">
        <f t="shared" si="4"/>
        <v>0</v>
      </c>
      <c r="AT22" s="161">
        <f>AT23+AT28+AT40+AT41+AT66+AT44+AT32</f>
        <v>284300481.84999996</v>
      </c>
      <c r="AU22" s="683"/>
      <c r="AV22" s="683">
        <f t="shared" ref="AV22" si="10">AV23+AV28+AV32+AV41+AV44+AV66+AV70</f>
        <v>21072590.979999997</v>
      </c>
      <c r="AW22" s="161">
        <f>AW23+AW28+AW40+AW41+AW66+AW44+AW32</f>
        <v>281813982.43000001</v>
      </c>
      <c r="AX22" s="161">
        <f>AX23+AX28+AX32+AX41+AX44+AX66+AX70</f>
        <v>262201166.69</v>
      </c>
      <c r="AY22" s="161">
        <f t="shared" ref="AY22:BB22" si="11">AY23+AY28+AY32+AY41+AY44+AY66+AY70</f>
        <v>1098337.9099999999</v>
      </c>
      <c r="AZ22" s="161">
        <f t="shared" si="11"/>
        <v>465355.56000000006</v>
      </c>
      <c r="BA22" s="161">
        <f t="shared" si="11"/>
        <v>226502.36</v>
      </c>
      <c r="BB22" s="161">
        <f t="shared" si="11"/>
        <v>755333.66</v>
      </c>
      <c r="BC22" s="161">
        <f>AX22+AY22+AZ22+BA22+BB22</f>
        <v>264746696.18000001</v>
      </c>
      <c r="BD22" s="161">
        <f>AW22-AX22-AY22-AZ22-BA22-BB22</f>
        <v>17067286.250000011</v>
      </c>
      <c r="BE22" s="347">
        <f>AW22-AT22</f>
        <v>-2486499.4199999571</v>
      </c>
      <c r="BF22" s="334">
        <v>66951547.920000002</v>
      </c>
      <c r="BG22" s="161">
        <f>BG23+BG28+BG40+BG41+BG44+BG66+BG32</f>
        <v>69438047.340000004</v>
      </c>
      <c r="BH22" s="335">
        <f>BG22-BF22</f>
        <v>2486499.4200000018</v>
      </c>
      <c r="BI22" s="539">
        <f>BI23+BI28+BI35+BI40+BI41+BI66+BI44</f>
        <v>0</v>
      </c>
      <c r="BK22" s="135"/>
      <c r="BR22" s="334">
        <f>BR23+BR28+BR40+BR41+BR44+BR66+BR32</f>
        <v>0</v>
      </c>
      <c r="BS22" s="539">
        <f>BS23+BS28+BS40+BS41+BS44+BS66+BS32</f>
        <v>6372300</v>
      </c>
      <c r="BT22" s="334">
        <f t="shared" ref="BT22:BU22" si="12">BT23+BT28+BT40+BT41+BT44+BT66+BT32</f>
        <v>69438047.340000004</v>
      </c>
      <c r="BU22" s="539">
        <f t="shared" si="12"/>
        <v>-67541547.340000004</v>
      </c>
      <c r="BX22" s="628">
        <f>AQ22</f>
        <v>351252029.76999998</v>
      </c>
      <c r="BY22" s="628">
        <f t="shared" ref="BY22:BY73" si="13">CB22+CD22</f>
        <v>331661665.28999996</v>
      </c>
      <c r="BZ22" s="535">
        <f>BX22-BY22</f>
        <v>19590364.480000019</v>
      </c>
      <c r="CA22" s="334">
        <f>CA23+CA28+CA40+CA41+CA44+CA66+CA32</f>
        <v>351252029.77000004</v>
      </c>
      <c r="CB22" s="334">
        <f>CB23+CB28+CB40+CB41+CB44+CB66+CB32</f>
        <v>262223617.94999999</v>
      </c>
      <c r="CC22" s="539">
        <f>CC23+CC28+CC40+CC41+CC44+CC66+CC32</f>
        <v>22076863.899999995</v>
      </c>
      <c r="CD22" s="334">
        <f t="shared" ref="CD22:CE22" si="14">CD23+CD28+CD40+CD41+CD44+CD66+CD32</f>
        <v>69438047.340000004</v>
      </c>
      <c r="CE22" s="539">
        <f t="shared" si="14"/>
        <v>-2486499.4200000013</v>
      </c>
    </row>
    <row r="23" spans="1:83" s="115" customFormat="1" ht="18.75" customHeight="1" x14ac:dyDescent="0.3">
      <c r="A23" s="435" t="s">
        <v>161</v>
      </c>
      <c r="B23" s="662">
        <v>210</v>
      </c>
      <c r="C23" s="436">
        <v>110</v>
      </c>
      <c r="D23" s="430">
        <f>G23+X23+AP23+AQ23</f>
        <v>451700420.92846394</v>
      </c>
      <c r="E23" s="59">
        <f>H23+Y23+AR23+AP23</f>
        <v>452260182.31846386</v>
      </c>
      <c r="F23" s="410">
        <f t="shared" si="1"/>
        <v>559761.38999992609</v>
      </c>
      <c r="G23" s="293">
        <f>G25+G26+G27</f>
        <v>202925665.96000004</v>
      </c>
      <c r="H23" s="157">
        <f>H25+H26+H27</f>
        <v>207958418.32999998</v>
      </c>
      <c r="I23" s="294">
        <f>H23-G23</f>
        <v>5032752.3699999452</v>
      </c>
      <c r="J23" s="314">
        <f t="shared" ref="J23:Q23" si="15">J25+J26+J27</f>
        <v>98672100</v>
      </c>
      <c r="K23" s="293">
        <f t="shared" si="15"/>
        <v>80944071.359999999</v>
      </c>
      <c r="L23" s="157">
        <f t="shared" si="15"/>
        <v>84494118.840000004</v>
      </c>
      <c r="M23" s="157">
        <f t="shared" si="15"/>
        <v>150206135.56</v>
      </c>
      <c r="N23" s="157">
        <f t="shared" si="15"/>
        <v>9631867.5500000007</v>
      </c>
      <c r="O23" s="157">
        <f t="shared" si="15"/>
        <v>2874437.1500000004</v>
      </c>
      <c r="P23" s="157">
        <f t="shared" si="15"/>
        <v>2400</v>
      </c>
      <c r="Q23" s="157">
        <f t="shared" si="15"/>
        <v>14515.97</v>
      </c>
      <c r="R23" s="667">
        <f t="shared" ref="R23:R65" si="16">M23+N23+O23+P23+Q23</f>
        <v>162729356.23000002</v>
      </c>
      <c r="S23" s="667">
        <f t="shared" ref="S23:S65" si="17">J23+L23-R23</f>
        <v>20436862.609999985</v>
      </c>
      <c r="T23" s="294">
        <f>L23-K23</f>
        <v>3550047.4800000042</v>
      </c>
      <c r="U23" s="293">
        <f>U25+U26+U27</f>
        <v>23309494.600000001</v>
      </c>
      <c r="V23" s="283">
        <f>V25+V26+V27</f>
        <v>24792199.489999998</v>
      </c>
      <c r="W23" s="365">
        <f>V23-U23</f>
        <v>1482704.8899999969</v>
      </c>
      <c r="X23" s="276">
        <f>X25+X26+X27</f>
        <v>25110031.039999999</v>
      </c>
      <c r="Y23" s="307">
        <f>Y25+Y26+Y27</f>
        <v>25110031.039999999</v>
      </c>
      <c r="Z23" s="372">
        <f>Y23-X23</f>
        <v>0</v>
      </c>
      <c r="AA23" s="525">
        <f>AA25+AA26</f>
        <v>133738.31</v>
      </c>
      <c r="AB23" s="307">
        <f>AB25+AB26</f>
        <v>0</v>
      </c>
      <c r="AC23" s="153">
        <f>AC25+AC26+AC27</f>
        <v>0</v>
      </c>
      <c r="AD23" s="357">
        <f t="shared" si="2"/>
        <v>0</v>
      </c>
      <c r="AE23" s="415">
        <f>AE25+AE26+AE27</f>
        <v>9540874.1999999993</v>
      </c>
      <c r="AF23" s="276">
        <f>AF25+AF26+AF27</f>
        <v>9063118.5299999993</v>
      </c>
      <c r="AG23" s="153">
        <f>AG25+AG26</f>
        <v>9063118.5299999993</v>
      </c>
      <c r="AH23" s="357">
        <f>AG23-AF23</f>
        <v>0</v>
      </c>
      <c r="AI23" s="153">
        <f>AI25+AI26</f>
        <v>6372300</v>
      </c>
      <c r="AJ23" s="153">
        <f>AJ25+AJ26</f>
        <v>6372300</v>
      </c>
      <c r="AK23" s="357">
        <f>AJ23-AI23</f>
        <v>0</v>
      </c>
      <c r="AL23" s="153">
        <f>AL25+AL26</f>
        <v>0</v>
      </c>
      <c r="AM23" s="153">
        <f>AM25+AM26</f>
        <v>0</v>
      </c>
      <c r="AN23" s="357">
        <f>AM23-AL23</f>
        <v>0</v>
      </c>
      <c r="AO23" s="422">
        <f>AO25+AO26+AO27</f>
        <v>0</v>
      </c>
      <c r="AP23" s="396">
        <f>AP25+AP26+AP27</f>
        <v>1872804.6584639018</v>
      </c>
      <c r="AQ23" s="334">
        <v>221791919.27000001</v>
      </c>
      <c r="AR23" s="347">
        <f t="shared" si="5"/>
        <v>217318928.29000002</v>
      </c>
      <c r="AS23" s="335">
        <f t="shared" si="4"/>
        <v>-4472990.9799999893</v>
      </c>
      <c r="AT23" s="161">
        <f>AT25+AT26+AT27</f>
        <v>175472193.02000001</v>
      </c>
      <c r="AU23" s="683">
        <f>AU25+AU26</f>
        <v>3333799.9999999995</v>
      </c>
      <c r="AV23" s="683">
        <f t="shared" ref="AV23" si="18">AV25+AV26+AV27</f>
        <v>17103062.609999999</v>
      </c>
      <c r="AW23" s="161">
        <f>AW25+AW26+AW27</f>
        <v>174038686.08000001</v>
      </c>
      <c r="AX23" s="161">
        <f t="shared" ref="AX23:BB23" si="19">AX25+AX26+AX27</f>
        <v>156942213.53</v>
      </c>
      <c r="AY23" s="161">
        <f t="shared" si="19"/>
        <v>811943.6</v>
      </c>
      <c r="AZ23" s="161">
        <f t="shared" si="19"/>
        <v>226821.59000000003</v>
      </c>
      <c r="BA23" s="161">
        <f t="shared" si="19"/>
        <v>0</v>
      </c>
      <c r="BB23" s="161">
        <f t="shared" si="19"/>
        <v>3741.68</v>
      </c>
      <c r="BC23" s="161">
        <f t="shared" ref="BC23:BC67" si="20">AX23+AY23+AZ23+BA23+BB23</f>
        <v>157984720.40000001</v>
      </c>
      <c r="BD23" s="161">
        <f t="shared" ref="BD23:BD65" si="21">AW23-AX23-AY23-AZ23-BA23-BB23</f>
        <v>16053965.680000013</v>
      </c>
      <c r="BE23" s="347">
        <f>AW23-AT23</f>
        <v>-1433506.9399999976</v>
      </c>
      <c r="BF23" s="334">
        <v>46319726.25</v>
      </c>
      <c r="BG23" s="161">
        <f>BG25+BG26+BG27</f>
        <v>43280242.210000001</v>
      </c>
      <c r="BH23" s="335">
        <f>BG23-BF23</f>
        <v>-3039484.0399999991</v>
      </c>
      <c r="BI23" s="539">
        <f>BI25+BI26+BI27</f>
        <v>0</v>
      </c>
      <c r="BR23" s="334">
        <f>BR25+BR26+BR27</f>
        <v>0</v>
      </c>
      <c r="BS23" s="539">
        <f>BS25+BS26+BS27</f>
        <v>6372300</v>
      </c>
      <c r="BT23" s="334">
        <f t="shared" ref="BT23:BU23" si="22">BT25+BT26+BT27</f>
        <v>43280242.210000001</v>
      </c>
      <c r="BU23" s="539">
        <f t="shared" si="22"/>
        <v>-43280242.210000001</v>
      </c>
      <c r="BX23" s="628">
        <f>AQ23</f>
        <v>221791919.27000001</v>
      </c>
      <c r="BY23" s="628">
        <f t="shared" si="13"/>
        <v>198794090.73000002</v>
      </c>
      <c r="BZ23" s="535">
        <f t="shared" ref="BZ23:BZ73" si="23">BX23-BY23</f>
        <v>22997828.539999992</v>
      </c>
      <c r="CA23" s="334">
        <f>CA25+CA26+CA27</f>
        <v>217068928.29000002</v>
      </c>
      <c r="CB23" s="334">
        <f>CB25+CB26+CB27</f>
        <v>155513848.52000001</v>
      </c>
      <c r="CC23" s="539">
        <f>CC25+CC26+CC27</f>
        <v>19958344.5</v>
      </c>
      <c r="CD23" s="334">
        <f t="shared" ref="CD23:CE23" si="24">CD25+CD26+CD27</f>
        <v>43280242.210000001</v>
      </c>
      <c r="CE23" s="539">
        <f t="shared" si="24"/>
        <v>3039484.0399999991</v>
      </c>
    </row>
    <row r="24" spans="1:83" x14ac:dyDescent="0.3">
      <c r="A24" s="437" t="s">
        <v>92</v>
      </c>
      <c r="B24" s="133"/>
      <c r="C24" s="438"/>
      <c r="D24" s="431"/>
      <c r="E24" s="59">
        <f>H24+Y24+AQ24+AP24</f>
        <v>0</v>
      </c>
      <c r="F24" s="410">
        <f t="shared" si="1"/>
        <v>0</v>
      </c>
      <c r="G24" s="285"/>
      <c r="H24" s="158"/>
      <c r="I24" s="294">
        <f t="shared" ref="I24:I75" si="25">H24-G24</f>
        <v>0</v>
      </c>
      <c r="J24" s="316"/>
      <c r="K24" s="297"/>
      <c r="L24" s="158"/>
      <c r="M24" s="669"/>
      <c r="N24" s="669"/>
      <c r="O24" s="669"/>
      <c r="P24" s="669"/>
      <c r="Q24" s="669"/>
      <c r="R24" s="667">
        <f t="shared" si="16"/>
        <v>0</v>
      </c>
      <c r="S24" s="667">
        <f t="shared" si="17"/>
        <v>0</v>
      </c>
      <c r="T24" s="298"/>
      <c r="U24" s="297"/>
      <c r="V24" s="285"/>
      <c r="W24" s="367"/>
      <c r="X24" s="279"/>
      <c r="Y24" s="310"/>
      <c r="Z24" s="375"/>
      <c r="AA24" s="528"/>
      <c r="AB24" s="310"/>
      <c r="AC24" s="63"/>
      <c r="AD24" s="357">
        <f t="shared" si="2"/>
        <v>0</v>
      </c>
      <c r="AE24" s="418"/>
      <c r="AF24" s="279"/>
      <c r="AG24" s="63"/>
      <c r="AH24" s="360"/>
      <c r="AI24" s="279"/>
      <c r="AJ24" s="63"/>
      <c r="AK24" s="360"/>
      <c r="AL24" s="279"/>
      <c r="AM24" s="63"/>
      <c r="AN24" s="360"/>
      <c r="AO24" s="425"/>
      <c r="AP24" s="395"/>
      <c r="AQ24" s="334">
        <v>0</v>
      </c>
      <c r="AR24" s="347">
        <f t="shared" si="5"/>
        <v>0</v>
      </c>
      <c r="AS24" s="335">
        <f t="shared" si="4"/>
        <v>0</v>
      </c>
      <c r="AT24" s="324"/>
      <c r="AU24" s="682"/>
      <c r="AV24" s="682"/>
      <c r="AW24" s="162"/>
      <c r="AX24" s="162"/>
      <c r="AY24" s="162"/>
      <c r="AZ24" s="162"/>
      <c r="BA24" s="162"/>
      <c r="BB24" s="162"/>
      <c r="BC24" s="161">
        <f t="shared" si="20"/>
        <v>0</v>
      </c>
      <c r="BD24" s="161">
        <f t="shared" si="21"/>
        <v>0</v>
      </c>
      <c r="BE24" s="349"/>
      <c r="BF24" s="338"/>
      <c r="BG24" s="162"/>
      <c r="BH24" s="339"/>
      <c r="BI24" s="540"/>
      <c r="BR24" s="617"/>
      <c r="BS24" s="614"/>
      <c r="BT24" s="625"/>
      <c r="BU24" s="614"/>
      <c r="BX24" s="628">
        <f t="shared" ref="BX24:BX75" si="26">AQ24</f>
        <v>0</v>
      </c>
      <c r="BY24" s="628">
        <f t="shared" si="13"/>
        <v>0</v>
      </c>
      <c r="BZ24" s="535">
        <f t="shared" si="23"/>
        <v>0</v>
      </c>
      <c r="CA24" s="533"/>
      <c r="CB24" s="617"/>
      <c r="CC24" s="614"/>
      <c r="CD24" s="625"/>
      <c r="CE24" s="614"/>
    </row>
    <row r="25" spans="1:83" ht="16.5" customHeight="1" x14ac:dyDescent="0.3">
      <c r="A25" s="437" t="s">
        <v>162</v>
      </c>
      <c r="B25" s="1385">
        <v>211</v>
      </c>
      <c r="C25" s="664">
        <v>111</v>
      </c>
      <c r="D25" s="431">
        <f>G25+X25+AP25+AQ25</f>
        <v>345001321.37846392</v>
      </c>
      <c r="E25" s="64">
        <f>H25+Y25+AR25+AP25</f>
        <v>350537234.13846391</v>
      </c>
      <c r="F25" s="411">
        <f t="shared" si="1"/>
        <v>5535912.7599999905</v>
      </c>
      <c r="G25" s="285">
        <v>155640364.24000001</v>
      </c>
      <c r="H25" s="158">
        <f>J25+L25+V25</f>
        <v>161176277</v>
      </c>
      <c r="I25" s="294">
        <f t="shared" si="25"/>
        <v>5535912.7599999905</v>
      </c>
      <c r="J25" s="316">
        <f>43949078+6006500+25829400</f>
        <v>75784978</v>
      </c>
      <c r="K25" s="297">
        <v>62112196.570000008</v>
      </c>
      <c r="L25" s="158">
        <f>65655016.33+724893.4</f>
        <v>66379909.729999997</v>
      </c>
      <c r="M25" s="669">
        <v>117245192.38</v>
      </c>
      <c r="N25" s="669">
        <v>9631522.5500000007</v>
      </c>
      <c r="O25" s="669">
        <v>199.22</v>
      </c>
      <c r="P25" s="669"/>
      <c r="Q25" s="669">
        <v>14515.97</v>
      </c>
      <c r="R25" s="667">
        <f t="shared" si="16"/>
        <v>126891430.11999999</v>
      </c>
      <c r="S25" s="667">
        <f t="shared" si="17"/>
        <v>15273457.609999999</v>
      </c>
      <c r="T25" s="298">
        <f>L25-K25</f>
        <v>4267713.159999989</v>
      </c>
      <c r="U25" s="285">
        <v>17743189.670000002</v>
      </c>
      <c r="V25" s="285">
        <v>19011389.27</v>
      </c>
      <c r="W25" s="367">
        <f>V25-U25</f>
        <v>1268199.5999999978</v>
      </c>
      <c r="X25" s="279">
        <f>AB25+AE25+AF25+AI25+AL25+AA25</f>
        <v>18703273.359999999</v>
      </c>
      <c r="Y25" s="310">
        <f>AA25+AC25+AE25+AG25+AJ25+AM25</f>
        <v>18703273.359999999</v>
      </c>
      <c r="Z25" s="375">
        <f>Y25-X25</f>
        <v>0</v>
      </c>
      <c r="AA25" s="528">
        <v>17124.28</v>
      </c>
      <c r="AB25" s="310"/>
      <c r="AC25" s="63"/>
      <c r="AD25" s="357">
        <f t="shared" si="2"/>
        <v>0</v>
      </c>
      <c r="AE25" s="418">
        <v>7327860.3700000001</v>
      </c>
      <c r="AF25" s="279">
        <v>6963327.71</v>
      </c>
      <c r="AG25" s="63">
        <v>6963327.71</v>
      </c>
      <c r="AH25" s="360">
        <f>AG25-AF25</f>
        <v>0</v>
      </c>
      <c r="AI25" s="63">
        <v>4394961</v>
      </c>
      <c r="AJ25" s="63">
        <v>4394961</v>
      </c>
      <c r="AK25" s="360">
        <f>AJ25-AI25</f>
        <v>0</v>
      </c>
      <c r="AL25" s="279"/>
      <c r="AM25" s="63"/>
      <c r="AN25" s="360">
        <f>AM25-AL25</f>
        <v>0</v>
      </c>
      <c r="AO25" s="425"/>
      <c r="AP25" s="395">
        <f>1328725.04+AP88</f>
        <v>1438406.0384639017</v>
      </c>
      <c r="AQ25" s="334">
        <v>169219277.74000001</v>
      </c>
      <c r="AR25" s="347">
        <f t="shared" si="5"/>
        <v>169219277.74000001</v>
      </c>
      <c r="AS25" s="335">
        <f t="shared" si="4"/>
        <v>0</v>
      </c>
      <c r="AT25" s="324">
        <v>133835462.95</v>
      </c>
      <c r="AU25" s="682">
        <f>3333800/1.302</f>
        <v>2560522.273425499</v>
      </c>
      <c r="AV25" s="682">
        <f>S25-AU25</f>
        <v>12712935.3365745</v>
      </c>
      <c r="AW25" s="162">
        <f>133835462.95+1810232.58</f>
        <v>135645695.53</v>
      </c>
      <c r="AX25" s="162">
        <v>119406409.12</v>
      </c>
      <c r="AY25" s="162">
        <v>796625.7</v>
      </c>
      <c r="AZ25" s="162">
        <v>16645.86</v>
      </c>
      <c r="BA25" s="162"/>
      <c r="BB25" s="162">
        <v>3741.68</v>
      </c>
      <c r="BC25" s="161">
        <f t="shared" si="20"/>
        <v>120223422.36000001</v>
      </c>
      <c r="BD25" s="161">
        <f t="shared" si="21"/>
        <v>15422273.169999998</v>
      </c>
      <c r="BE25" s="349">
        <f>AW25-AT25</f>
        <v>1810232.5799999982</v>
      </c>
      <c r="BF25" s="338">
        <v>35383814.789999999</v>
      </c>
      <c r="BG25" s="162">
        <f>CD25</f>
        <v>33573582.210000001</v>
      </c>
      <c r="BH25" s="339">
        <f>BG25-BF25</f>
        <v>-1810232.5799999982</v>
      </c>
      <c r="BI25" s="540"/>
      <c r="BR25" s="617"/>
      <c r="BS25" s="621">
        <f>AJ25-BR25</f>
        <v>4394961</v>
      </c>
      <c r="BT25" s="617">
        <v>33573582.210000001</v>
      </c>
      <c r="BU25" s="621">
        <f>AM25-BT25</f>
        <v>-33573582.210000001</v>
      </c>
      <c r="BX25" s="629">
        <f t="shared" si="26"/>
        <v>169219277.74000001</v>
      </c>
      <c r="BY25" s="629">
        <f t="shared" si="13"/>
        <v>151333957.74000001</v>
      </c>
      <c r="BZ25" s="533">
        <f t="shared" si="23"/>
        <v>17885320</v>
      </c>
      <c r="CA25" s="533">
        <f>BX25</f>
        <v>169219277.74000001</v>
      </c>
      <c r="CB25" s="617">
        <v>117760375.53</v>
      </c>
      <c r="CC25" s="621">
        <f>AT25-CB25</f>
        <v>16075087.420000002</v>
      </c>
      <c r="CD25" s="617">
        <v>33573582.210000001</v>
      </c>
      <c r="CE25" s="621">
        <f>BF25-CD25</f>
        <v>1810232.5799999982</v>
      </c>
    </row>
    <row r="26" spans="1:83" ht="18.75" customHeight="1" x14ac:dyDescent="0.3">
      <c r="A26" s="437" t="s">
        <v>163</v>
      </c>
      <c r="B26" s="1385"/>
      <c r="C26" s="664">
        <v>119</v>
      </c>
      <c r="D26" s="431">
        <f>G26+X26+AP26+AQ26</f>
        <v>104667203.25</v>
      </c>
      <c r="E26" s="64">
        <f>H26+Y26+AR26+AP26</f>
        <v>99526869.980000004</v>
      </c>
      <c r="F26" s="411">
        <f t="shared" si="1"/>
        <v>-5140333.2699999958</v>
      </c>
      <c r="G26" s="285">
        <v>47003405.420000002</v>
      </c>
      <c r="H26" s="158">
        <f t="shared" ref="H26:H27" si="27">J26+L26+V26</f>
        <v>46336063.129999995</v>
      </c>
      <c r="I26" s="298">
        <f t="shared" si="25"/>
        <v>-667342.29000000656</v>
      </c>
      <c r="J26" s="316">
        <f>13272622+1814000+7800500</f>
        <v>22887122</v>
      </c>
      <c r="K26" s="297">
        <v>18709426.220000003</v>
      </c>
      <c r="L26" s="158">
        <f>17491666.84+222542.27</f>
        <v>17714209.109999999</v>
      </c>
      <c r="M26" s="669">
        <v>32642779.710000001</v>
      </c>
      <c r="N26" s="669"/>
      <c r="O26" s="669">
        <v>2874237.93</v>
      </c>
      <c r="P26" s="669"/>
      <c r="Q26" s="669"/>
      <c r="R26" s="667">
        <f t="shared" si="16"/>
        <v>35517017.640000001</v>
      </c>
      <c r="S26" s="667">
        <f t="shared" si="17"/>
        <v>5084313.4699999988</v>
      </c>
      <c r="T26" s="298">
        <f>L26-K26</f>
        <v>-995217.11000000313</v>
      </c>
      <c r="U26" s="285">
        <v>5406857.2000000002</v>
      </c>
      <c r="V26" s="285">
        <v>5734732.0199999996</v>
      </c>
      <c r="W26" s="367">
        <f>V26-U26</f>
        <v>327874.81999999937</v>
      </c>
      <c r="X26" s="279">
        <f>AB26+AE26+AF26+AI26+AL26+AA26</f>
        <v>6406757.6800000006</v>
      </c>
      <c r="Y26" s="310">
        <f>AA26+AC26+AE26+AG26+AJ26+AM26</f>
        <v>6406757.6799999997</v>
      </c>
      <c r="Z26" s="375">
        <f>Y26-X26</f>
        <v>0</v>
      </c>
      <c r="AA26" s="528">
        <v>116614.03</v>
      </c>
      <c r="AB26" s="310"/>
      <c r="AC26" s="63"/>
      <c r="AD26" s="357">
        <f t="shared" si="2"/>
        <v>0</v>
      </c>
      <c r="AE26" s="418">
        <v>2213013.83</v>
      </c>
      <c r="AF26" s="279">
        <v>2099790.8199999998</v>
      </c>
      <c r="AG26" s="63">
        <v>2099790.8199999998</v>
      </c>
      <c r="AH26" s="360">
        <f>AG26-AF26</f>
        <v>0</v>
      </c>
      <c r="AI26" s="63">
        <v>1977339</v>
      </c>
      <c r="AJ26" s="63">
        <v>1977339</v>
      </c>
      <c r="AK26" s="360">
        <f>AJ26-AI26</f>
        <v>0</v>
      </c>
      <c r="AL26" s="279"/>
      <c r="AM26" s="63"/>
      <c r="AN26" s="360">
        <f>AM26-AL26</f>
        <v>0</v>
      </c>
      <c r="AO26" s="425"/>
      <c r="AP26" s="395">
        <f>401274.96+AP89</f>
        <v>434398.62</v>
      </c>
      <c r="AQ26" s="334">
        <v>50822641.530000001</v>
      </c>
      <c r="AR26" s="347">
        <f t="shared" si="5"/>
        <v>46349650.550000004</v>
      </c>
      <c r="AS26" s="335">
        <f t="shared" si="4"/>
        <v>-4472990.9799999967</v>
      </c>
      <c r="AT26" s="324">
        <v>40136730.07</v>
      </c>
      <c r="AU26" s="682">
        <f>AU25*0.302</f>
        <v>773277.72657450067</v>
      </c>
      <c r="AV26" s="682">
        <f>S26-AU26</f>
        <v>4311035.7434254978</v>
      </c>
      <c r="AW26" s="162">
        <f>CB26+250000</f>
        <v>36884950.060000002</v>
      </c>
      <c r="AX26" s="162">
        <v>36417281.479999997</v>
      </c>
      <c r="AY26" s="162">
        <v>4427.8999999999996</v>
      </c>
      <c r="AZ26" s="162"/>
      <c r="BA26" s="162"/>
      <c r="BB26" s="162"/>
      <c r="BC26" s="161">
        <f t="shared" si="20"/>
        <v>36421709.379999995</v>
      </c>
      <c r="BD26" s="161">
        <f t="shared" si="21"/>
        <v>463240.68000000564</v>
      </c>
      <c r="BE26" s="349">
        <f>AW26-AT26</f>
        <v>-3251780.0099999979</v>
      </c>
      <c r="BF26" s="338">
        <v>10685911.460000001</v>
      </c>
      <c r="BG26" s="162">
        <f>CD26</f>
        <v>9464700.4900000002</v>
      </c>
      <c r="BH26" s="339">
        <f>BG26-BF26</f>
        <v>-1221210.9700000007</v>
      </c>
      <c r="BI26" s="540"/>
      <c r="BR26" s="617"/>
      <c r="BS26" s="621">
        <f>AJ26-BR26</f>
        <v>1977339</v>
      </c>
      <c r="BT26" s="617">
        <v>9464700.4900000002</v>
      </c>
      <c r="BU26" s="621">
        <f t="shared" ref="BU26:BU27" si="28">AM26-BT26</f>
        <v>-9464700.4900000002</v>
      </c>
      <c r="BX26" s="629">
        <f t="shared" si="26"/>
        <v>50822641.530000001</v>
      </c>
      <c r="BY26" s="629">
        <f t="shared" si="13"/>
        <v>46099650.550000004</v>
      </c>
      <c r="BZ26" s="533">
        <f t="shared" si="23"/>
        <v>4722990.9799999967</v>
      </c>
      <c r="CA26" s="631">
        <f>BY26</f>
        <v>46099650.550000004</v>
      </c>
      <c r="CB26" s="617">
        <f>36338408.06+96542+200000</f>
        <v>36634950.060000002</v>
      </c>
      <c r="CC26" s="621">
        <f>AT26-CB26</f>
        <v>3501780.0099999979</v>
      </c>
      <c r="CD26" s="617">
        <v>9464700.4900000002</v>
      </c>
      <c r="CE26" s="621">
        <f t="shared" ref="CE26:CE27" si="29">BF26-CD26</f>
        <v>1221210.9700000007</v>
      </c>
    </row>
    <row r="27" spans="1:83" ht="39.75" customHeight="1" x14ac:dyDescent="0.3">
      <c r="A27" s="437" t="s">
        <v>164</v>
      </c>
      <c r="B27" s="1385"/>
      <c r="C27" s="664">
        <v>112</v>
      </c>
      <c r="D27" s="431">
        <f>G27+X27+AP27+AQ27</f>
        <v>2031896.3</v>
      </c>
      <c r="E27" s="64">
        <f>H27+Y27+AR27+AP27</f>
        <v>2196078.2000000002</v>
      </c>
      <c r="F27" s="410">
        <f t="shared" si="1"/>
        <v>164181.90000000014</v>
      </c>
      <c r="G27" s="285">
        <v>281896.3</v>
      </c>
      <c r="H27" s="158">
        <f t="shared" si="27"/>
        <v>446078.2</v>
      </c>
      <c r="I27" s="298">
        <f t="shared" si="25"/>
        <v>164181.90000000002</v>
      </c>
      <c r="J27" s="316"/>
      <c r="K27" s="297">
        <v>122448.56999999998</v>
      </c>
      <c r="L27" s="158">
        <v>400000</v>
      </c>
      <c r="M27" s="669">
        <v>318163.46999999997</v>
      </c>
      <c r="N27" s="669">
        <v>345</v>
      </c>
      <c r="O27" s="669"/>
      <c r="P27" s="669">
        <v>2400</v>
      </c>
      <c r="Q27" s="669"/>
      <c r="R27" s="667">
        <f t="shared" si="16"/>
        <v>320908.46999999997</v>
      </c>
      <c r="S27" s="667">
        <f t="shared" si="17"/>
        <v>79091.530000000028</v>
      </c>
      <c r="T27" s="298">
        <f>L27-K27</f>
        <v>277551.43000000005</v>
      </c>
      <c r="U27" s="285">
        <v>159447.73000000001</v>
      </c>
      <c r="V27" s="285">
        <v>46078.2</v>
      </c>
      <c r="W27" s="367">
        <f>V27-U27</f>
        <v>-113369.53000000001</v>
      </c>
      <c r="X27" s="279">
        <f t="shared" ref="X27:X34" si="30">SUM(AB27:AF27)</f>
        <v>0</v>
      </c>
      <c r="Y27" s="310"/>
      <c r="Z27" s="375"/>
      <c r="AA27" s="528"/>
      <c r="AB27" s="310" t="s">
        <v>252</v>
      </c>
      <c r="AC27" s="63"/>
      <c r="AD27" s="357"/>
      <c r="AE27" s="418"/>
      <c r="AF27" s="279"/>
      <c r="AG27" s="63"/>
      <c r="AH27" s="360"/>
      <c r="AI27" s="279"/>
      <c r="AJ27" s="63"/>
      <c r="AK27" s="360"/>
      <c r="AL27" s="279"/>
      <c r="AM27" s="63"/>
      <c r="AN27" s="360"/>
      <c r="AO27" s="425"/>
      <c r="AP27" s="395"/>
      <c r="AQ27" s="334">
        <v>1750000</v>
      </c>
      <c r="AR27" s="347">
        <f t="shared" si="5"/>
        <v>1750000</v>
      </c>
      <c r="AS27" s="335">
        <f t="shared" si="4"/>
        <v>0</v>
      </c>
      <c r="AT27" s="324">
        <v>1500000</v>
      </c>
      <c r="AU27" s="682"/>
      <c r="AV27" s="682">
        <f>S27</f>
        <v>79091.530000000028</v>
      </c>
      <c r="AW27" s="162">
        <f>1500000+8040.49</f>
        <v>1508040.49</v>
      </c>
      <c r="AX27" s="162">
        <v>1118522.93</v>
      </c>
      <c r="AY27" s="162">
        <v>10890</v>
      </c>
      <c r="AZ27" s="162">
        <v>210175.73</v>
      </c>
      <c r="BA27" s="162"/>
      <c r="BB27" s="162"/>
      <c r="BC27" s="161">
        <f t="shared" si="20"/>
        <v>1339588.6599999999</v>
      </c>
      <c r="BD27" s="161">
        <f t="shared" si="21"/>
        <v>168451.83000000005</v>
      </c>
      <c r="BE27" s="349">
        <f>AW27-AT27</f>
        <v>8040.4899999999907</v>
      </c>
      <c r="BF27" s="338">
        <v>250000</v>
      </c>
      <c r="BG27" s="162">
        <f>CD27</f>
        <v>241959.51</v>
      </c>
      <c r="BH27" s="339">
        <f>BG27-BF27</f>
        <v>-8040.4899999999907</v>
      </c>
      <c r="BI27" s="540"/>
      <c r="BR27" s="617"/>
      <c r="BS27" s="621">
        <f>AJ27-BR27</f>
        <v>0</v>
      </c>
      <c r="BT27" s="617">
        <v>241959.51</v>
      </c>
      <c r="BU27" s="621">
        <f t="shared" si="28"/>
        <v>-241959.51</v>
      </c>
      <c r="BX27" s="629">
        <f t="shared" si="26"/>
        <v>1750000</v>
      </c>
      <c r="BY27" s="629">
        <f t="shared" si="13"/>
        <v>1360482.44</v>
      </c>
      <c r="BZ27" s="533">
        <f t="shared" si="23"/>
        <v>389517.56000000006</v>
      </c>
      <c r="CA27" s="533">
        <f>BX27</f>
        <v>1750000</v>
      </c>
      <c r="CB27" s="617">
        <v>1118522.93</v>
      </c>
      <c r="CC27" s="621">
        <f>AT27-CB27</f>
        <v>381477.07000000007</v>
      </c>
      <c r="CD27" s="617">
        <v>241959.51</v>
      </c>
      <c r="CE27" s="621">
        <f t="shared" si="29"/>
        <v>8040.4899999999907</v>
      </c>
    </row>
    <row r="28" spans="1:83" s="115" customFormat="1" ht="31.5" x14ac:dyDescent="0.3">
      <c r="A28" s="435" t="s">
        <v>165</v>
      </c>
      <c r="B28" s="1385">
        <v>220</v>
      </c>
      <c r="C28" s="436">
        <v>300</v>
      </c>
      <c r="D28" s="430">
        <f>G28+X28+AP28+AT28</f>
        <v>0</v>
      </c>
      <c r="E28" s="59">
        <f>H28+Y28+AQ28+AP28</f>
        <v>0</v>
      </c>
      <c r="F28" s="410">
        <f t="shared" si="1"/>
        <v>0</v>
      </c>
      <c r="G28" s="283">
        <f>G30+G31</f>
        <v>0</v>
      </c>
      <c r="H28" s="157"/>
      <c r="I28" s="298">
        <f t="shared" si="25"/>
        <v>0</v>
      </c>
      <c r="J28" s="314"/>
      <c r="K28" s="293">
        <f>K30+K31</f>
        <v>0</v>
      </c>
      <c r="L28" s="157"/>
      <c r="M28" s="157"/>
      <c r="N28" s="157"/>
      <c r="O28" s="157"/>
      <c r="P28" s="157"/>
      <c r="Q28" s="667"/>
      <c r="R28" s="667">
        <f t="shared" si="16"/>
        <v>0</v>
      </c>
      <c r="S28" s="667">
        <f t="shared" si="17"/>
        <v>0</v>
      </c>
      <c r="T28" s="294"/>
      <c r="U28" s="293">
        <f>U30+U31</f>
        <v>0</v>
      </c>
      <c r="V28" s="283"/>
      <c r="W28" s="365"/>
      <c r="X28" s="276">
        <f t="shared" si="30"/>
        <v>0</v>
      </c>
      <c r="Y28" s="307"/>
      <c r="Z28" s="372"/>
      <c r="AA28" s="525"/>
      <c r="AB28" s="307">
        <v>0</v>
      </c>
      <c r="AC28" s="153">
        <v>0</v>
      </c>
      <c r="AD28" s="357">
        <f t="shared" si="2"/>
        <v>0</v>
      </c>
      <c r="AE28" s="415">
        <v>0</v>
      </c>
      <c r="AF28" s="276">
        <f>AF30+AF31</f>
        <v>0</v>
      </c>
      <c r="AG28" s="153"/>
      <c r="AH28" s="357"/>
      <c r="AI28" s="276"/>
      <c r="AJ28" s="153"/>
      <c r="AK28" s="357"/>
      <c r="AL28" s="276"/>
      <c r="AM28" s="153"/>
      <c r="AN28" s="357"/>
      <c r="AO28" s="422">
        <f>AO30+AO31</f>
        <v>0</v>
      </c>
      <c r="AP28" s="396">
        <v>0</v>
      </c>
      <c r="AQ28" s="334">
        <v>0</v>
      </c>
      <c r="AR28" s="347">
        <f t="shared" si="5"/>
        <v>0</v>
      </c>
      <c r="AS28" s="335">
        <f t="shared" si="4"/>
        <v>0</v>
      </c>
      <c r="AT28" s="323"/>
      <c r="AU28" s="680"/>
      <c r="AV28" s="680"/>
      <c r="AW28" s="161"/>
      <c r="AX28" s="161"/>
      <c r="AY28" s="161"/>
      <c r="AZ28" s="161"/>
      <c r="BA28" s="161"/>
      <c r="BB28" s="161"/>
      <c r="BC28" s="161">
        <f t="shared" si="20"/>
        <v>0</v>
      </c>
      <c r="BD28" s="161">
        <f t="shared" si="21"/>
        <v>0</v>
      </c>
      <c r="BE28" s="347"/>
      <c r="BF28" s="334"/>
      <c r="BG28" s="161"/>
      <c r="BH28" s="335"/>
      <c r="BI28" s="539">
        <f>BI30+BI31</f>
        <v>0</v>
      </c>
      <c r="BR28" s="617"/>
      <c r="BS28" s="621">
        <f>AK28-BR28</f>
        <v>0</v>
      </c>
      <c r="BT28" s="617"/>
      <c r="BU28" s="621"/>
      <c r="BX28" s="628">
        <f t="shared" si="26"/>
        <v>0</v>
      </c>
      <c r="BY28" s="628">
        <f t="shared" si="13"/>
        <v>0</v>
      </c>
      <c r="BZ28" s="535">
        <f t="shared" si="23"/>
        <v>0</v>
      </c>
      <c r="CA28" s="533"/>
      <c r="CB28" s="617"/>
      <c r="CC28" s="621">
        <f>AW28-CB28</f>
        <v>0</v>
      </c>
      <c r="CD28" s="617"/>
      <c r="CE28" s="621"/>
    </row>
    <row r="29" spans="1:83" x14ac:dyDescent="0.3">
      <c r="A29" s="437" t="s">
        <v>92</v>
      </c>
      <c r="B29" s="1385"/>
      <c r="C29" s="438"/>
      <c r="D29" s="431"/>
      <c r="E29" s="59">
        <f>H29+Y29+AQ29+AP29</f>
        <v>0</v>
      </c>
      <c r="F29" s="410">
        <f t="shared" si="1"/>
        <v>0</v>
      </c>
      <c r="G29" s="285"/>
      <c r="H29" s="158"/>
      <c r="I29" s="298">
        <f t="shared" si="25"/>
        <v>0</v>
      </c>
      <c r="J29" s="316"/>
      <c r="K29" s="297"/>
      <c r="L29" s="158"/>
      <c r="M29" s="158"/>
      <c r="N29" s="158"/>
      <c r="O29" s="158"/>
      <c r="P29" s="158"/>
      <c r="Q29" s="669"/>
      <c r="R29" s="667">
        <f t="shared" si="16"/>
        <v>0</v>
      </c>
      <c r="S29" s="667">
        <f t="shared" si="17"/>
        <v>0</v>
      </c>
      <c r="T29" s="298"/>
      <c r="U29" s="297"/>
      <c r="V29" s="285"/>
      <c r="W29" s="367"/>
      <c r="X29" s="279">
        <f t="shared" si="30"/>
        <v>0</v>
      </c>
      <c r="Y29" s="310"/>
      <c r="Z29" s="375"/>
      <c r="AA29" s="528"/>
      <c r="AB29" s="310"/>
      <c r="AC29" s="63"/>
      <c r="AD29" s="357">
        <f t="shared" si="2"/>
        <v>0</v>
      </c>
      <c r="AE29" s="418"/>
      <c r="AF29" s="279"/>
      <c r="AG29" s="63"/>
      <c r="AH29" s="360"/>
      <c r="AI29" s="279"/>
      <c r="AJ29" s="63"/>
      <c r="AK29" s="360"/>
      <c r="AL29" s="279"/>
      <c r="AM29" s="63"/>
      <c r="AN29" s="360"/>
      <c r="AO29" s="425"/>
      <c r="AP29" s="395"/>
      <c r="AQ29" s="334">
        <v>0</v>
      </c>
      <c r="AR29" s="347">
        <f t="shared" si="5"/>
        <v>0</v>
      </c>
      <c r="AS29" s="335">
        <f t="shared" si="4"/>
        <v>0</v>
      </c>
      <c r="AT29" s="324"/>
      <c r="AU29" s="682"/>
      <c r="AV29" s="682"/>
      <c r="AW29" s="162"/>
      <c r="AX29" s="162"/>
      <c r="AY29" s="162"/>
      <c r="AZ29" s="162"/>
      <c r="BA29" s="162"/>
      <c r="BB29" s="162"/>
      <c r="BC29" s="161">
        <f t="shared" si="20"/>
        <v>0</v>
      </c>
      <c r="BD29" s="161">
        <f t="shared" si="21"/>
        <v>0</v>
      </c>
      <c r="BE29" s="349"/>
      <c r="BF29" s="338"/>
      <c r="BG29" s="162"/>
      <c r="BH29" s="339"/>
      <c r="BI29" s="540"/>
      <c r="BR29" s="617"/>
      <c r="BS29" s="621">
        <f>AK29-BR29</f>
        <v>0</v>
      </c>
      <c r="BT29" s="617"/>
      <c r="BU29" s="621"/>
      <c r="BX29" s="628">
        <f t="shared" si="26"/>
        <v>0</v>
      </c>
      <c r="BY29" s="628">
        <f t="shared" si="13"/>
        <v>0</v>
      </c>
      <c r="BZ29" s="535">
        <f t="shared" si="23"/>
        <v>0</v>
      </c>
      <c r="CA29" s="533"/>
      <c r="CB29" s="617"/>
      <c r="CC29" s="621">
        <f>AW29-CB29</f>
        <v>0</v>
      </c>
      <c r="CD29" s="617"/>
      <c r="CE29" s="621"/>
    </row>
    <row r="30" spans="1:83" x14ac:dyDescent="0.3">
      <c r="A30" s="1446" t="s">
        <v>166</v>
      </c>
      <c r="B30" s="1385"/>
      <c r="C30" s="664">
        <v>321</v>
      </c>
      <c r="D30" s="431"/>
      <c r="E30" s="59">
        <f>H30+Y30+AQ30+AP30</f>
        <v>0</v>
      </c>
      <c r="F30" s="410">
        <f t="shared" si="1"/>
        <v>0</v>
      </c>
      <c r="G30" s="285"/>
      <c r="H30" s="158"/>
      <c r="I30" s="298">
        <f t="shared" si="25"/>
        <v>0</v>
      </c>
      <c r="J30" s="316"/>
      <c r="K30" s="297"/>
      <c r="L30" s="158"/>
      <c r="M30" s="158"/>
      <c r="N30" s="158"/>
      <c r="O30" s="158"/>
      <c r="P30" s="158"/>
      <c r="Q30" s="669"/>
      <c r="R30" s="667">
        <f t="shared" si="16"/>
        <v>0</v>
      </c>
      <c r="S30" s="667">
        <f t="shared" si="17"/>
        <v>0</v>
      </c>
      <c r="T30" s="298"/>
      <c r="U30" s="297"/>
      <c r="V30" s="285"/>
      <c r="W30" s="367"/>
      <c r="X30" s="279">
        <f t="shared" si="30"/>
        <v>0</v>
      </c>
      <c r="Y30" s="310"/>
      <c r="Z30" s="375"/>
      <c r="AA30" s="528"/>
      <c r="AB30" s="310"/>
      <c r="AC30" s="63"/>
      <c r="AD30" s="357">
        <f t="shared" si="2"/>
        <v>0</v>
      </c>
      <c r="AE30" s="418"/>
      <c r="AF30" s="279"/>
      <c r="AG30" s="63"/>
      <c r="AH30" s="360"/>
      <c r="AI30" s="279"/>
      <c r="AJ30" s="63"/>
      <c r="AK30" s="360"/>
      <c r="AL30" s="279"/>
      <c r="AM30" s="63"/>
      <c r="AN30" s="360"/>
      <c r="AO30" s="425"/>
      <c r="AP30" s="395"/>
      <c r="AQ30" s="334">
        <v>0</v>
      </c>
      <c r="AR30" s="347">
        <f t="shared" si="5"/>
        <v>0</v>
      </c>
      <c r="AS30" s="335">
        <f t="shared" si="4"/>
        <v>0</v>
      </c>
      <c r="AT30" s="324"/>
      <c r="AU30" s="682"/>
      <c r="AV30" s="682"/>
      <c r="AW30" s="162"/>
      <c r="AX30" s="162"/>
      <c r="AY30" s="162"/>
      <c r="AZ30" s="162"/>
      <c r="BA30" s="162"/>
      <c r="BB30" s="162"/>
      <c r="BC30" s="161">
        <f t="shared" si="20"/>
        <v>0</v>
      </c>
      <c r="BD30" s="161">
        <f t="shared" si="21"/>
        <v>0</v>
      </c>
      <c r="BE30" s="349"/>
      <c r="BF30" s="338"/>
      <c r="BG30" s="162"/>
      <c r="BH30" s="339"/>
      <c r="BI30" s="540"/>
      <c r="BR30" s="617"/>
      <c r="BS30" s="621">
        <f>AK30-BR30</f>
        <v>0</v>
      </c>
      <c r="BT30" s="617"/>
      <c r="BU30" s="621"/>
      <c r="BX30" s="628">
        <f t="shared" si="26"/>
        <v>0</v>
      </c>
      <c r="BY30" s="628">
        <f t="shared" si="13"/>
        <v>0</v>
      </c>
      <c r="BZ30" s="535">
        <f t="shared" si="23"/>
        <v>0</v>
      </c>
      <c r="CA30" s="533"/>
      <c r="CB30" s="617"/>
      <c r="CC30" s="621">
        <f>AW30-CB30</f>
        <v>0</v>
      </c>
      <c r="CD30" s="617"/>
      <c r="CE30" s="621"/>
    </row>
    <row r="31" spans="1:83" x14ac:dyDescent="0.3">
      <c r="A31" s="1447"/>
      <c r="B31" s="1385"/>
      <c r="C31" s="664">
        <v>360</v>
      </c>
      <c r="D31" s="431"/>
      <c r="E31" s="59">
        <f>H31+Y31+AQ31+AP31</f>
        <v>0</v>
      </c>
      <c r="F31" s="410">
        <f t="shared" si="1"/>
        <v>0</v>
      </c>
      <c r="G31" s="285"/>
      <c r="H31" s="158"/>
      <c r="I31" s="298">
        <f t="shared" si="25"/>
        <v>0</v>
      </c>
      <c r="J31" s="316"/>
      <c r="K31" s="297"/>
      <c r="L31" s="158"/>
      <c r="M31" s="158"/>
      <c r="N31" s="158"/>
      <c r="O31" s="158"/>
      <c r="P31" s="158"/>
      <c r="Q31" s="669"/>
      <c r="R31" s="667">
        <f t="shared" si="16"/>
        <v>0</v>
      </c>
      <c r="S31" s="667">
        <f t="shared" si="17"/>
        <v>0</v>
      </c>
      <c r="T31" s="298"/>
      <c r="U31" s="297"/>
      <c r="V31" s="285"/>
      <c r="W31" s="367"/>
      <c r="X31" s="279">
        <f t="shared" si="30"/>
        <v>0</v>
      </c>
      <c r="Y31" s="310"/>
      <c r="Z31" s="375"/>
      <c r="AA31" s="528"/>
      <c r="AB31" s="310"/>
      <c r="AC31" s="63"/>
      <c r="AD31" s="357">
        <f t="shared" si="2"/>
        <v>0</v>
      </c>
      <c r="AE31" s="418"/>
      <c r="AF31" s="279"/>
      <c r="AG31" s="63"/>
      <c r="AH31" s="360"/>
      <c r="AI31" s="279"/>
      <c r="AJ31" s="63"/>
      <c r="AK31" s="360"/>
      <c r="AL31" s="279"/>
      <c r="AM31" s="63"/>
      <c r="AN31" s="360"/>
      <c r="AO31" s="425"/>
      <c r="AP31" s="395"/>
      <c r="AQ31" s="334">
        <v>0</v>
      </c>
      <c r="AR31" s="347">
        <f t="shared" si="5"/>
        <v>0</v>
      </c>
      <c r="AS31" s="335">
        <f t="shared" si="4"/>
        <v>0</v>
      </c>
      <c r="AT31" s="324"/>
      <c r="AU31" s="682"/>
      <c r="AV31" s="682"/>
      <c r="AW31" s="162"/>
      <c r="AX31" s="162"/>
      <c r="AY31" s="162"/>
      <c r="AZ31" s="162"/>
      <c r="BA31" s="162"/>
      <c r="BB31" s="162"/>
      <c r="BC31" s="161">
        <f t="shared" si="20"/>
        <v>0</v>
      </c>
      <c r="BD31" s="161">
        <f t="shared" si="21"/>
        <v>0</v>
      </c>
      <c r="BE31" s="349"/>
      <c r="BF31" s="338"/>
      <c r="BG31" s="162"/>
      <c r="BH31" s="339"/>
      <c r="BI31" s="540"/>
      <c r="BR31" s="617"/>
      <c r="BS31" s="621">
        <f>AK31-BR31</f>
        <v>0</v>
      </c>
      <c r="BT31" s="617"/>
      <c r="BU31" s="621"/>
      <c r="BX31" s="628">
        <f t="shared" si="26"/>
        <v>0</v>
      </c>
      <c r="BY31" s="628">
        <f t="shared" si="13"/>
        <v>0</v>
      </c>
      <c r="BZ31" s="535">
        <f t="shared" si="23"/>
        <v>0</v>
      </c>
      <c r="CA31" s="533"/>
      <c r="CB31" s="617"/>
      <c r="CC31" s="621">
        <f>AW31-CB31</f>
        <v>0</v>
      </c>
      <c r="CD31" s="617"/>
      <c r="CE31" s="621"/>
    </row>
    <row r="32" spans="1:83" s="115" customFormat="1" x14ac:dyDescent="0.3">
      <c r="A32" s="439" t="s">
        <v>167</v>
      </c>
      <c r="B32" s="113"/>
      <c r="C32" s="436">
        <v>800</v>
      </c>
      <c r="D32" s="430">
        <f>G32+X32+AP32+AQ32</f>
        <v>14360783.34</v>
      </c>
      <c r="E32" s="59">
        <f>H32+Y32+AR32+AP32</f>
        <v>13448124.789999999</v>
      </c>
      <c r="F32" s="410">
        <f t="shared" si="1"/>
        <v>-912658.55000000075</v>
      </c>
      <c r="G32" s="157">
        <f>G33+G35</f>
        <v>5888541</v>
      </c>
      <c r="H32" s="157">
        <f>H33+H35</f>
        <v>5888541</v>
      </c>
      <c r="I32" s="298">
        <f t="shared" si="25"/>
        <v>0</v>
      </c>
      <c r="J32" s="314">
        <f>J33+J35</f>
        <v>0</v>
      </c>
      <c r="K32" s="293">
        <f>K33+K35</f>
        <v>3778708.8</v>
      </c>
      <c r="L32" s="157">
        <f>L33+L35</f>
        <v>5011411</v>
      </c>
      <c r="M32" s="157">
        <f>M33+M35</f>
        <v>3625324.3499999996</v>
      </c>
      <c r="N32" s="157">
        <f t="shared" ref="N32:P32" si="31">N33+N35</f>
        <v>0</v>
      </c>
      <c r="O32" s="157">
        <f t="shared" si="31"/>
        <v>0</v>
      </c>
      <c r="P32" s="157">
        <f t="shared" si="31"/>
        <v>0</v>
      </c>
      <c r="Q32" s="667"/>
      <c r="R32" s="667">
        <f t="shared" si="16"/>
        <v>3625324.3499999996</v>
      </c>
      <c r="S32" s="667">
        <f t="shared" si="17"/>
        <v>1386086.6500000004</v>
      </c>
      <c r="T32" s="294">
        <f>L32-K32</f>
        <v>1232702.2000000002</v>
      </c>
      <c r="U32" s="293">
        <f>U33+U35</f>
        <v>2109832.2000000002</v>
      </c>
      <c r="V32" s="283">
        <f>V33+V35</f>
        <v>877130</v>
      </c>
      <c r="W32" s="365">
        <f>V32-U32</f>
        <v>-1232702.2000000002</v>
      </c>
      <c r="X32" s="276">
        <f>X33+X35</f>
        <v>1465613.4300000002</v>
      </c>
      <c r="Y32" s="307">
        <f>Y34+Y35+Y36</f>
        <v>1465613.4300000002</v>
      </c>
      <c r="Z32" s="372">
        <f>Y32-X32</f>
        <v>0</v>
      </c>
      <c r="AA32" s="525">
        <f>AA33+AA35</f>
        <v>3673.7</v>
      </c>
      <c r="AB32" s="307">
        <f t="shared" ref="AB32:BI32" si="32">AB33+AB35</f>
        <v>0</v>
      </c>
      <c r="AC32" s="153">
        <f t="shared" si="32"/>
        <v>0</v>
      </c>
      <c r="AD32" s="357">
        <f t="shared" si="2"/>
        <v>0</v>
      </c>
      <c r="AE32" s="415">
        <f t="shared" si="32"/>
        <v>1293239.8</v>
      </c>
      <c r="AF32" s="276">
        <f t="shared" si="32"/>
        <v>168699.93</v>
      </c>
      <c r="AG32" s="153">
        <f t="shared" si="32"/>
        <v>168699.93</v>
      </c>
      <c r="AH32" s="357">
        <f>AG32-AF32</f>
        <v>0</v>
      </c>
      <c r="AI32" s="276"/>
      <c r="AJ32" s="153"/>
      <c r="AK32" s="357"/>
      <c r="AL32" s="276"/>
      <c r="AM32" s="153"/>
      <c r="AN32" s="357"/>
      <c r="AO32" s="422">
        <f t="shared" si="32"/>
        <v>0</v>
      </c>
      <c r="AP32" s="396">
        <f t="shared" si="32"/>
        <v>0</v>
      </c>
      <c r="AQ32" s="334">
        <v>7006628.9100000001</v>
      </c>
      <c r="AR32" s="347">
        <f t="shared" si="5"/>
        <v>6093970.3600000003</v>
      </c>
      <c r="AS32" s="335">
        <f t="shared" si="4"/>
        <v>-912658.54999999981</v>
      </c>
      <c r="AT32" s="161">
        <f>AT33+AT35</f>
        <v>6468056.7800000003</v>
      </c>
      <c r="AU32" s="683"/>
      <c r="AV32" s="683">
        <f>S32</f>
        <v>1386086.6500000004</v>
      </c>
      <c r="AW32" s="161">
        <f>AW33+AW35</f>
        <v>5585718.4199999999</v>
      </c>
      <c r="AX32" s="161">
        <f t="shared" ref="AX32" si="33">AX33+AX35</f>
        <v>5301374.92</v>
      </c>
      <c r="AY32" s="161">
        <f t="shared" ref="AY32" si="34">AY33+AY35</f>
        <v>0</v>
      </c>
      <c r="AZ32" s="161">
        <f t="shared" ref="AZ32" si="35">AZ33+AZ35</f>
        <v>0</v>
      </c>
      <c r="BA32" s="161">
        <f t="shared" ref="BA32" si="36">BA33+BA35</f>
        <v>0</v>
      </c>
      <c r="BB32" s="161"/>
      <c r="BC32" s="161">
        <f t="shared" si="20"/>
        <v>5301374.92</v>
      </c>
      <c r="BD32" s="161">
        <f t="shared" si="21"/>
        <v>284343.5</v>
      </c>
      <c r="BE32" s="347">
        <f>AW32-AT32</f>
        <v>-882338.36000000034</v>
      </c>
      <c r="BF32" s="334">
        <v>538572.13</v>
      </c>
      <c r="BG32" s="161">
        <f t="shared" si="32"/>
        <v>508251.94</v>
      </c>
      <c r="BH32" s="335">
        <f>BG32-BF32</f>
        <v>-30320.190000000002</v>
      </c>
      <c r="BI32" s="539">
        <f t="shared" si="32"/>
        <v>0</v>
      </c>
      <c r="BR32" s="334">
        <f>BR33+BR35</f>
        <v>0</v>
      </c>
      <c r="BS32" s="539">
        <f t="shared" ref="BS32:BU32" si="37">BS33+BS35</f>
        <v>0</v>
      </c>
      <c r="BT32" s="334">
        <f t="shared" si="37"/>
        <v>508251.94</v>
      </c>
      <c r="BU32" s="539">
        <f t="shared" si="37"/>
        <v>-508251.94</v>
      </c>
      <c r="BX32" s="628">
        <f t="shared" si="26"/>
        <v>7006628.9100000001</v>
      </c>
      <c r="BY32" s="628">
        <f t="shared" si="13"/>
        <v>5603626.8600000003</v>
      </c>
      <c r="BZ32" s="535">
        <f t="shared" si="23"/>
        <v>1403002.0499999998</v>
      </c>
      <c r="CA32" s="334">
        <f>CA33+CA35</f>
        <v>6568793.6699999999</v>
      </c>
      <c r="CB32" s="334">
        <f>CB33+CB35</f>
        <v>5095374.92</v>
      </c>
      <c r="CC32" s="539">
        <f t="shared" ref="CC32:CE32" si="38">CC33+CC35</f>
        <v>1372681.8600000003</v>
      </c>
      <c r="CD32" s="334">
        <f t="shared" si="38"/>
        <v>508251.94</v>
      </c>
      <c r="CE32" s="539">
        <f t="shared" si="38"/>
        <v>30320.190000000002</v>
      </c>
    </row>
    <row r="33" spans="1:83" s="115" customFormat="1" x14ac:dyDescent="0.3">
      <c r="A33" s="439" t="s">
        <v>168</v>
      </c>
      <c r="B33" s="113"/>
      <c r="C33" s="436">
        <v>830</v>
      </c>
      <c r="D33" s="430">
        <f>G33+X33+AP33+AQ33</f>
        <v>400000</v>
      </c>
      <c r="E33" s="59">
        <f>H33+Y33+AR33+AP33</f>
        <v>207144.42</v>
      </c>
      <c r="F33" s="410">
        <f t="shared" si="1"/>
        <v>-192855.58</v>
      </c>
      <c r="G33" s="283">
        <f>SUM(G34)</f>
        <v>0</v>
      </c>
      <c r="H33" s="157"/>
      <c r="I33" s="298">
        <f t="shared" si="25"/>
        <v>0</v>
      </c>
      <c r="J33" s="314"/>
      <c r="K33" s="293">
        <f>SUM(K34)</f>
        <v>0</v>
      </c>
      <c r="L33" s="157"/>
      <c r="M33" s="157"/>
      <c r="N33" s="157"/>
      <c r="O33" s="157"/>
      <c r="P33" s="157"/>
      <c r="Q33" s="667"/>
      <c r="R33" s="667">
        <f t="shared" si="16"/>
        <v>0</v>
      </c>
      <c r="S33" s="667">
        <f t="shared" si="17"/>
        <v>0</v>
      </c>
      <c r="T33" s="294"/>
      <c r="U33" s="293">
        <f>SUM(U34)</f>
        <v>0</v>
      </c>
      <c r="V33" s="283"/>
      <c r="W33" s="365"/>
      <c r="X33" s="276">
        <f t="shared" si="30"/>
        <v>0</v>
      </c>
      <c r="Y33" s="307"/>
      <c r="Z33" s="372"/>
      <c r="AA33" s="525"/>
      <c r="AB33" s="307">
        <f t="shared" ref="AB33:BI33" si="39">SUM(AB34)</f>
        <v>0</v>
      </c>
      <c r="AC33" s="153">
        <f t="shared" si="39"/>
        <v>0</v>
      </c>
      <c r="AD33" s="357">
        <f t="shared" si="2"/>
        <v>0</v>
      </c>
      <c r="AE33" s="415">
        <f t="shared" si="39"/>
        <v>0</v>
      </c>
      <c r="AF33" s="276">
        <f t="shared" si="39"/>
        <v>0</v>
      </c>
      <c r="AG33" s="153"/>
      <c r="AH33" s="357"/>
      <c r="AI33" s="276"/>
      <c r="AJ33" s="153"/>
      <c r="AK33" s="357"/>
      <c r="AL33" s="276"/>
      <c r="AM33" s="153"/>
      <c r="AN33" s="357"/>
      <c r="AO33" s="422">
        <f t="shared" si="39"/>
        <v>0</v>
      </c>
      <c r="AP33" s="396">
        <f t="shared" si="39"/>
        <v>0</v>
      </c>
      <c r="AQ33" s="334">
        <v>400000</v>
      </c>
      <c r="AR33" s="347">
        <f t="shared" si="5"/>
        <v>207144.42</v>
      </c>
      <c r="AS33" s="335">
        <f t="shared" si="4"/>
        <v>-192855.58</v>
      </c>
      <c r="AT33" s="323">
        <v>400000</v>
      </c>
      <c r="AU33" s="680"/>
      <c r="AV33" s="680"/>
      <c r="AW33" s="161">
        <f>AW34</f>
        <v>207144.42</v>
      </c>
      <c r="AX33" s="161">
        <f t="shared" ref="AX33:BA33" si="40">AX34</f>
        <v>207144.42</v>
      </c>
      <c r="AY33" s="161">
        <f t="shared" si="40"/>
        <v>0</v>
      </c>
      <c r="AZ33" s="161">
        <f t="shared" si="40"/>
        <v>0</v>
      </c>
      <c r="BA33" s="161">
        <f t="shared" si="40"/>
        <v>0</v>
      </c>
      <c r="BB33" s="161"/>
      <c r="BC33" s="161">
        <f t="shared" si="20"/>
        <v>207144.42</v>
      </c>
      <c r="BD33" s="161">
        <f t="shared" si="21"/>
        <v>0</v>
      </c>
      <c r="BE33" s="347"/>
      <c r="BF33" s="334"/>
      <c r="BG33" s="161"/>
      <c r="BH33" s="335"/>
      <c r="BI33" s="539">
        <f t="shared" si="39"/>
        <v>0</v>
      </c>
      <c r="BK33" s="121" t="s">
        <v>237</v>
      </c>
      <c r="BR33" s="617"/>
      <c r="BS33" s="621">
        <f>BS34</f>
        <v>0</v>
      </c>
      <c r="BT33" s="617"/>
      <c r="BU33" s="621"/>
      <c r="BX33" s="629">
        <f t="shared" si="26"/>
        <v>400000</v>
      </c>
      <c r="BY33" s="629">
        <f t="shared" si="13"/>
        <v>207144.42</v>
      </c>
      <c r="BZ33" s="533">
        <f t="shared" si="23"/>
        <v>192855.58</v>
      </c>
      <c r="CA33" s="631">
        <f>CA34</f>
        <v>207144.42</v>
      </c>
      <c r="CB33" s="617">
        <f>CB34</f>
        <v>207144.42</v>
      </c>
      <c r="CC33" s="621">
        <f>CC34</f>
        <v>192855.58</v>
      </c>
      <c r="CD33" s="617"/>
      <c r="CE33" s="621"/>
    </row>
    <row r="34" spans="1:83" ht="63" x14ac:dyDescent="0.3">
      <c r="A34" s="440" t="s">
        <v>169</v>
      </c>
      <c r="B34" s="663"/>
      <c r="C34" s="664">
        <v>831</v>
      </c>
      <c r="D34" s="431">
        <f>G34+X34+AP34+AQ34</f>
        <v>400000</v>
      </c>
      <c r="E34" s="64">
        <f>H34+Y34+AR34+AP34</f>
        <v>207144.42</v>
      </c>
      <c r="F34" s="411">
        <f t="shared" si="1"/>
        <v>-192855.58</v>
      </c>
      <c r="G34" s="285"/>
      <c r="H34" s="158"/>
      <c r="I34" s="298">
        <f t="shared" si="25"/>
        <v>0</v>
      </c>
      <c r="J34" s="316"/>
      <c r="K34" s="297"/>
      <c r="L34" s="158"/>
      <c r="M34" s="158"/>
      <c r="N34" s="158"/>
      <c r="O34" s="158"/>
      <c r="P34" s="158"/>
      <c r="Q34" s="669"/>
      <c r="R34" s="667">
        <f t="shared" si="16"/>
        <v>0</v>
      </c>
      <c r="S34" s="667">
        <f t="shared" si="17"/>
        <v>0</v>
      </c>
      <c r="T34" s="298"/>
      <c r="U34" s="297"/>
      <c r="V34" s="285"/>
      <c r="W34" s="367"/>
      <c r="X34" s="279">
        <f t="shared" si="30"/>
        <v>0</v>
      </c>
      <c r="Y34" s="310"/>
      <c r="Z34" s="375"/>
      <c r="AA34" s="528"/>
      <c r="AB34" s="310"/>
      <c r="AC34" s="63"/>
      <c r="AD34" s="357">
        <f t="shared" si="2"/>
        <v>0</v>
      </c>
      <c r="AE34" s="418"/>
      <c r="AF34" s="279"/>
      <c r="AG34" s="63"/>
      <c r="AH34" s="360"/>
      <c r="AI34" s="279"/>
      <c r="AJ34" s="63"/>
      <c r="AK34" s="360"/>
      <c r="AL34" s="279"/>
      <c r="AM34" s="63"/>
      <c r="AN34" s="360"/>
      <c r="AO34" s="425"/>
      <c r="AP34" s="395"/>
      <c r="AQ34" s="334">
        <v>400000</v>
      </c>
      <c r="AR34" s="347">
        <f t="shared" si="5"/>
        <v>207144.42</v>
      </c>
      <c r="AS34" s="335">
        <f t="shared" si="4"/>
        <v>-192855.58</v>
      </c>
      <c r="AT34" s="324">
        <v>400000</v>
      </c>
      <c r="AU34" s="682"/>
      <c r="AV34" s="682"/>
      <c r="AW34" s="162">
        <f>CB34</f>
        <v>207144.42</v>
      </c>
      <c r="AX34" s="162">
        <v>207144.42</v>
      </c>
      <c r="AY34" s="162"/>
      <c r="AZ34" s="162"/>
      <c r="BA34" s="162"/>
      <c r="BB34" s="162"/>
      <c r="BC34" s="161">
        <f t="shared" si="20"/>
        <v>207144.42</v>
      </c>
      <c r="BD34" s="161">
        <f t="shared" si="21"/>
        <v>0</v>
      </c>
      <c r="BE34" s="349"/>
      <c r="BF34" s="338"/>
      <c r="BG34" s="162"/>
      <c r="BH34" s="339"/>
      <c r="BI34" s="540"/>
      <c r="BK34" s="122">
        <v>15000</v>
      </c>
      <c r="BL34" s="121">
        <v>831</v>
      </c>
      <c r="BR34" s="617"/>
      <c r="BS34" s="621">
        <f>AJ34-BR34</f>
        <v>0</v>
      </c>
      <c r="BT34" s="617"/>
      <c r="BU34" s="621"/>
      <c r="BX34" s="629">
        <f t="shared" si="26"/>
        <v>400000</v>
      </c>
      <c r="BY34" s="629">
        <f t="shared" si="13"/>
        <v>207144.42</v>
      </c>
      <c r="BZ34" s="533">
        <f t="shared" si="23"/>
        <v>192855.58</v>
      </c>
      <c r="CA34" s="631">
        <f>BY34</f>
        <v>207144.42</v>
      </c>
      <c r="CB34" s="617">
        <v>207144.42</v>
      </c>
      <c r="CC34" s="621">
        <f>AT34-CB34</f>
        <v>192855.58</v>
      </c>
      <c r="CD34" s="617"/>
      <c r="CE34" s="621"/>
    </row>
    <row r="35" spans="1:83" s="115" customFormat="1" ht="33" customHeight="1" x14ac:dyDescent="0.3">
      <c r="A35" s="441" t="s">
        <v>170</v>
      </c>
      <c r="B35" s="1424">
        <v>230</v>
      </c>
      <c r="C35" s="436">
        <v>850</v>
      </c>
      <c r="D35" s="430">
        <f>G35+X35+AP35+AQ35</f>
        <v>13960783.34</v>
      </c>
      <c r="E35" s="59">
        <f>H35+Y35+AR35+AP35</f>
        <v>13240980.370000001</v>
      </c>
      <c r="F35" s="410">
        <f t="shared" si="1"/>
        <v>-719802.96999999881</v>
      </c>
      <c r="G35" s="157">
        <f>G37+G38+G39</f>
        <v>5888541</v>
      </c>
      <c r="H35" s="157">
        <f>SUM(H37:H39)</f>
        <v>5888541</v>
      </c>
      <c r="I35" s="298">
        <f t="shared" si="25"/>
        <v>0</v>
      </c>
      <c r="J35" s="314">
        <f>SUM(J37:J39)</f>
        <v>0</v>
      </c>
      <c r="K35" s="157">
        <f>K37+K38+K39</f>
        <v>3778708.8</v>
      </c>
      <c r="L35" s="157">
        <f>L37+L38+L39</f>
        <v>5011411</v>
      </c>
      <c r="M35" s="157">
        <f>M37+M38+M39</f>
        <v>3625324.3499999996</v>
      </c>
      <c r="N35" s="157">
        <f t="shared" ref="N35:P35" si="41">N37+N38+N39</f>
        <v>0</v>
      </c>
      <c r="O35" s="157">
        <f t="shared" si="41"/>
        <v>0</v>
      </c>
      <c r="P35" s="157">
        <f t="shared" si="41"/>
        <v>0</v>
      </c>
      <c r="Q35" s="667"/>
      <c r="R35" s="667">
        <f t="shared" si="16"/>
        <v>3625324.3499999996</v>
      </c>
      <c r="S35" s="667">
        <f t="shared" si="17"/>
        <v>1386086.6500000004</v>
      </c>
      <c r="T35" s="294">
        <f>L35-K35</f>
        <v>1232702.2000000002</v>
      </c>
      <c r="U35" s="293">
        <f>SUM(U37:U39)</f>
        <v>2109832.2000000002</v>
      </c>
      <c r="V35" s="283">
        <f>SUM(V37:V39)</f>
        <v>877130</v>
      </c>
      <c r="W35" s="365">
        <f>V35-U35</f>
        <v>-1232702.2000000002</v>
      </c>
      <c r="X35" s="276">
        <f>SUM(X37:X39)</f>
        <v>1465613.4300000002</v>
      </c>
      <c r="Y35" s="307">
        <f t="shared" ref="Y35:AG35" si="42">Y37+Y38+Y39</f>
        <v>1465613.4300000002</v>
      </c>
      <c r="Z35" s="372">
        <f>Y35-X35</f>
        <v>0</v>
      </c>
      <c r="AA35" s="525">
        <f t="shared" si="42"/>
        <v>3673.7</v>
      </c>
      <c r="AB35" s="307">
        <f t="shared" si="42"/>
        <v>0</v>
      </c>
      <c r="AC35" s="153">
        <f t="shared" si="42"/>
        <v>0</v>
      </c>
      <c r="AD35" s="357">
        <f t="shared" si="2"/>
        <v>0</v>
      </c>
      <c r="AE35" s="415">
        <f t="shared" si="42"/>
        <v>1293239.8</v>
      </c>
      <c r="AF35" s="276">
        <f t="shared" si="42"/>
        <v>168699.93</v>
      </c>
      <c r="AG35" s="153">
        <f t="shared" si="42"/>
        <v>168699.93</v>
      </c>
      <c r="AH35" s="357">
        <f>AG35-AF35</f>
        <v>0</v>
      </c>
      <c r="AI35" s="276"/>
      <c r="AJ35" s="153"/>
      <c r="AK35" s="357"/>
      <c r="AL35" s="276"/>
      <c r="AM35" s="153"/>
      <c r="AN35" s="357"/>
      <c r="AO35" s="422">
        <f>AO37+AO38+AO39</f>
        <v>0</v>
      </c>
      <c r="AP35" s="396">
        <f>SUM(AP36:AP39)</f>
        <v>0</v>
      </c>
      <c r="AQ35" s="334">
        <v>6606628.9100000001</v>
      </c>
      <c r="AR35" s="347">
        <f t="shared" si="5"/>
        <v>5886825.9400000004</v>
      </c>
      <c r="AS35" s="335">
        <f t="shared" si="4"/>
        <v>-719802.96999999974</v>
      </c>
      <c r="AT35" s="161">
        <v>6068056.7800000003</v>
      </c>
      <c r="AU35" s="683"/>
      <c r="AV35" s="683">
        <f>S35</f>
        <v>1386086.6500000004</v>
      </c>
      <c r="AW35" s="161">
        <f>AW37+AW38+AW39</f>
        <v>5378574</v>
      </c>
      <c r="AX35" s="161">
        <f t="shared" ref="AX35:BA35" si="43">AX37+AX38+AX39</f>
        <v>5094230.5</v>
      </c>
      <c r="AY35" s="161">
        <f t="shared" si="43"/>
        <v>0</v>
      </c>
      <c r="AZ35" s="161">
        <f t="shared" si="43"/>
        <v>0</v>
      </c>
      <c r="BA35" s="161">
        <f t="shared" si="43"/>
        <v>0</v>
      </c>
      <c r="BB35" s="161"/>
      <c r="BC35" s="161">
        <f t="shared" si="20"/>
        <v>5094230.5</v>
      </c>
      <c r="BD35" s="161">
        <f t="shared" si="21"/>
        <v>284343.5</v>
      </c>
      <c r="BE35" s="347">
        <f>AW35-AT35</f>
        <v>-689482.78000000026</v>
      </c>
      <c r="BF35" s="334">
        <v>538572.13</v>
      </c>
      <c r="BG35" s="161">
        <f>BG37+BG38+BG39</f>
        <v>508251.94</v>
      </c>
      <c r="BH35" s="335">
        <f>BG35-BF35</f>
        <v>-30320.190000000002</v>
      </c>
      <c r="BI35" s="539">
        <f>BI37+BI38+BI39</f>
        <v>0</v>
      </c>
      <c r="BR35" s="334">
        <f>BR37+BR38+BR39</f>
        <v>0</v>
      </c>
      <c r="BS35" s="539">
        <f t="shared" ref="BS35:BU35" si="44">BS37+BS38+BS39</f>
        <v>0</v>
      </c>
      <c r="BT35" s="334">
        <f t="shared" si="44"/>
        <v>508251.94</v>
      </c>
      <c r="BU35" s="539">
        <f t="shared" si="44"/>
        <v>-508251.94</v>
      </c>
      <c r="BX35" s="628">
        <f t="shared" si="26"/>
        <v>6606628.9100000001</v>
      </c>
      <c r="BY35" s="628">
        <f t="shared" si="13"/>
        <v>5396482.4400000004</v>
      </c>
      <c r="BZ35" s="535">
        <f t="shared" si="23"/>
        <v>1210146.4699999997</v>
      </c>
      <c r="CA35" s="334">
        <f>CA37+CA38+CA39</f>
        <v>6361649.25</v>
      </c>
      <c r="CB35" s="334">
        <f>CB37+CB38+CB39</f>
        <v>4888230.5</v>
      </c>
      <c r="CC35" s="539">
        <f t="shared" ref="CC35:CE35" si="45">CC37+CC38+CC39</f>
        <v>1179826.2800000003</v>
      </c>
      <c r="CD35" s="334">
        <f t="shared" si="45"/>
        <v>508251.94</v>
      </c>
      <c r="CE35" s="539">
        <f t="shared" si="45"/>
        <v>30320.190000000002</v>
      </c>
    </row>
    <row r="36" spans="1:83" x14ac:dyDescent="0.3">
      <c r="A36" s="437" t="s">
        <v>92</v>
      </c>
      <c r="B36" s="1422"/>
      <c r="C36" s="438"/>
      <c r="D36" s="431"/>
      <c r="E36" s="59">
        <f>H36+Y36+AQ36+AP36</f>
        <v>0</v>
      </c>
      <c r="F36" s="410">
        <f t="shared" si="1"/>
        <v>0</v>
      </c>
      <c r="G36" s="285"/>
      <c r="H36" s="158"/>
      <c r="I36" s="298">
        <f t="shared" si="25"/>
        <v>0</v>
      </c>
      <c r="J36" s="316"/>
      <c r="K36" s="297"/>
      <c r="L36" s="158"/>
      <c r="M36" s="669"/>
      <c r="N36" s="669"/>
      <c r="O36" s="669"/>
      <c r="P36" s="669"/>
      <c r="Q36" s="669"/>
      <c r="R36" s="667">
        <f t="shared" si="16"/>
        <v>0</v>
      </c>
      <c r="S36" s="667">
        <f t="shared" si="17"/>
        <v>0</v>
      </c>
      <c r="T36" s="298"/>
      <c r="U36" s="297"/>
      <c r="V36" s="285"/>
      <c r="W36" s="367"/>
      <c r="X36" s="279"/>
      <c r="Y36" s="310"/>
      <c r="Z36" s="375"/>
      <c r="AA36" s="528"/>
      <c r="AB36" s="310"/>
      <c r="AC36" s="63"/>
      <c r="AD36" s="357">
        <f t="shared" si="2"/>
        <v>0</v>
      </c>
      <c r="AE36" s="418"/>
      <c r="AF36" s="279"/>
      <c r="AG36" s="63"/>
      <c r="AH36" s="360"/>
      <c r="AI36" s="279"/>
      <c r="AJ36" s="63"/>
      <c r="AK36" s="360"/>
      <c r="AL36" s="279"/>
      <c r="AM36" s="63"/>
      <c r="AN36" s="360"/>
      <c r="AO36" s="425"/>
      <c r="AP36" s="395"/>
      <c r="AQ36" s="334">
        <v>0</v>
      </c>
      <c r="AR36" s="347">
        <f t="shared" si="5"/>
        <v>0</v>
      </c>
      <c r="AS36" s="335">
        <f t="shared" si="4"/>
        <v>0</v>
      </c>
      <c r="AT36" s="324"/>
      <c r="AU36" s="682"/>
      <c r="AV36" s="682"/>
      <c r="AW36" s="162"/>
      <c r="AX36" s="162"/>
      <c r="AY36" s="162"/>
      <c r="AZ36" s="162"/>
      <c r="BA36" s="162"/>
      <c r="BB36" s="162"/>
      <c r="BC36" s="161">
        <f t="shared" si="20"/>
        <v>0</v>
      </c>
      <c r="BD36" s="161">
        <f t="shared" si="21"/>
        <v>0</v>
      </c>
      <c r="BE36" s="349"/>
      <c r="BF36" s="338"/>
      <c r="BG36" s="162"/>
      <c r="BH36" s="339"/>
      <c r="BI36" s="540"/>
      <c r="BK36" s="121" t="s">
        <v>237</v>
      </c>
      <c r="BL36" s="121" t="s">
        <v>197</v>
      </c>
      <c r="BM36" s="121" t="s">
        <v>237</v>
      </c>
      <c r="BN36" s="121"/>
      <c r="BO36" s="121"/>
      <c r="BP36" s="121"/>
      <c r="BQ36" s="121"/>
      <c r="BR36" s="617"/>
      <c r="BS36" s="621">
        <f>AK36-BR36</f>
        <v>0</v>
      </c>
      <c r="BT36" s="617"/>
      <c r="BU36" s="621"/>
      <c r="BV36" s="121"/>
      <c r="BW36" s="121"/>
      <c r="BX36" s="628">
        <f t="shared" si="26"/>
        <v>0</v>
      </c>
      <c r="BY36" s="628">
        <f t="shared" si="13"/>
        <v>0</v>
      </c>
      <c r="BZ36" s="535">
        <f t="shared" si="23"/>
        <v>0</v>
      </c>
      <c r="CA36" s="533"/>
      <c r="CB36" s="617"/>
      <c r="CC36" s="621">
        <f>AW36-CB36</f>
        <v>0</v>
      </c>
      <c r="CD36" s="617"/>
      <c r="CE36" s="621"/>
    </row>
    <row r="37" spans="1:83" ht="31.5" x14ac:dyDescent="0.3">
      <c r="A37" s="437" t="s">
        <v>171</v>
      </c>
      <c r="B37" s="1422"/>
      <c r="C37" s="664">
        <v>851</v>
      </c>
      <c r="D37" s="431">
        <f>G37+X37+AP37+AQ37</f>
        <v>11808982.34</v>
      </c>
      <c r="E37" s="64">
        <f>H37+Y37+AR37+AP37</f>
        <v>11564002.68</v>
      </c>
      <c r="F37" s="411">
        <f t="shared" si="1"/>
        <v>-244979.66000000015</v>
      </c>
      <c r="G37" s="285">
        <v>5545243.1200000001</v>
      </c>
      <c r="H37" s="158">
        <f>J37+L37+V37</f>
        <v>5545243.1200000001</v>
      </c>
      <c r="I37" s="298">
        <f t="shared" si="25"/>
        <v>0</v>
      </c>
      <c r="J37" s="316"/>
      <c r="K37" s="297">
        <v>3435410.92</v>
      </c>
      <c r="L37" s="158">
        <v>4668113.12</v>
      </c>
      <c r="M37" s="669">
        <v>3592936.5</v>
      </c>
      <c r="N37" s="669"/>
      <c r="O37" s="669"/>
      <c r="P37" s="669"/>
      <c r="Q37" s="669"/>
      <c r="R37" s="667">
        <f t="shared" si="16"/>
        <v>3592936.5</v>
      </c>
      <c r="S37" s="667">
        <f t="shared" si="17"/>
        <v>1075176.6200000001</v>
      </c>
      <c r="T37" s="298">
        <f>L37-K37</f>
        <v>1232702.2000000002</v>
      </c>
      <c r="U37" s="285">
        <v>2109832.2000000002</v>
      </c>
      <c r="V37" s="285">
        <v>877130</v>
      </c>
      <c r="W37" s="367">
        <f>V37-U37</f>
        <v>-1232702.2000000002</v>
      </c>
      <c r="X37" s="279">
        <f>AB37+AE37+AF37+AI37+AL37+AA37</f>
        <v>1456841.56</v>
      </c>
      <c r="Y37" s="310">
        <f t="shared" ref="Y37:Y38" si="46">AA37+AC37+AE37+AG37+AJ37+AM37</f>
        <v>1456841.56</v>
      </c>
      <c r="Z37" s="375">
        <f>Y37-X37</f>
        <v>0</v>
      </c>
      <c r="AA37" s="528">
        <v>3673.7</v>
      </c>
      <c r="AB37" s="310"/>
      <c r="AC37" s="63"/>
      <c r="AD37" s="357">
        <f t="shared" si="2"/>
        <v>0</v>
      </c>
      <c r="AE37" s="418">
        <v>1293239.8</v>
      </c>
      <c r="AF37" s="279">
        <v>159928.06</v>
      </c>
      <c r="AG37" s="63">
        <v>159928.06</v>
      </c>
      <c r="AH37" s="360">
        <f>AG37-AF37</f>
        <v>0</v>
      </c>
      <c r="AI37" s="279"/>
      <c r="AJ37" s="63"/>
      <c r="AK37" s="360"/>
      <c r="AL37" s="279"/>
      <c r="AM37" s="63"/>
      <c r="AN37" s="360"/>
      <c r="AO37" s="425"/>
      <c r="AP37" s="395"/>
      <c r="AQ37" s="334">
        <v>4806897.66</v>
      </c>
      <c r="AR37" s="347">
        <f t="shared" si="5"/>
        <v>4561918</v>
      </c>
      <c r="AS37" s="335">
        <f t="shared" si="4"/>
        <v>-244979.66000000015</v>
      </c>
      <c r="AT37" s="324">
        <v>4423553.66</v>
      </c>
      <c r="AU37" s="682"/>
      <c r="AV37" s="682">
        <f>S37</f>
        <v>1075176.6200000001</v>
      </c>
      <c r="AW37" s="162">
        <f>CB37</f>
        <v>4178574</v>
      </c>
      <c r="AX37" s="162">
        <v>4178574</v>
      </c>
      <c r="AY37" s="162"/>
      <c r="AZ37" s="162"/>
      <c r="BA37" s="162"/>
      <c r="BB37" s="162"/>
      <c r="BC37" s="161">
        <f t="shared" si="20"/>
        <v>4178574</v>
      </c>
      <c r="BD37" s="161">
        <f t="shared" si="21"/>
        <v>0</v>
      </c>
      <c r="BE37" s="349">
        <f>AW37-AT37</f>
        <v>-244979.66000000015</v>
      </c>
      <c r="BF37" s="338">
        <v>383344</v>
      </c>
      <c r="BG37" s="162">
        <v>383344</v>
      </c>
      <c r="BH37" s="339">
        <f>BG37-BF37</f>
        <v>0</v>
      </c>
      <c r="BI37" s="540"/>
      <c r="BK37" s="122">
        <v>2116229.66</v>
      </c>
      <c r="BL37" s="122">
        <v>-2116229.66</v>
      </c>
      <c r="BM37" s="610"/>
      <c r="BN37" s="635"/>
      <c r="BO37" s="635"/>
      <c r="BP37" s="635"/>
      <c r="BQ37" s="635"/>
      <c r="BR37" s="617"/>
      <c r="BS37" s="621">
        <f>AJ37-BR37</f>
        <v>0</v>
      </c>
      <c r="BT37" s="617">
        <v>383344</v>
      </c>
      <c r="BU37" s="621">
        <f>AM37-BT37</f>
        <v>-383344</v>
      </c>
      <c r="BV37" s="635"/>
      <c r="BW37" s="635"/>
      <c r="BX37" s="629">
        <f t="shared" si="26"/>
        <v>4806897.66</v>
      </c>
      <c r="BY37" s="629">
        <f t="shared" si="13"/>
        <v>4561918</v>
      </c>
      <c r="BZ37" s="533">
        <f t="shared" si="23"/>
        <v>244979.66000000015</v>
      </c>
      <c r="CA37" s="631">
        <f>BY37</f>
        <v>4561918</v>
      </c>
      <c r="CB37" s="617">
        <v>4178574</v>
      </c>
      <c r="CC37" s="621">
        <f>AT37-CB37</f>
        <v>244979.66000000015</v>
      </c>
      <c r="CD37" s="617">
        <v>383344</v>
      </c>
      <c r="CE37" s="621">
        <f>BF37-CD37</f>
        <v>0</v>
      </c>
    </row>
    <row r="38" spans="1:83" x14ac:dyDescent="0.3">
      <c r="A38" s="437" t="s">
        <v>172</v>
      </c>
      <c r="B38" s="1422"/>
      <c r="C38" s="664">
        <v>852</v>
      </c>
      <c r="D38" s="431">
        <f>G38+X38+AP38+AQ38</f>
        <v>665699.89</v>
      </c>
      <c r="E38" s="64">
        <f>H38+Y38+AR38+AP38</f>
        <v>871881.13</v>
      </c>
      <c r="F38" s="410">
        <f t="shared" si="1"/>
        <v>206181.24</v>
      </c>
      <c r="G38" s="285">
        <v>235990.26</v>
      </c>
      <c r="H38" s="158">
        <f t="shared" ref="H38:H39" si="47">J38+L38+V38</f>
        <v>235990.26</v>
      </c>
      <c r="I38" s="298">
        <f t="shared" si="25"/>
        <v>0</v>
      </c>
      <c r="J38" s="316"/>
      <c r="K38" s="297">
        <v>235990.26</v>
      </c>
      <c r="L38" s="158">
        <v>235990.26</v>
      </c>
      <c r="M38" s="669">
        <v>26722.799999999999</v>
      </c>
      <c r="N38" s="669"/>
      <c r="O38" s="669"/>
      <c r="P38" s="669"/>
      <c r="Q38" s="669"/>
      <c r="R38" s="667">
        <f t="shared" si="16"/>
        <v>26722.799999999999</v>
      </c>
      <c r="S38" s="667">
        <f t="shared" si="17"/>
        <v>209267.46000000002</v>
      </c>
      <c r="T38" s="298">
        <f>L38-K38</f>
        <v>0</v>
      </c>
      <c r="U38" s="297"/>
      <c r="V38" s="285"/>
      <c r="W38" s="367"/>
      <c r="X38" s="279">
        <f t="shared" ref="X38" si="48">AB38+AE38+AF38+AI38+AL38</f>
        <v>8771.8700000000008</v>
      </c>
      <c r="Y38" s="310">
        <f t="shared" si="46"/>
        <v>8771.8700000000008</v>
      </c>
      <c r="Z38" s="375">
        <f>Y38-X38</f>
        <v>0</v>
      </c>
      <c r="AA38" s="528"/>
      <c r="AB38" s="310"/>
      <c r="AC38" s="63"/>
      <c r="AD38" s="357">
        <f t="shared" si="2"/>
        <v>0</v>
      </c>
      <c r="AE38" s="418"/>
      <c r="AF38" s="279">
        <v>8771.8700000000008</v>
      </c>
      <c r="AG38" s="63">
        <v>8771.8700000000008</v>
      </c>
      <c r="AH38" s="360">
        <f>AG38-AF38</f>
        <v>0</v>
      </c>
      <c r="AI38" s="279"/>
      <c r="AJ38" s="63"/>
      <c r="AK38" s="360"/>
      <c r="AL38" s="279"/>
      <c r="AM38" s="63"/>
      <c r="AN38" s="360"/>
      <c r="AO38" s="425"/>
      <c r="AP38" s="395"/>
      <c r="AQ38" s="334">
        <v>420937.76</v>
      </c>
      <c r="AR38" s="347">
        <f t="shared" si="5"/>
        <v>627119</v>
      </c>
      <c r="AS38" s="335">
        <f t="shared" si="4"/>
        <v>206181.24</v>
      </c>
      <c r="AT38" s="324">
        <v>331709.63</v>
      </c>
      <c r="AU38" s="682"/>
      <c r="AV38" s="682">
        <f t="shared" ref="AV38:AV39" si="49">S38</f>
        <v>209267.46000000002</v>
      </c>
      <c r="AW38" s="162">
        <v>600000</v>
      </c>
      <c r="AX38" s="162">
        <f>478189.25-65000</f>
        <v>413189.25</v>
      </c>
      <c r="AY38" s="162"/>
      <c r="AZ38" s="162"/>
      <c r="BA38" s="162"/>
      <c r="BB38" s="162"/>
      <c r="BC38" s="161">
        <f t="shared" si="20"/>
        <v>413189.25</v>
      </c>
      <c r="BD38" s="161">
        <f t="shared" si="21"/>
        <v>186810.75</v>
      </c>
      <c r="BE38" s="349">
        <f>AW38-AT38</f>
        <v>268290.37</v>
      </c>
      <c r="BF38" s="338">
        <v>89228.13</v>
      </c>
      <c r="BG38" s="162">
        <f>CD38</f>
        <v>27119</v>
      </c>
      <c r="BH38" s="339">
        <f>BG38-BF38</f>
        <v>-62109.130000000005</v>
      </c>
      <c r="BI38" s="540"/>
      <c r="BK38" s="122">
        <v>-75470.62</v>
      </c>
      <c r="BL38" s="122"/>
      <c r="BM38" s="610">
        <v>-49993.01</v>
      </c>
      <c r="BN38" s="635"/>
      <c r="BO38" s="635"/>
      <c r="BP38" s="635"/>
      <c r="BQ38" s="635"/>
      <c r="BR38" s="617"/>
      <c r="BS38" s="621">
        <f t="shared" ref="BS38:BS39" si="50">AJ38-BR38</f>
        <v>0</v>
      </c>
      <c r="BT38" s="617">
        <v>27119</v>
      </c>
      <c r="BU38" s="621">
        <f t="shared" ref="BU38:BU39" si="51">AM38-BT38</f>
        <v>-27119</v>
      </c>
      <c r="BV38" s="635"/>
      <c r="BW38" s="635"/>
      <c r="BX38" s="629">
        <f t="shared" si="26"/>
        <v>420937.76</v>
      </c>
      <c r="BY38" s="629">
        <f t="shared" si="13"/>
        <v>234308.25</v>
      </c>
      <c r="BZ38" s="533">
        <f t="shared" si="23"/>
        <v>186629.51</v>
      </c>
      <c r="CA38" s="533">
        <f>BX38</f>
        <v>420937.76</v>
      </c>
      <c r="CB38" s="617">
        <f>272189.25-65000</f>
        <v>207189.25</v>
      </c>
      <c r="CC38" s="621">
        <f t="shared" ref="CC38:CC39" si="52">AT38-CB38</f>
        <v>124520.38</v>
      </c>
      <c r="CD38" s="617">
        <v>27119</v>
      </c>
      <c r="CE38" s="621">
        <f t="shared" ref="CE38:CE39" si="53">BF38-CD38</f>
        <v>62109.130000000005</v>
      </c>
    </row>
    <row r="39" spans="1:83" ht="18.75" customHeight="1" x14ac:dyDescent="0.3">
      <c r="A39" s="437" t="s">
        <v>173</v>
      </c>
      <c r="B39" s="1423"/>
      <c r="C39" s="664">
        <v>853</v>
      </c>
      <c r="D39" s="431">
        <f>G39+X39+AP39+AQ39</f>
        <v>1486101.1099999999</v>
      </c>
      <c r="E39" s="64">
        <f>H39+Y39+AR39+AP39</f>
        <v>805096.55999999994</v>
      </c>
      <c r="F39" s="410">
        <f t="shared" si="1"/>
        <v>-681004.54999999993</v>
      </c>
      <c r="G39" s="285">
        <v>107307.62</v>
      </c>
      <c r="H39" s="158">
        <f t="shared" si="47"/>
        <v>107307.62</v>
      </c>
      <c r="I39" s="298">
        <f t="shared" si="25"/>
        <v>0</v>
      </c>
      <c r="J39" s="316"/>
      <c r="K39" s="297">
        <v>107307.62</v>
      </c>
      <c r="L39" s="158">
        <v>107307.62</v>
      </c>
      <c r="M39" s="669">
        <v>5665.05</v>
      </c>
      <c r="N39" s="669"/>
      <c r="O39" s="669"/>
      <c r="P39" s="669"/>
      <c r="Q39" s="669"/>
      <c r="R39" s="667">
        <f t="shared" si="16"/>
        <v>5665.05</v>
      </c>
      <c r="S39" s="667">
        <f t="shared" si="17"/>
        <v>101642.56999999999</v>
      </c>
      <c r="T39" s="298">
        <f>L39-K39</f>
        <v>0</v>
      </c>
      <c r="U39" s="297"/>
      <c r="V39" s="285"/>
      <c r="W39" s="367"/>
      <c r="X39" s="279">
        <f>SUM(AB39:AF39)</f>
        <v>0</v>
      </c>
      <c r="Y39" s="310"/>
      <c r="Z39" s="375"/>
      <c r="AA39" s="528"/>
      <c r="AB39" s="310"/>
      <c r="AC39" s="63"/>
      <c r="AD39" s="357">
        <f t="shared" si="2"/>
        <v>0</v>
      </c>
      <c r="AE39" s="418"/>
      <c r="AF39" s="279"/>
      <c r="AG39" s="63"/>
      <c r="AH39" s="360"/>
      <c r="AI39" s="279"/>
      <c r="AJ39" s="63"/>
      <c r="AK39" s="360"/>
      <c r="AL39" s="279"/>
      <c r="AM39" s="63"/>
      <c r="AN39" s="360"/>
      <c r="AO39" s="425"/>
      <c r="AP39" s="395"/>
      <c r="AQ39" s="334">
        <v>1378793.49</v>
      </c>
      <c r="AR39" s="347">
        <f t="shared" si="5"/>
        <v>697788.94</v>
      </c>
      <c r="AS39" s="335">
        <f t="shared" si="4"/>
        <v>-681004.55</v>
      </c>
      <c r="AT39" s="324">
        <v>1312793.49</v>
      </c>
      <c r="AU39" s="682"/>
      <c r="AV39" s="682">
        <f t="shared" si="49"/>
        <v>101642.56999999999</v>
      </c>
      <c r="AW39" s="162">
        <v>600000</v>
      </c>
      <c r="AX39" s="162">
        <v>502467.25</v>
      </c>
      <c r="AY39" s="162"/>
      <c r="AZ39" s="162"/>
      <c r="BA39" s="162"/>
      <c r="BB39" s="162"/>
      <c r="BC39" s="161">
        <f t="shared" si="20"/>
        <v>502467.25</v>
      </c>
      <c r="BD39" s="161">
        <f t="shared" si="21"/>
        <v>97532.75</v>
      </c>
      <c r="BE39" s="349">
        <f>AW39-AT39</f>
        <v>-712793.49</v>
      </c>
      <c r="BF39" s="338">
        <v>66000</v>
      </c>
      <c r="BG39" s="162">
        <f>CD39</f>
        <v>97788.94</v>
      </c>
      <c r="BH39" s="339">
        <f>BG39-BF39</f>
        <v>31788.940000000002</v>
      </c>
      <c r="BI39" s="540"/>
      <c r="BK39" s="122">
        <v>75470.62</v>
      </c>
      <c r="BL39" s="122"/>
      <c r="BM39" s="610">
        <v>49993.01</v>
      </c>
      <c r="BN39" s="635"/>
      <c r="BO39" s="635"/>
      <c r="BP39" s="635"/>
      <c r="BQ39" s="635"/>
      <c r="BR39" s="617"/>
      <c r="BS39" s="621">
        <f t="shared" si="50"/>
        <v>0</v>
      </c>
      <c r="BT39" s="617">
        <v>97788.94</v>
      </c>
      <c r="BU39" s="621">
        <f t="shared" si="51"/>
        <v>-97788.94</v>
      </c>
      <c r="BV39" s="635"/>
      <c r="BW39" s="635"/>
      <c r="BX39" s="629">
        <f t="shared" si="26"/>
        <v>1378793.49</v>
      </c>
      <c r="BY39" s="629">
        <f t="shared" si="13"/>
        <v>600256.18999999994</v>
      </c>
      <c r="BZ39" s="533">
        <f t="shared" si="23"/>
        <v>778537.3</v>
      </c>
      <c r="CA39" s="533">
        <f>BX39</f>
        <v>1378793.49</v>
      </c>
      <c r="CB39" s="617">
        <f>502467.25</f>
        <v>502467.25</v>
      </c>
      <c r="CC39" s="621">
        <f t="shared" si="52"/>
        <v>810326.24</v>
      </c>
      <c r="CD39" s="617">
        <v>97788.94</v>
      </c>
      <c r="CE39" s="621">
        <f t="shared" si="53"/>
        <v>-31788.940000000002</v>
      </c>
    </row>
    <row r="40" spans="1:83" x14ac:dyDescent="0.3">
      <c r="A40" s="437" t="s">
        <v>174</v>
      </c>
      <c r="B40" s="661">
        <v>240</v>
      </c>
      <c r="C40" s="664">
        <v>860</v>
      </c>
      <c r="D40" s="431"/>
      <c r="E40" s="59">
        <f>H40+Y40+AQ40+AP40</f>
        <v>0</v>
      </c>
      <c r="F40" s="410">
        <f t="shared" si="1"/>
        <v>0</v>
      </c>
      <c r="G40" s="285"/>
      <c r="H40" s="158"/>
      <c r="I40" s="298">
        <f t="shared" si="25"/>
        <v>0</v>
      </c>
      <c r="J40" s="316"/>
      <c r="K40" s="297"/>
      <c r="L40" s="158"/>
      <c r="M40" s="669"/>
      <c r="N40" s="669"/>
      <c r="O40" s="669"/>
      <c r="P40" s="669"/>
      <c r="Q40" s="669"/>
      <c r="R40" s="667">
        <f t="shared" si="16"/>
        <v>0</v>
      </c>
      <c r="S40" s="667">
        <f t="shared" si="17"/>
        <v>0</v>
      </c>
      <c r="T40" s="298"/>
      <c r="U40" s="297"/>
      <c r="V40" s="285"/>
      <c r="W40" s="367"/>
      <c r="X40" s="279">
        <f>SUM(AB40:AF40)</f>
        <v>0</v>
      </c>
      <c r="Y40" s="310"/>
      <c r="Z40" s="375"/>
      <c r="AA40" s="528"/>
      <c r="AB40" s="310"/>
      <c r="AC40" s="63"/>
      <c r="AD40" s="357">
        <f t="shared" si="2"/>
        <v>0</v>
      </c>
      <c r="AE40" s="418"/>
      <c r="AF40" s="279"/>
      <c r="AG40" s="63"/>
      <c r="AH40" s="360"/>
      <c r="AI40" s="279"/>
      <c r="AJ40" s="63"/>
      <c r="AK40" s="360"/>
      <c r="AL40" s="279"/>
      <c r="AM40" s="63"/>
      <c r="AN40" s="360"/>
      <c r="AO40" s="425"/>
      <c r="AP40" s="395"/>
      <c r="AQ40" s="334">
        <f t="shared" ref="AQ40:AQ73" si="54">AT40+BF40</f>
        <v>0</v>
      </c>
      <c r="AR40" s="347">
        <f t="shared" si="5"/>
        <v>0</v>
      </c>
      <c r="AS40" s="335">
        <f t="shared" si="4"/>
        <v>0</v>
      </c>
      <c r="AT40" s="324"/>
      <c r="AU40" s="682"/>
      <c r="AV40" s="682"/>
      <c r="AW40" s="162"/>
      <c r="AX40" s="162"/>
      <c r="AY40" s="162"/>
      <c r="AZ40" s="162"/>
      <c r="BA40" s="162"/>
      <c r="BB40" s="162"/>
      <c r="BC40" s="161">
        <f t="shared" si="20"/>
        <v>0</v>
      </c>
      <c r="BD40" s="161">
        <f t="shared" si="21"/>
        <v>0</v>
      </c>
      <c r="BE40" s="349"/>
      <c r="BF40" s="338"/>
      <c r="BG40" s="162"/>
      <c r="BH40" s="339"/>
      <c r="BI40" s="540"/>
      <c r="BR40" s="617"/>
      <c r="BS40" s="621">
        <f>AK40-BR40</f>
        <v>0</v>
      </c>
      <c r="BT40" s="617"/>
      <c r="BU40" s="621"/>
      <c r="BX40" s="628">
        <f t="shared" si="26"/>
        <v>0</v>
      </c>
      <c r="BY40" s="628">
        <f t="shared" si="13"/>
        <v>0</v>
      </c>
      <c r="BZ40" s="535">
        <f t="shared" si="23"/>
        <v>0</v>
      </c>
      <c r="CA40" s="533"/>
      <c r="CB40" s="617"/>
      <c r="CC40" s="621">
        <f>AW40-CB40</f>
        <v>0</v>
      </c>
      <c r="CD40" s="617"/>
      <c r="CE40" s="621"/>
    </row>
    <row r="41" spans="1:83" s="115" customFormat="1" ht="31.5" x14ac:dyDescent="0.3">
      <c r="A41" s="435" t="s">
        <v>175</v>
      </c>
      <c r="B41" s="1387">
        <v>250</v>
      </c>
      <c r="C41" s="442"/>
      <c r="D41" s="430">
        <f>G41+X41+AP41+AQ41</f>
        <v>0</v>
      </c>
      <c r="E41" s="59">
        <f>H41+Y41+AQ41+AP41</f>
        <v>0</v>
      </c>
      <c r="F41" s="410">
        <f t="shared" si="1"/>
        <v>0</v>
      </c>
      <c r="G41" s="283">
        <f>G43</f>
        <v>0</v>
      </c>
      <c r="H41" s="157"/>
      <c r="I41" s="298">
        <f t="shared" si="25"/>
        <v>0</v>
      </c>
      <c r="J41" s="314"/>
      <c r="K41" s="293">
        <f>K43</f>
        <v>0</v>
      </c>
      <c r="L41" s="157"/>
      <c r="M41" s="667"/>
      <c r="N41" s="667"/>
      <c r="O41" s="667"/>
      <c r="P41" s="667"/>
      <c r="Q41" s="667"/>
      <c r="R41" s="667">
        <f t="shared" si="16"/>
        <v>0</v>
      </c>
      <c r="S41" s="667">
        <f t="shared" si="17"/>
        <v>0</v>
      </c>
      <c r="T41" s="294"/>
      <c r="U41" s="293">
        <f>U43</f>
        <v>0</v>
      </c>
      <c r="V41" s="283"/>
      <c r="W41" s="365"/>
      <c r="X41" s="276">
        <f>SUM(AB41:AF41)</f>
        <v>0</v>
      </c>
      <c r="Y41" s="307"/>
      <c r="Z41" s="372"/>
      <c r="AA41" s="525"/>
      <c r="AB41" s="307">
        <v>0</v>
      </c>
      <c r="AC41" s="153">
        <v>0</v>
      </c>
      <c r="AD41" s="357">
        <f t="shared" si="2"/>
        <v>0</v>
      </c>
      <c r="AE41" s="415">
        <v>0</v>
      </c>
      <c r="AF41" s="276">
        <v>0</v>
      </c>
      <c r="AG41" s="153"/>
      <c r="AH41" s="357"/>
      <c r="AI41" s="276"/>
      <c r="AJ41" s="153"/>
      <c r="AK41" s="357"/>
      <c r="AL41" s="276"/>
      <c r="AM41" s="153"/>
      <c r="AN41" s="357"/>
      <c r="AO41" s="422">
        <v>0</v>
      </c>
      <c r="AP41" s="396">
        <v>0</v>
      </c>
      <c r="AQ41" s="334">
        <f t="shared" si="54"/>
        <v>0</v>
      </c>
      <c r="AR41" s="347">
        <f t="shared" si="5"/>
        <v>0</v>
      </c>
      <c r="AS41" s="335">
        <f t="shared" si="4"/>
        <v>0</v>
      </c>
      <c r="AT41" s="323"/>
      <c r="AU41" s="680"/>
      <c r="AV41" s="680"/>
      <c r="AW41" s="161"/>
      <c r="AX41" s="161"/>
      <c r="AY41" s="161"/>
      <c r="AZ41" s="161"/>
      <c r="BA41" s="161"/>
      <c r="BB41" s="161"/>
      <c r="BC41" s="161">
        <f t="shared" si="20"/>
        <v>0</v>
      </c>
      <c r="BD41" s="161">
        <f t="shared" si="21"/>
        <v>0</v>
      </c>
      <c r="BE41" s="347"/>
      <c r="BF41" s="334"/>
      <c r="BG41" s="161"/>
      <c r="BH41" s="335"/>
      <c r="BI41" s="539">
        <f>BI43</f>
        <v>0</v>
      </c>
      <c r="BR41" s="617"/>
      <c r="BS41" s="621">
        <f>AK41-BR41</f>
        <v>0</v>
      </c>
      <c r="BT41" s="617"/>
      <c r="BU41" s="621"/>
      <c r="BX41" s="628">
        <f t="shared" si="26"/>
        <v>0</v>
      </c>
      <c r="BY41" s="628">
        <f t="shared" si="13"/>
        <v>0</v>
      </c>
      <c r="BZ41" s="535">
        <f t="shared" si="23"/>
        <v>0</v>
      </c>
      <c r="CA41" s="533"/>
      <c r="CB41" s="617"/>
      <c r="CC41" s="621">
        <f>AW41-CB41</f>
        <v>0</v>
      </c>
      <c r="CD41" s="617"/>
      <c r="CE41" s="621"/>
    </row>
    <row r="42" spans="1:83" s="115" customFormat="1" x14ac:dyDescent="0.3">
      <c r="A42" s="435" t="s">
        <v>92</v>
      </c>
      <c r="B42" s="1387"/>
      <c r="C42" s="442"/>
      <c r="D42" s="430"/>
      <c r="E42" s="59">
        <f>H42+Y42+AQ42+AP42</f>
        <v>0</v>
      </c>
      <c r="F42" s="410">
        <f t="shared" si="1"/>
        <v>0</v>
      </c>
      <c r="G42" s="283"/>
      <c r="H42" s="157"/>
      <c r="I42" s="298">
        <f t="shared" si="25"/>
        <v>0</v>
      </c>
      <c r="J42" s="314"/>
      <c r="K42" s="293"/>
      <c r="L42" s="157"/>
      <c r="M42" s="667"/>
      <c r="N42" s="667"/>
      <c r="O42" s="667"/>
      <c r="P42" s="667"/>
      <c r="Q42" s="667"/>
      <c r="R42" s="667">
        <f t="shared" si="16"/>
        <v>0</v>
      </c>
      <c r="S42" s="667">
        <f t="shared" si="17"/>
        <v>0</v>
      </c>
      <c r="T42" s="294"/>
      <c r="U42" s="293"/>
      <c r="V42" s="283"/>
      <c r="W42" s="365"/>
      <c r="X42" s="276"/>
      <c r="Y42" s="307"/>
      <c r="Z42" s="372"/>
      <c r="AA42" s="525"/>
      <c r="AB42" s="307"/>
      <c r="AC42" s="153"/>
      <c r="AD42" s="357">
        <f t="shared" si="2"/>
        <v>0</v>
      </c>
      <c r="AE42" s="415"/>
      <c r="AF42" s="276"/>
      <c r="AG42" s="153"/>
      <c r="AH42" s="357"/>
      <c r="AI42" s="276"/>
      <c r="AJ42" s="153"/>
      <c r="AK42" s="357"/>
      <c r="AL42" s="276"/>
      <c r="AM42" s="153"/>
      <c r="AN42" s="357"/>
      <c r="AO42" s="422"/>
      <c r="AP42" s="396"/>
      <c r="AQ42" s="334">
        <f t="shared" si="54"/>
        <v>0</v>
      </c>
      <c r="AR42" s="347">
        <f t="shared" si="5"/>
        <v>0</v>
      </c>
      <c r="AS42" s="335">
        <f t="shared" si="4"/>
        <v>0</v>
      </c>
      <c r="AT42" s="323"/>
      <c r="AU42" s="680"/>
      <c r="AV42" s="680"/>
      <c r="AW42" s="161"/>
      <c r="AX42" s="161"/>
      <c r="AY42" s="161"/>
      <c r="AZ42" s="161"/>
      <c r="BA42" s="161"/>
      <c r="BB42" s="161"/>
      <c r="BC42" s="161">
        <f t="shared" si="20"/>
        <v>0</v>
      </c>
      <c r="BD42" s="161">
        <f t="shared" si="21"/>
        <v>0</v>
      </c>
      <c r="BE42" s="347"/>
      <c r="BF42" s="334"/>
      <c r="BG42" s="161"/>
      <c r="BH42" s="335"/>
      <c r="BI42" s="539"/>
      <c r="BR42" s="617"/>
      <c r="BS42" s="621">
        <f>AK42-BR42</f>
        <v>0</v>
      </c>
      <c r="BT42" s="617"/>
      <c r="BU42" s="621"/>
      <c r="BX42" s="628">
        <f t="shared" si="26"/>
        <v>0</v>
      </c>
      <c r="BY42" s="628">
        <f t="shared" si="13"/>
        <v>0</v>
      </c>
      <c r="BZ42" s="535">
        <f t="shared" si="23"/>
        <v>0</v>
      </c>
      <c r="CA42" s="533"/>
      <c r="CB42" s="617"/>
      <c r="CC42" s="621">
        <f>AW42-CB42</f>
        <v>0</v>
      </c>
      <c r="CD42" s="617"/>
      <c r="CE42" s="621"/>
    </row>
    <row r="43" spans="1:83" s="115" customFormat="1" x14ac:dyDescent="0.3">
      <c r="A43" s="443"/>
      <c r="B43" s="1387"/>
      <c r="C43" s="442"/>
      <c r="D43" s="430"/>
      <c r="E43" s="59">
        <f>H43+Y43+AQ43+AP43</f>
        <v>0</v>
      </c>
      <c r="F43" s="410">
        <f t="shared" si="1"/>
        <v>0</v>
      </c>
      <c r="G43" s="283"/>
      <c r="H43" s="157"/>
      <c r="I43" s="298">
        <f t="shared" si="25"/>
        <v>0</v>
      </c>
      <c r="J43" s="314"/>
      <c r="K43" s="293"/>
      <c r="L43" s="157"/>
      <c r="M43" s="667"/>
      <c r="N43" s="667"/>
      <c r="O43" s="667"/>
      <c r="P43" s="667"/>
      <c r="Q43" s="667"/>
      <c r="R43" s="667">
        <f t="shared" si="16"/>
        <v>0</v>
      </c>
      <c r="S43" s="667">
        <f t="shared" si="17"/>
        <v>0</v>
      </c>
      <c r="T43" s="294"/>
      <c r="U43" s="293"/>
      <c r="V43" s="283"/>
      <c r="W43" s="365"/>
      <c r="X43" s="276"/>
      <c r="Y43" s="307"/>
      <c r="Z43" s="372"/>
      <c r="AA43" s="525"/>
      <c r="AB43" s="307"/>
      <c r="AC43" s="153"/>
      <c r="AD43" s="357">
        <f t="shared" si="2"/>
        <v>0</v>
      </c>
      <c r="AE43" s="415"/>
      <c r="AF43" s="276"/>
      <c r="AG43" s="153"/>
      <c r="AH43" s="357"/>
      <c r="AI43" s="276"/>
      <c r="AJ43" s="153"/>
      <c r="AK43" s="357"/>
      <c r="AL43" s="276"/>
      <c r="AM43" s="153"/>
      <c r="AN43" s="357"/>
      <c r="AO43" s="422"/>
      <c r="AP43" s="396"/>
      <c r="AQ43" s="334">
        <f t="shared" si="54"/>
        <v>0</v>
      </c>
      <c r="AR43" s="347">
        <f t="shared" si="5"/>
        <v>0</v>
      </c>
      <c r="AS43" s="335">
        <f t="shared" si="4"/>
        <v>0</v>
      </c>
      <c r="AT43" s="323"/>
      <c r="AU43" s="680"/>
      <c r="AV43" s="680"/>
      <c r="AW43" s="161"/>
      <c r="AX43" s="161"/>
      <c r="AY43" s="161"/>
      <c r="AZ43" s="161"/>
      <c r="BA43" s="161"/>
      <c r="BB43" s="161"/>
      <c r="BC43" s="161">
        <f t="shared" si="20"/>
        <v>0</v>
      </c>
      <c r="BD43" s="161">
        <f t="shared" si="21"/>
        <v>0</v>
      </c>
      <c r="BE43" s="347"/>
      <c r="BF43" s="334"/>
      <c r="BG43" s="161"/>
      <c r="BH43" s="335"/>
      <c r="BI43" s="539"/>
      <c r="BR43" s="617"/>
      <c r="BS43" s="621">
        <f>AK43-BR43</f>
        <v>0</v>
      </c>
      <c r="BT43" s="617"/>
      <c r="BU43" s="621"/>
      <c r="BX43" s="628">
        <f t="shared" si="26"/>
        <v>0</v>
      </c>
      <c r="BY43" s="628">
        <f t="shared" si="13"/>
        <v>0</v>
      </c>
      <c r="BZ43" s="535">
        <f t="shared" si="23"/>
        <v>0</v>
      </c>
      <c r="CA43" s="533"/>
      <c r="CB43" s="617"/>
      <c r="CC43" s="621">
        <f>AW43-CB43</f>
        <v>0</v>
      </c>
      <c r="CD43" s="617"/>
      <c r="CE43" s="621"/>
    </row>
    <row r="44" spans="1:83" s="115" customFormat="1" ht="31.5" x14ac:dyDescent="0.3">
      <c r="A44" s="435" t="s">
        <v>176</v>
      </c>
      <c r="B44" s="1388">
        <v>260</v>
      </c>
      <c r="C44" s="436">
        <v>240</v>
      </c>
      <c r="D44" s="430">
        <f>G44+X44+AP44+AQ44</f>
        <v>1648622790.74</v>
      </c>
      <c r="E44" s="59">
        <f>H44+Y44+AR44+AP44</f>
        <v>1648975687.9000001</v>
      </c>
      <c r="F44" s="410">
        <f t="shared" si="1"/>
        <v>352897.16000008583</v>
      </c>
      <c r="G44" s="283">
        <f>G46+G47+G48+G49+G50+G54+G58+G60+G62+G65+G51+G55+G59+G61+G63+G64</f>
        <v>61218790.93</v>
      </c>
      <c r="H44" s="157">
        <f>H46+H47+H48+H49+H50+H54+H58+H60+H62+H65+H51+H55+H59+H61+H63+H64</f>
        <v>56186038.560000002</v>
      </c>
      <c r="I44" s="298">
        <f t="shared" si="25"/>
        <v>-5032752.3699999973</v>
      </c>
      <c r="J44" s="314">
        <f>J46+J47+J48+J49+J50+J54+J58+J60</f>
        <v>0</v>
      </c>
      <c r="K44" s="157">
        <f>K46+K47+K48+K49+K50+K54+K58+K60+K62+K65+K51+K55+K59+K61+K63+K64</f>
        <v>45947648.329999998</v>
      </c>
      <c r="L44" s="157">
        <f>L46+L47+L48+L49+L50+L54+L58+L60+L62+L65+L51+L55+L59+L61+L63+L64</f>
        <v>41164898.649999999</v>
      </c>
      <c r="M44" s="157">
        <f>M46+M47+M48+M49+M50+M54+M58+M60+M62+M65+M51+M55+M59+M61+M63+M64</f>
        <v>36759424.450000003</v>
      </c>
      <c r="N44" s="157">
        <f t="shared" ref="N44:Q44" si="55">N46+N47+N48+N49+N50+N54+N58+N60+N62+N65+N51+N55+N59+N61+N63+N64</f>
        <v>141216</v>
      </c>
      <c r="O44" s="157">
        <f t="shared" si="55"/>
        <v>0</v>
      </c>
      <c r="P44" s="157">
        <f t="shared" si="55"/>
        <v>563630.92999999993</v>
      </c>
      <c r="Q44" s="157">
        <f t="shared" si="55"/>
        <v>1117185.55</v>
      </c>
      <c r="R44" s="667">
        <f t="shared" si="16"/>
        <v>38581456.93</v>
      </c>
      <c r="S44" s="667">
        <f t="shared" si="17"/>
        <v>2583441.7199999988</v>
      </c>
      <c r="T44" s="294">
        <f>L44-K44</f>
        <v>-4782749.68</v>
      </c>
      <c r="U44" s="157">
        <f>U46+U47+U48+U49+U50+U54+U58+U60+U62+U65+U51+U55+U59+U61+U63+U64</f>
        <v>15271142.6</v>
      </c>
      <c r="V44" s="157">
        <f>V46+V47+V48+V49+V50+V54+V58+V60+V62+V65+V51+V55+V59+V61+V63+V64</f>
        <v>15021139.91</v>
      </c>
      <c r="W44" s="365">
        <f>V44-U44</f>
        <v>-250002.68999999948</v>
      </c>
      <c r="X44" s="276">
        <f>X46+X47+X48+X49+X50+X54+X58+X60+X62+X65+X51+X55+X59+X61+X63+X64</f>
        <v>1464880518.22</v>
      </c>
      <c r="Y44" s="307">
        <f>Y46+Y47+Y48+Y49+Y50+Y54+Y58+Y60+Y62+Y65+Y51+Y55+Y59+Y61+Y63+Y64</f>
        <v>1464880518.2200003</v>
      </c>
      <c r="Z44" s="372">
        <f>Y44-X44</f>
        <v>0</v>
      </c>
      <c r="AA44" s="525">
        <f>AA46+AA47+AA48+AA49+AA50+AA54+AA58+AA60+AA62+AA65+AA51+AA55+AA59+AA61+AA63+AA64</f>
        <v>667265050.67999995</v>
      </c>
      <c r="AB44" s="307">
        <f>AB46+AB47+AB48+AB49+AB50+AB54+AB58+AB60+AB62+AB65+AB51+AB55+AB59+AB61+AB63+AB64</f>
        <v>777712203</v>
      </c>
      <c r="AC44" s="153">
        <f>AC46+AC47+AC48+AC49+AC50+AC54+AC58+AC60+AC62+AC65+AC51+AC55+AC59+AC61+AC63+AC64</f>
        <v>777712203</v>
      </c>
      <c r="AD44" s="357">
        <f t="shared" si="2"/>
        <v>0</v>
      </c>
      <c r="AE44" s="415">
        <f>AE46+AE47+AE48+AE49+AE50+AE54+AE58+AE60+AE62+AE65+AE51+AE55+AE59+AE61+AE63+AE64</f>
        <v>11296886</v>
      </c>
      <c r="AF44" s="276">
        <f>AF46+AF47+AF48+AF49+AF50+AF54+AF58+AF60+AF62+AF65+AF51+AF55+AF59+AF61+AF63+AF64</f>
        <v>6709878.54</v>
      </c>
      <c r="AG44" s="153">
        <f>AG46+AG47+AG48+AG49+AG50+AG54+AG58+AG60+AG62+AG65+AG51+AG55+AG59+AG61+AG63+AG64</f>
        <v>6709878.54</v>
      </c>
      <c r="AH44" s="357">
        <f>AG44-AF44</f>
        <v>0</v>
      </c>
      <c r="AI44" s="276"/>
      <c r="AJ44" s="153"/>
      <c r="AK44" s="357"/>
      <c r="AL44" s="153">
        <f t="shared" ref="AL44:AM44" si="56">AL46+AL47+AL48+AL49+AL50+AL54+AL58+AL60+AL62+AL65+AL51+AL55+AL59+AL61+AL63+AL64</f>
        <v>1896500</v>
      </c>
      <c r="AM44" s="153">
        <f t="shared" si="56"/>
        <v>1896500</v>
      </c>
      <c r="AN44" s="357">
        <f>AM44-AL44</f>
        <v>0</v>
      </c>
      <c r="AO44" s="422">
        <f>AO46+AO47+AO48+AO49+AO50+AO51+AO55+AO60</f>
        <v>0</v>
      </c>
      <c r="AP44" s="396">
        <f>AP46+AP47+AP48+AP49+AP50+AP54+AP58+AP60+AP62+AP65+AP51+AP55+AP59+AP61+AP63+AP64</f>
        <v>70000</v>
      </c>
      <c r="AQ44" s="334">
        <f>AQ46+AQ47+AQ48+AQ49+AQ50+AQ54+AQ58+AQ60+AQ62+AQ65+AQ51+AQ55+AQ59+AQ61+AQ63+AQ64</f>
        <v>122453481.59</v>
      </c>
      <c r="AR44" s="347">
        <f>AR46+AR47+AR48+AR49+AR50+AR54+AR58+AR60+AR62+AR65+AR51+AR55+AR59+AR61+AR63+AR64</f>
        <v>127839131.11999999</v>
      </c>
      <c r="AS44" s="335">
        <f t="shared" si="4"/>
        <v>5385649.5299999863</v>
      </c>
      <c r="AT44" s="323">
        <v>102360232.05</v>
      </c>
      <c r="AU44" s="680"/>
      <c r="AV44" s="680">
        <f>S44</f>
        <v>2583441.7199999988</v>
      </c>
      <c r="AW44" s="323">
        <f>AW46+AW47+AW48+AW49+AW50+AW54+AW58+AW60+AW62+AW65+AW51+AW55+AW59+AW61+AW63+AW64</f>
        <v>102189577.93000001</v>
      </c>
      <c r="AX44" s="323">
        <f t="shared" ref="AX44:BB44" si="57">AX46+AX47+AX48+AX49+AX50+AX54+AX58+AX60+AX62+AX65+AX51+AX55+AX59+AX61+AX63+AX64</f>
        <v>99957578.24000001</v>
      </c>
      <c r="AY44" s="323">
        <f t="shared" si="57"/>
        <v>286394.30999999994</v>
      </c>
      <c r="AZ44" s="323">
        <f t="shared" si="57"/>
        <v>238533.97</v>
      </c>
      <c r="BA44" s="323">
        <f t="shared" si="57"/>
        <v>226502.36</v>
      </c>
      <c r="BB44" s="323">
        <f t="shared" si="57"/>
        <v>751591.98</v>
      </c>
      <c r="BC44" s="161">
        <f t="shared" si="20"/>
        <v>101460600.86000001</v>
      </c>
      <c r="BD44" s="161">
        <f t="shared" si="21"/>
        <v>728977.0699999975</v>
      </c>
      <c r="BE44" s="347">
        <f>AW44-AT44</f>
        <v>-170654.11999998987</v>
      </c>
      <c r="BF44" s="334">
        <f>BF46+BF47+BF48+BF49+BF50+BF54+BF58+BF60+BF62+BF65+BF51+BF55+BF59+BF61+BF63+BF64</f>
        <v>20093249.539999999</v>
      </c>
      <c r="BG44" s="161">
        <f>BG46+BG47+BG48+BG49+BG50+BG54+BG58+BG60+BG62+BG65+BG51+BG55+BG59+BG61+BG63+BG64</f>
        <v>25649553.189999998</v>
      </c>
      <c r="BH44" s="335">
        <f>BG44-BF44</f>
        <v>5556303.6499999985</v>
      </c>
      <c r="BI44" s="539">
        <f>BI46+BI47+BI48+BI49+BI50+BI51+BI55+BI60</f>
        <v>0</v>
      </c>
      <c r="BR44" s="334">
        <f>BR46+BR47+BR48+BR49+BR50+BR54+BR58+BR60+BR62+BR65+BR51+BR55+BR59+BR61+BR63+BR64</f>
        <v>0</v>
      </c>
      <c r="BS44" s="539">
        <f t="shared" ref="BS44:BU44" si="58">BS46+BS47+BS48+BS49+BS50+BS54+BS58+BS60+BS62+BS65+BS51+BS55+BS59+BS61+BS63+BS64</f>
        <v>0</v>
      </c>
      <c r="BT44" s="334">
        <f t="shared" si="58"/>
        <v>25649553.189999998</v>
      </c>
      <c r="BU44" s="539">
        <f t="shared" si="58"/>
        <v>-23753053.189999998</v>
      </c>
      <c r="BX44" s="628">
        <f t="shared" si="26"/>
        <v>122453481.59</v>
      </c>
      <c r="BY44" s="628">
        <f t="shared" si="13"/>
        <v>127263947.69999999</v>
      </c>
      <c r="BZ44" s="630">
        <f t="shared" si="23"/>
        <v>-4810466.1099999845</v>
      </c>
      <c r="CA44" s="334">
        <f>SUM(CA47:CA65)</f>
        <v>127614307.80999999</v>
      </c>
      <c r="CB44" s="334">
        <f>CB46+CB47+CB48+CB49+CB50+CB54+CB58+CB60+CB62+CB65+CB51+CB55+CB59+CB61+CB63+CB64</f>
        <v>101614394.50999999</v>
      </c>
      <c r="CC44" s="539">
        <f t="shared" ref="CC44:CE44" si="59">CC46+CC47+CC48+CC49+CC50+CC54+CC58+CC60+CC62+CC65+CC51+CC55+CC59+CC61+CC63+CC64</f>
        <v>745837.53999999585</v>
      </c>
      <c r="CD44" s="334">
        <f t="shared" si="59"/>
        <v>25649553.189999998</v>
      </c>
      <c r="CE44" s="539">
        <f t="shared" si="59"/>
        <v>-5556303.6500000004</v>
      </c>
    </row>
    <row r="45" spans="1:83" x14ac:dyDescent="0.3">
      <c r="A45" s="437" t="s">
        <v>92</v>
      </c>
      <c r="B45" s="1392"/>
      <c r="C45" s="438"/>
      <c r="D45" s="431"/>
      <c r="E45" s="59">
        <f>H45+Y45+AQ45+AP45</f>
        <v>0</v>
      </c>
      <c r="F45" s="410">
        <f t="shared" si="1"/>
        <v>0</v>
      </c>
      <c r="G45" s="285"/>
      <c r="H45" s="158"/>
      <c r="I45" s="298">
        <f t="shared" si="25"/>
        <v>0</v>
      </c>
      <c r="J45" s="316"/>
      <c r="K45" s="297"/>
      <c r="L45" s="158"/>
      <c r="M45" s="669"/>
      <c r="N45" s="669"/>
      <c r="O45" s="669"/>
      <c r="P45" s="669"/>
      <c r="Q45" s="669"/>
      <c r="R45" s="667">
        <f t="shared" si="16"/>
        <v>0</v>
      </c>
      <c r="S45" s="667">
        <f t="shared" si="17"/>
        <v>0</v>
      </c>
      <c r="T45" s="298"/>
      <c r="U45" s="297"/>
      <c r="V45" s="285"/>
      <c r="W45" s="367"/>
      <c r="X45" s="279"/>
      <c r="Y45" s="310"/>
      <c r="Z45" s="375"/>
      <c r="AA45" s="528"/>
      <c r="AB45" s="310"/>
      <c r="AC45" s="63"/>
      <c r="AD45" s="357">
        <f t="shared" si="2"/>
        <v>0</v>
      </c>
      <c r="AE45" s="418"/>
      <c r="AF45" s="279"/>
      <c r="AG45" s="63"/>
      <c r="AH45" s="360"/>
      <c r="AI45" s="279"/>
      <c r="AJ45" s="63"/>
      <c r="AK45" s="360"/>
      <c r="AL45" s="279"/>
      <c r="AM45" s="63"/>
      <c r="AN45" s="360"/>
      <c r="AO45" s="425"/>
      <c r="AP45" s="395"/>
      <c r="AQ45" s="334">
        <f t="shared" si="54"/>
        <v>0</v>
      </c>
      <c r="AR45" s="347">
        <f t="shared" si="5"/>
        <v>0</v>
      </c>
      <c r="AS45" s="335">
        <f t="shared" si="4"/>
        <v>0</v>
      </c>
      <c r="AT45" s="324"/>
      <c r="AU45" s="682"/>
      <c r="AV45" s="682"/>
      <c r="AW45" s="162"/>
      <c r="AX45" s="162"/>
      <c r="AY45" s="162"/>
      <c r="AZ45" s="162"/>
      <c r="BA45" s="162"/>
      <c r="BB45" s="162"/>
      <c r="BC45" s="161">
        <f t="shared" si="20"/>
        <v>0</v>
      </c>
      <c r="BD45" s="161">
        <f t="shared" si="21"/>
        <v>0</v>
      </c>
      <c r="BE45" s="349"/>
      <c r="BF45" s="338"/>
      <c r="BG45" s="162"/>
      <c r="BH45" s="339"/>
      <c r="BI45" s="540"/>
      <c r="BK45" s="121" t="s">
        <v>237</v>
      </c>
      <c r="BL45" s="121" t="s">
        <v>197</v>
      </c>
      <c r="BR45" s="617"/>
      <c r="BS45" s="621">
        <f>AK45-BR45</f>
        <v>0</v>
      </c>
      <c r="BT45" s="617"/>
      <c r="BU45" s="621"/>
      <c r="BX45" s="628">
        <f t="shared" si="26"/>
        <v>0</v>
      </c>
      <c r="BY45" s="628">
        <f t="shared" si="13"/>
        <v>0</v>
      </c>
      <c r="BZ45" s="535">
        <f t="shared" si="23"/>
        <v>0</v>
      </c>
      <c r="CA45" s="533"/>
      <c r="CB45" s="617"/>
      <c r="CC45" s="621">
        <f>AW45-CB45</f>
        <v>0</v>
      </c>
      <c r="CD45" s="617"/>
      <c r="CE45" s="621"/>
    </row>
    <row r="46" spans="1:83" ht="31.5" x14ac:dyDescent="0.3">
      <c r="A46" s="437" t="s">
        <v>177</v>
      </c>
      <c r="B46" s="140"/>
      <c r="C46" s="664">
        <v>241</v>
      </c>
      <c r="D46" s="431"/>
      <c r="E46" s="59">
        <f>H46+Y46+AQ46+AP46</f>
        <v>0</v>
      </c>
      <c r="F46" s="410">
        <f t="shared" si="1"/>
        <v>0</v>
      </c>
      <c r="G46" s="285"/>
      <c r="H46" s="158"/>
      <c r="I46" s="298">
        <f t="shared" si="25"/>
        <v>0</v>
      </c>
      <c r="J46" s="316"/>
      <c r="K46" s="297"/>
      <c r="L46" s="158"/>
      <c r="M46" s="669"/>
      <c r="N46" s="669"/>
      <c r="O46" s="669"/>
      <c r="P46" s="669"/>
      <c r="Q46" s="669"/>
      <c r="R46" s="667">
        <f t="shared" si="16"/>
        <v>0</v>
      </c>
      <c r="S46" s="667">
        <f t="shared" si="17"/>
        <v>0</v>
      </c>
      <c r="T46" s="298"/>
      <c r="U46" s="297"/>
      <c r="V46" s="285"/>
      <c r="W46" s="367"/>
      <c r="X46" s="279"/>
      <c r="Y46" s="310"/>
      <c r="Z46" s="375"/>
      <c r="AA46" s="528"/>
      <c r="AB46" s="310"/>
      <c r="AC46" s="63"/>
      <c r="AD46" s="357">
        <f t="shared" si="2"/>
        <v>0</v>
      </c>
      <c r="AE46" s="418"/>
      <c r="AF46" s="279"/>
      <c r="AG46" s="63"/>
      <c r="AH46" s="360"/>
      <c r="AI46" s="279"/>
      <c r="AJ46" s="63"/>
      <c r="AK46" s="360"/>
      <c r="AL46" s="279"/>
      <c r="AM46" s="63"/>
      <c r="AN46" s="360"/>
      <c r="AO46" s="425"/>
      <c r="AP46" s="395"/>
      <c r="AQ46" s="334">
        <f t="shared" si="54"/>
        <v>0</v>
      </c>
      <c r="AR46" s="347">
        <f t="shared" si="5"/>
        <v>0</v>
      </c>
      <c r="AS46" s="335">
        <f t="shared" si="4"/>
        <v>0</v>
      </c>
      <c r="AT46" s="324"/>
      <c r="AU46" s="682"/>
      <c r="AV46" s="682"/>
      <c r="AW46" s="162"/>
      <c r="AX46" s="162"/>
      <c r="AY46" s="162"/>
      <c r="AZ46" s="162"/>
      <c r="BA46" s="162"/>
      <c r="BB46" s="162"/>
      <c r="BC46" s="161">
        <f t="shared" si="20"/>
        <v>0</v>
      </c>
      <c r="BD46" s="161">
        <f t="shared" si="21"/>
        <v>0</v>
      </c>
      <c r="BE46" s="349"/>
      <c r="BF46" s="338"/>
      <c r="BG46" s="162"/>
      <c r="BH46" s="339"/>
      <c r="BI46" s="540"/>
      <c r="BK46" s="141"/>
      <c r="BL46" s="122">
        <v>25000</v>
      </c>
      <c r="BM46" s="117" t="s">
        <v>234</v>
      </c>
      <c r="BR46" s="617"/>
      <c r="BS46" s="621">
        <f>AK46-BR46</f>
        <v>0</v>
      </c>
      <c r="BT46" s="617"/>
      <c r="BU46" s="621"/>
      <c r="BX46" s="628">
        <f t="shared" si="26"/>
        <v>0</v>
      </c>
      <c r="BY46" s="628">
        <f t="shared" si="13"/>
        <v>0</v>
      </c>
      <c r="BZ46" s="535">
        <f t="shared" si="23"/>
        <v>0</v>
      </c>
      <c r="CA46" s="533"/>
      <c r="CB46" s="617"/>
      <c r="CC46" s="621">
        <f>AW46-CB46</f>
        <v>0</v>
      </c>
      <c r="CD46" s="617"/>
      <c r="CE46" s="621"/>
    </row>
    <row r="47" spans="1:83" ht="15.75" customHeight="1" x14ac:dyDescent="0.3">
      <c r="A47" s="437" t="s">
        <v>178</v>
      </c>
      <c r="B47" s="140"/>
      <c r="C47" s="664">
        <v>244</v>
      </c>
      <c r="D47" s="431">
        <f>G47+X47+AP47+AQ47</f>
        <v>2403539.1</v>
      </c>
      <c r="E47" s="64">
        <f>H47+Y47+AR47+AP47</f>
        <v>2403539.1</v>
      </c>
      <c r="F47" s="410">
        <f t="shared" si="1"/>
        <v>0</v>
      </c>
      <c r="G47" s="285">
        <v>770865.64</v>
      </c>
      <c r="H47" s="158">
        <f>J47+L47+V47</f>
        <v>770865.64</v>
      </c>
      <c r="I47" s="298">
        <f t="shared" si="25"/>
        <v>0</v>
      </c>
      <c r="J47" s="316"/>
      <c r="K47" s="297">
        <v>677714.64</v>
      </c>
      <c r="L47" s="158">
        <v>709365.92</v>
      </c>
      <c r="M47" s="669">
        <v>298972.82</v>
      </c>
      <c r="N47" s="669"/>
      <c r="O47" s="669"/>
      <c r="P47" s="669">
        <v>25000</v>
      </c>
      <c r="Q47" s="669"/>
      <c r="R47" s="667">
        <f t="shared" si="16"/>
        <v>323972.82</v>
      </c>
      <c r="S47" s="667">
        <f t="shared" si="17"/>
        <v>385393.10000000003</v>
      </c>
      <c r="T47" s="298">
        <f>L47-K47</f>
        <v>31651.280000000028</v>
      </c>
      <c r="U47" s="285">
        <v>93151</v>
      </c>
      <c r="V47" s="285">
        <v>61499.72</v>
      </c>
      <c r="W47" s="367">
        <f>V47-U47</f>
        <v>-31651.279999999999</v>
      </c>
      <c r="X47" s="279">
        <f>AB47+AE47+AF47+AI47+AL47+AA47</f>
        <v>471926.98</v>
      </c>
      <c r="Y47" s="310">
        <f>AA47+AC47+AE47+AG47+AJ47+AM47</f>
        <v>471926.98</v>
      </c>
      <c r="Z47" s="375">
        <f>Y47-X47</f>
        <v>0</v>
      </c>
      <c r="AA47" s="528">
        <f>54723.88+10227</f>
        <v>64950.879999999997</v>
      </c>
      <c r="AB47" s="310"/>
      <c r="AC47" s="63"/>
      <c r="AD47" s="357">
        <f t="shared" si="2"/>
        <v>0</v>
      </c>
      <c r="AE47" s="418">
        <v>216602.1</v>
      </c>
      <c r="AF47" s="279">
        <v>190374</v>
      </c>
      <c r="AG47" s="63">
        <v>190374</v>
      </c>
      <c r="AH47" s="360">
        <f>AG47-AF47</f>
        <v>0</v>
      </c>
      <c r="AI47" s="279"/>
      <c r="AJ47" s="63"/>
      <c r="AK47" s="360"/>
      <c r="AL47" s="279"/>
      <c r="AM47" s="63"/>
      <c r="AN47" s="360"/>
      <c r="AO47" s="425"/>
      <c r="AP47" s="395"/>
      <c r="AQ47" s="334">
        <v>1160746.48</v>
      </c>
      <c r="AR47" s="347">
        <f t="shared" si="5"/>
        <v>1160746.48</v>
      </c>
      <c r="AS47" s="335">
        <f t="shared" si="4"/>
        <v>0</v>
      </c>
      <c r="AT47" s="324">
        <v>914369.45</v>
      </c>
      <c r="AU47" s="682"/>
      <c r="AV47" s="682">
        <f>S47</f>
        <v>385393.10000000003</v>
      </c>
      <c r="AW47" s="162">
        <f>914369.45+33675.17</f>
        <v>948044.62</v>
      </c>
      <c r="AX47" s="162">
        <v>750491.19</v>
      </c>
      <c r="AY47" s="162"/>
      <c r="AZ47" s="162"/>
      <c r="BA47" s="162"/>
      <c r="BB47" s="162"/>
      <c r="BC47" s="161">
        <f t="shared" si="20"/>
        <v>750491.19</v>
      </c>
      <c r="BD47" s="161">
        <f t="shared" si="21"/>
        <v>197553.43000000005</v>
      </c>
      <c r="BE47" s="349">
        <f>AW47-AT47</f>
        <v>33675.170000000042</v>
      </c>
      <c r="BF47" s="338">
        <v>246377.03000000003</v>
      </c>
      <c r="BG47" s="162">
        <f>CD47</f>
        <v>212701.86</v>
      </c>
      <c r="BH47" s="339">
        <f>BG47-BF47</f>
        <v>-33675.170000000042</v>
      </c>
      <c r="BI47" s="540"/>
      <c r="BK47" s="122">
        <v>269900</v>
      </c>
      <c r="BL47" s="122">
        <f>-269900</f>
        <v>-269900</v>
      </c>
      <c r="BM47" s="117" t="s">
        <v>179</v>
      </c>
      <c r="BR47" s="617"/>
      <c r="BS47" s="621">
        <f>AJ47-BR47</f>
        <v>0</v>
      </c>
      <c r="BT47" s="617">
        <v>212701.86</v>
      </c>
      <c r="BU47" s="621">
        <f>AM47-BT47</f>
        <v>-212701.86</v>
      </c>
      <c r="BX47" s="629">
        <f t="shared" si="26"/>
        <v>1160746.48</v>
      </c>
      <c r="BY47" s="629">
        <f t="shared" si="13"/>
        <v>963193.04999999993</v>
      </c>
      <c r="BZ47" s="533">
        <f t="shared" si="23"/>
        <v>197553.43000000005</v>
      </c>
      <c r="CA47" s="533">
        <f>BX47</f>
        <v>1160746.48</v>
      </c>
      <c r="CB47" s="617">
        <v>750491.19</v>
      </c>
      <c r="CC47" s="621">
        <f>AT47-CB47</f>
        <v>163878.26</v>
      </c>
      <c r="CD47" s="617">
        <v>212701.86</v>
      </c>
      <c r="CE47" s="621">
        <f>BF47-CD47</f>
        <v>33675.170000000042</v>
      </c>
    </row>
    <row r="48" spans="1:83" ht="19.5" customHeight="1" x14ac:dyDescent="0.3">
      <c r="A48" s="437" t="s">
        <v>179</v>
      </c>
      <c r="B48" s="140"/>
      <c r="C48" s="664">
        <v>244</v>
      </c>
      <c r="D48" s="431">
        <f>G48+X48+AO48+AP48+AQ48</f>
        <v>135100</v>
      </c>
      <c r="E48" s="64">
        <f>H48+Y48+AR48+AP48</f>
        <v>39127.660000000003</v>
      </c>
      <c r="F48" s="411">
        <f t="shared" si="1"/>
        <v>-95972.34</v>
      </c>
      <c r="G48" s="285"/>
      <c r="H48" s="158"/>
      <c r="I48" s="298">
        <f t="shared" si="25"/>
        <v>0</v>
      </c>
      <c r="J48" s="316"/>
      <c r="K48" s="297"/>
      <c r="L48" s="158"/>
      <c r="M48" s="669"/>
      <c r="N48" s="669"/>
      <c r="O48" s="669"/>
      <c r="P48" s="669"/>
      <c r="Q48" s="669"/>
      <c r="R48" s="667">
        <f t="shared" si="16"/>
        <v>0</v>
      </c>
      <c r="S48" s="667">
        <f t="shared" si="17"/>
        <v>0</v>
      </c>
      <c r="T48" s="298"/>
      <c r="U48" s="285"/>
      <c r="V48" s="285"/>
      <c r="W48" s="367"/>
      <c r="X48" s="279"/>
      <c r="Y48" s="310"/>
      <c r="Z48" s="375"/>
      <c r="AA48" s="528"/>
      <c r="AB48" s="310"/>
      <c r="AC48" s="63"/>
      <c r="AD48" s="357">
        <f t="shared" si="2"/>
        <v>0</v>
      </c>
      <c r="AE48" s="418"/>
      <c r="AF48" s="279"/>
      <c r="AG48" s="63"/>
      <c r="AH48" s="360"/>
      <c r="AI48" s="279"/>
      <c r="AJ48" s="63"/>
      <c r="AK48" s="360"/>
      <c r="AL48" s="279"/>
      <c r="AM48" s="63"/>
      <c r="AN48" s="360"/>
      <c r="AO48" s="425"/>
      <c r="AP48" s="395"/>
      <c r="AQ48" s="334">
        <v>135100</v>
      </c>
      <c r="AR48" s="347">
        <f t="shared" si="5"/>
        <v>39127.660000000003</v>
      </c>
      <c r="AS48" s="335">
        <f t="shared" si="4"/>
        <v>-95972.34</v>
      </c>
      <c r="AT48" s="324">
        <v>85100</v>
      </c>
      <c r="AU48" s="682"/>
      <c r="AV48" s="682"/>
      <c r="AW48" s="162">
        <f>CB48</f>
        <v>8355</v>
      </c>
      <c r="AX48" s="162">
        <v>8355</v>
      </c>
      <c r="AY48" s="162"/>
      <c r="AZ48" s="162"/>
      <c r="BA48" s="162"/>
      <c r="BB48" s="162"/>
      <c r="BC48" s="161">
        <f t="shared" si="20"/>
        <v>8355</v>
      </c>
      <c r="BD48" s="161">
        <f t="shared" si="21"/>
        <v>0</v>
      </c>
      <c r="BE48" s="349">
        <f t="shared" ref="BE48:BE66" si="60">AW48-AT48</f>
        <v>-76745</v>
      </c>
      <c r="BF48" s="338">
        <v>50000</v>
      </c>
      <c r="BG48" s="162">
        <f>CD48</f>
        <v>30772.66</v>
      </c>
      <c r="BH48" s="339">
        <f>BG48-BF48</f>
        <v>-19227.34</v>
      </c>
      <c r="BI48" s="540"/>
      <c r="BK48" s="111">
        <v>50000</v>
      </c>
      <c r="BL48" s="111">
        <v>845833.33</v>
      </c>
      <c r="BM48" s="117" t="s">
        <v>242</v>
      </c>
      <c r="BR48" s="617"/>
      <c r="BS48" s="621">
        <f t="shared" ref="BS48:BS49" si="61">AJ48-BR48</f>
        <v>0</v>
      </c>
      <c r="BT48" s="617">
        <v>30772.66</v>
      </c>
      <c r="BU48" s="621">
        <f t="shared" ref="BU48:BU60" si="62">AM48-BT48</f>
        <v>-30772.66</v>
      </c>
      <c r="BX48" s="629">
        <f t="shared" si="26"/>
        <v>135100</v>
      </c>
      <c r="BY48" s="629">
        <f t="shared" si="13"/>
        <v>39127.660000000003</v>
      </c>
      <c r="BZ48" s="533">
        <f t="shared" si="23"/>
        <v>95972.34</v>
      </c>
      <c r="CA48" s="631">
        <f>BY48</f>
        <v>39127.660000000003</v>
      </c>
      <c r="CB48" s="617">
        <v>8355</v>
      </c>
      <c r="CC48" s="621">
        <f t="shared" ref="CC48:CC49" si="63">AT48-CB48</f>
        <v>76745</v>
      </c>
      <c r="CD48" s="617">
        <v>30772.66</v>
      </c>
      <c r="CE48" s="621">
        <f t="shared" ref="CE48:CE74" si="64">BF48-CD48</f>
        <v>19227.34</v>
      </c>
    </row>
    <row r="49" spans="1:85" ht="16.5" customHeight="1" x14ac:dyDescent="0.3">
      <c r="A49" s="437" t="s">
        <v>180</v>
      </c>
      <c r="B49" s="140"/>
      <c r="C49" s="664">
        <v>244</v>
      </c>
      <c r="D49" s="431">
        <f>G49+X49+AP49+AQ49</f>
        <v>40955523.200000003</v>
      </c>
      <c r="E49" s="64">
        <f>H49+Y49+AR49+AP49</f>
        <v>37402005.170000002</v>
      </c>
      <c r="F49" s="411">
        <f t="shared" si="1"/>
        <v>-3553518.0300000012</v>
      </c>
      <c r="G49" s="285">
        <v>14540700.050000001</v>
      </c>
      <c r="H49" s="158">
        <f>J49+L49+V49</f>
        <v>12447412.529999999</v>
      </c>
      <c r="I49" s="298">
        <f t="shared" si="25"/>
        <v>-2093287.5200000014</v>
      </c>
      <c r="J49" s="316"/>
      <c r="K49" s="297">
        <v>12397327.450000001</v>
      </c>
      <c r="L49" s="158">
        <f>8789466.1+1140927.27-336832.67</f>
        <v>9593560.6999999993</v>
      </c>
      <c r="M49" s="669">
        <v>8789466.0999999996</v>
      </c>
      <c r="N49" s="669"/>
      <c r="O49" s="669"/>
      <c r="P49" s="669"/>
      <c r="Q49" s="669"/>
      <c r="R49" s="667">
        <f t="shared" si="16"/>
        <v>8789466.0999999996</v>
      </c>
      <c r="S49" s="667">
        <f t="shared" si="17"/>
        <v>804094.59999999963</v>
      </c>
      <c r="T49" s="298">
        <f>L49-K49</f>
        <v>-2803766.7500000019</v>
      </c>
      <c r="U49" s="285">
        <v>2143372.6</v>
      </c>
      <c r="V49" s="285">
        <v>2853851.83</v>
      </c>
      <c r="W49" s="367">
        <f>V49-U49</f>
        <v>710479.23</v>
      </c>
      <c r="X49" s="279">
        <f>AB49+AE49+AF49+AI49+AL49+AA49</f>
        <v>8172694.3399999999</v>
      </c>
      <c r="Y49" s="310">
        <f>AA49+AC49+AE49+AG49+AJ49+AM49</f>
        <v>8172694.3399999999</v>
      </c>
      <c r="Z49" s="375">
        <f>Y49-X49</f>
        <v>0</v>
      </c>
      <c r="AA49" s="528">
        <f>266568.3+304773.63</f>
        <v>571341.92999999993</v>
      </c>
      <c r="AB49" s="310"/>
      <c r="AC49" s="63"/>
      <c r="AD49" s="357">
        <f t="shared" si="2"/>
        <v>0</v>
      </c>
      <c r="AE49" s="418">
        <v>2673974.16</v>
      </c>
      <c r="AF49" s="279">
        <v>3030878.25</v>
      </c>
      <c r="AG49" s="63">
        <v>3030878.25</v>
      </c>
      <c r="AH49" s="360">
        <f>AG49-AF49</f>
        <v>0</v>
      </c>
      <c r="AI49" s="279"/>
      <c r="AJ49" s="63"/>
      <c r="AK49" s="360"/>
      <c r="AL49" s="63">
        <v>1896500</v>
      </c>
      <c r="AM49" s="63">
        <v>1896500</v>
      </c>
      <c r="AN49" s="360">
        <f>AM49-AL49</f>
        <v>0</v>
      </c>
      <c r="AO49" s="425"/>
      <c r="AP49" s="395"/>
      <c r="AQ49" s="334">
        <v>18242128.809999999</v>
      </c>
      <c r="AR49" s="347">
        <f t="shared" si="5"/>
        <v>16781898.300000001</v>
      </c>
      <c r="AS49" s="335">
        <f t="shared" si="4"/>
        <v>-1460230.5099999979</v>
      </c>
      <c r="AT49" s="324">
        <v>17228093.98</v>
      </c>
      <c r="AU49" s="682"/>
      <c r="AV49" s="682">
        <f>S49</f>
        <v>804094.59999999963</v>
      </c>
      <c r="AW49" s="162">
        <f>CB49</f>
        <v>15902122.360000001</v>
      </c>
      <c r="AX49" s="162">
        <v>15377975.9</v>
      </c>
      <c r="AY49" s="162">
        <v>224146.46</v>
      </c>
      <c r="AZ49" s="162"/>
      <c r="BA49" s="162"/>
      <c r="BB49" s="162"/>
      <c r="BC49" s="161">
        <f t="shared" si="20"/>
        <v>15602122.360000001</v>
      </c>
      <c r="BD49" s="161">
        <f t="shared" si="21"/>
        <v>300000.00000000093</v>
      </c>
      <c r="BE49" s="349">
        <f t="shared" si="60"/>
        <v>-1325971.6199999992</v>
      </c>
      <c r="BF49" s="338">
        <v>1014034.83</v>
      </c>
      <c r="BG49" s="162">
        <f>CD49</f>
        <v>879775.94</v>
      </c>
      <c r="BH49" s="339">
        <f>BG49-BF49</f>
        <v>-134258.89000000001</v>
      </c>
      <c r="BI49" s="540"/>
      <c r="BK49" s="122">
        <f>-(BK37+BK47+BK34)</f>
        <v>-2401129.66</v>
      </c>
      <c r="BM49" s="117" t="s">
        <v>180</v>
      </c>
      <c r="BR49" s="617"/>
      <c r="BS49" s="621">
        <f t="shared" si="61"/>
        <v>0</v>
      </c>
      <c r="BT49" s="617">
        <v>879775.94</v>
      </c>
      <c r="BU49" s="621">
        <f t="shared" si="62"/>
        <v>1016724.06</v>
      </c>
      <c r="BX49" s="629">
        <f t="shared" si="26"/>
        <v>18242128.809999999</v>
      </c>
      <c r="BY49" s="629">
        <f t="shared" si="13"/>
        <v>16781898.300000001</v>
      </c>
      <c r="BZ49" s="533">
        <f t="shared" si="23"/>
        <v>1460230.5099999979</v>
      </c>
      <c r="CA49" s="631">
        <f>BY49</f>
        <v>16781898.300000001</v>
      </c>
      <c r="CB49" s="617">
        <f>15377975.9+224146.46+300000</f>
        <v>15902122.360000001</v>
      </c>
      <c r="CC49" s="621">
        <f t="shared" si="63"/>
        <v>1325971.6199999992</v>
      </c>
      <c r="CD49" s="617">
        <v>879775.94</v>
      </c>
      <c r="CE49" s="621">
        <f t="shared" si="64"/>
        <v>134258.89000000001</v>
      </c>
    </row>
    <row r="50" spans="1:85" x14ac:dyDescent="0.3">
      <c r="A50" s="437" t="s">
        <v>181</v>
      </c>
      <c r="B50" s="140"/>
      <c r="C50" s="664">
        <v>244</v>
      </c>
      <c r="D50" s="431"/>
      <c r="E50" s="64">
        <f>H50+Y50+AQ50+AP50</f>
        <v>0</v>
      </c>
      <c r="F50" s="410">
        <f t="shared" si="1"/>
        <v>0</v>
      </c>
      <c r="G50" s="285"/>
      <c r="H50" s="158"/>
      <c r="I50" s="298">
        <f t="shared" si="25"/>
        <v>0</v>
      </c>
      <c r="J50" s="316"/>
      <c r="K50" s="297"/>
      <c r="L50" s="158"/>
      <c r="M50" s="669"/>
      <c r="N50" s="669"/>
      <c r="O50" s="669"/>
      <c r="P50" s="669"/>
      <c r="Q50" s="669"/>
      <c r="R50" s="667">
        <f t="shared" si="16"/>
        <v>0</v>
      </c>
      <c r="S50" s="667">
        <f t="shared" si="17"/>
        <v>0</v>
      </c>
      <c r="T50" s="298"/>
      <c r="U50" s="285"/>
      <c r="V50" s="285"/>
      <c r="W50" s="367"/>
      <c r="X50" s="279"/>
      <c r="Y50" s="310"/>
      <c r="Z50" s="375"/>
      <c r="AA50" s="528"/>
      <c r="AB50" s="310"/>
      <c r="AC50" s="63"/>
      <c r="AD50" s="357">
        <f t="shared" si="2"/>
        <v>0</v>
      </c>
      <c r="AE50" s="418"/>
      <c r="AF50" s="279"/>
      <c r="AG50" s="63"/>
      <c r="AH50" s="360"/>
      <c r="AI50" s="279"/>
      <c r="AJ50" s="63"/>
      <c r="AK50" s="360"/>
      <c r="AL50" s="279"/>
      <c r="AM50" s="63"/>
      <c r="AN50" s="360"/>
      <c r="AO50" s="425"/>
      <c r="AP50" s="395"/>
      <c r="AQ50" s="334">
        <v>0</v>
      </c>
      <c r="AR50" s="347">
        <f t="shared" si="5"/>
        <v>0</v>
      </c>
      <c r="AS50" s="335">
        <f t="shared" si="4"/>
        <v>0</v>
      </c>
      <c r="AT50" s="324">
        <v>0</v>
      </c>
      <c r="AU50" s="682"/>
      <c r="AV50" s="682"/>
      <c r="AW50" s="162">
        <v>0</v>
      </c>
      <c r="AX50" s="162"/>
      <c r="AY50" s="162"/>
      <c r="AZ50" s="162"/>
      <c r="BA50" s="162"/>
      <c r="BB50" s="162"/>
      <c r="BC50" s="161">
        <f t="shared" si="20"/>
        <v>0</v>
      </c>
      <c r="BD50" s="161">
        <f t="shared" si="21"/>
        <v>0</v>
      </c>
      <c r="BE50" s="349">
        <f t="shared" si="60"/>
        <v>0</v>
      </c>
      <c r="BF50" s="338"/>
      <c r="BG50" s="162"/>
      <c r="BH50" s="339"/>
      <c r="BI50" s="540"/>
      <c r="BK50" s="111">
        <v>23168167.190000001</v>
      </c>
      <c r="BL50" s="111">
        <v>2186471.81</v>
      </c>
      <c r="BM50" s="117" t="s">
        <v>243</v>
      </c>
      <c r="BR50" s="617"/>
      <c r="BS50" s="621">
        <f>AK50-BR50</f>
        <v>0</v>
      </c>
      <c r="BT50" s="617"/>
      <c r="BU50" s="621">
        <f t="shared" si="62"/>
        <v>0</v>
      </c>
      <c r="BX50" s="629">
        <f t="shared" si="26"/>
        <v>0</v>
      </c>
      <c r="BY50" s="629">
        <f t="shared" si="13"/>
        <v>0</v>
      </c>
      <c r="BZ50" s="533">
        <f t="shared" si="23"/>
        <v>0</v>
      </c>
      <c r="CA50" s="533"/>
      <c r="CB50" s="617"/>
      <c r="CC50" s="621">
        <f>AW50-CB50</f>
        <v>0</v>
      </c>
      <c r="CD50" s="617"/>
      <c r="CE50" s="621">
        <f t="shared" si="64"/>
        <v>0</v>
      </c>
    </row>
    <row r="51" spans="1:85" x14ac:dyDescent="0.3">
      <c r="A51" s="1417" t="s">
        <v>182</v>
      </c>
      <c r="B51" s="142"/>
      <c r="C51" s="1414">
        <v>243</v>
      </c>
      <c r="D51" s="431">
        <f t="shared" ref="D51:D60" si="65">G51+X51+AP51+AQ51</f>
        <v>381554740.56</v>
      </c>
      <c r="E51" s="64">
        <f t="shared" ref="E51:E58" si="66">H51+Y51+AR51+AP51</f>
        <v>381554740.56</v>
      </c>
      <c r="F51" s="411">
        <f t="shared" si="1"/>
        <v>0</v>
      </c>
      <c r="G51" s="285"/>
      <c r="H51" s="158"/>
      <c r="I51" s="298">
        <f t="shared" si="25"/>
        <v>0</v>
      </c>
      <c r="J51" s="317"/>
      <c r="K51" s="299"/>
      <c r="L51" s="158"/>
      <c r="M51" s="669"/>
      <c r="N51" s="669"/>
      <c r="O51" s="669"/>
      <c r="P51" s="669"/>
      <c r="Q51" s="669"/>
      <c r="R51" s="667">
        <f t="shared" si="16"/>
        <v>0</v>
      </c>
      <c r="S51" s="667">
        <f t="shared" si="17"/>
        <v>0</v>
      </c>
      <c r="T51" s="300"/>
      <c r="U51" s="286"/>
      <c r="V51" s="286"/>
      <c r="W51" s="368"/>
      <c r="X51" s="279">
        <f t="shared" ref="X51:X58" si="67">AB51+AE51+AF51+AI51+AL51+AA51</f>
        <v>381554740.56</v>
      </c>
      <c r="Y51" s="310">
        <f t="shared" ref="Y51:Y58" si="68">AA51+AC51+AE51+AG51+AJ51+AM51</f>
        <v>381554740.56</v>
      </c>
      <c r="Z51" s="375">
        <f>Y51-X51</f>
        <v>0</v>
      </c>
      <c r="AA51" s="528">
        <f>9191201.29+138235539.27</f>
        <v>147426740.56</v>
      </c>
      <c r="AB51" s="310">
        <v>234128000</v>
      </c>
      <c r="AC51" s="63">
        <f>240500300-6372300</f>
        <v>234128000</v>
      </c>
      <c r="AD51" s="357">
        <f t="shared" si="2"/>
        <v>0</v>
      </c>
      <c r="AE51" s="418"/>
      <c r="AF51" s="279"/>
      <c r="AG51" s="63"/>
      <c r="AH51" s="360"/>
      <c r="AI51" s="279"/>
      <c r="AJ51" s="63"/>
      <c r="AK51" s="360"/>
      <c r="AL51" s="279"/>
      <c r="AM51" s="63"/>
      <c r="AN51" s="360"/>
      <c r="AO51" s="425"/>
      <c r="AP51" s="397"/>
      <c r="AQ51" s="334">
        <v>0</v>
      </c>
      <c r="AR51" s="347">
        <f t="shared" si="5"/>
        <v>0</v>
      </c>
      <c r="AS51" s="335">
        <f t="shared" si="4"/>
        <v>0</v>
      </c>
      <c r="AT51" s="401">
        <v>0</v>
      </c>
      <c r="AU51" s="684"/>
      <c r="AV51" s="684"/>
      <c r="AW51" s="162">
        <v>0</v>
      </c>
      <c r="AX51" s="162"/>
      <c r="AY51" s="162"/>
      <c r="AZ51" s="162"/>
      <c r="BA51" s="162"/>
      <c r="BB51" s="162"/>
      <c r="BC51" s="161">
        <f t="shared" si="20"/>
        <v>0</v>
      </c>
      <c r="BD51" s="161">
        <f t="shared" si="21"/>
        <v>0</v>
      </c>
      <c r="BE51" s="349">
        <f t="shared" si="60"/>
        <v>0</v>
      </c>
      <c r="BF51" s="340"/>
      <c r="BG51" s="259"/>
      <c r="BH51" s="341"/>
      <c r="BI51" s="540"/>
      <c r="BK51" s="111">
        <f>AQ49-BK50</f>
        <v>-4926038.3800000027</v>
      </c>
      <c r="BR51" s="617"/>
      <c r="BS51" s="621">
        <f>AK51-BR51</f>
        <v>0</v>
      </c>
      <c r="BT51" s="617"/>
      <c r="BU51" s="621">
        <f t="shared" si="62"/>
        <v>0</v>
      </c>
      <c r="BX51" s="629">
        <f t="shared" si="26"/>
        <v>0</v>
      </c>
      <c r="BY51" s="629">
        <f t="shared" si="13"/>
        <v>0</v>
      </c>
      <c r="BZ51" s="533">
        <f t="shared" si="23"/>
        <v>0</v>
      </c>
      <c r="CA51" s="533"/>
      <c r="CB51" s="617"/>
      <c r="CC51" s="621">
        <f>AW51-CB51</f>
        <v>0</v>
      </c>
      <c r="CD51" s="617"/>
      <c r="CE51" s="621">
        <f t="shared" si="64"/>
        <v>0</v>
      </c>
    </row>
    <row r="52" spans="1:85" s="145" customFormat="1" ht="19.5" hidden="1" customHeight="1" x14ac:dyDescent="0.3">
      <c r="A52" s="1418"/>
      <c r="B52" s="143"/>
      <c r="C52" s="1415"/>
      <c r="D52" s="432">
        <f t="shared" si="65"/>
        <v>0</v>
      </c>
      <c r="E52" s="64">
        <f t="shared" si="66"/>
        <v>0</v>
      </c>
      <c r="F52" s="411">
        <f t="shared" si="1"/>
        <v>0</v>
      </c>
      <c r="G52" s="285"/>
      <c r="H52" s="158"/>
      <c r="I52" s="298">
        <f t="shared" si="25"/>
        <v>0</v>
      </c>
      <c r="J52" s="318"/>
      <c r="K52" s="301"/>
      <c r="L52" s="158"/>
      <c r="M52" s="669"/>
      <c r="N52" s="669"/>
      <c r="O52" s="669"/>
      <c r="P52" s="669"/>
      <c r="Q52" s="669"/>
      <c r="R52" s="667">
        <f t="shared" si="16"/>
        <v>0</v>
      </c>
      <c r="S52" s="667">
        <f t="shared" si="17"/>
        <v>0</v>
      </c>
      <c r="T52" s="302"/>
      <c r="U52" s="287"/>
      <c r="V52" s="287"/>
      <c r="W52" s="369"/>
      <c r="X52" s="279">
        <f t="shared" si="67"/>
        <v>0</v>
      </c>
      <c r="Y52" s="310">
        <f t="shared" si="68"/>
        <v>0</v>
      </c>
      <c r="Z52" s="375">
        <f t="shared" ref="Z52:Z58" si="69">Y52-X52</f>
        <v>0</v>
      </c>
      <c r="AA52" s="529"/>
      <c r="AB52" s="523"/>
      <c r="AC52" s="163"/>
      <c r="AD52" s="357">
        <f t="shared" si="2"/>
        <v>0</v>
      </c>
      <c r="AE52" s="419"/>
      <c r="AF52" s="280"/>
      <c r="AG52" s="163"/>
      <c r="AH52" s="361"/>
      <c r="AI52" s="280"/>
      <c r="AJ52" s="163"/>
      <c r="AK52" s="361"/>
      <c r="AL52" s="280"/>
      <c r="AM52" s="163"/>
      <c r="AN52" s="361"/>
      <c r="AO52" s="427"/>
      <c r="AP52" s="398"/>
      <c r="AQ52" s="334">
        <v>0</v>
      </c>
      <c r="AR52" s="347">
        <f t="shared" si="5"/>
        <v>0</v>
      </c>
      <c r="AS52" s="335">
        <f t="shared" si="4"/>
        <v>0</v>
      </c>
      <c r="AT52" s="402">
        <v>0</v>
      </c>
      <c r="AU52" s="685"/>
      <c r="AV52" s="685"/>
      <c r="AW52" s="162">
        <v>0</v>
      </c>
      <c r="AX52" s="162"/>
      <c r="AY52" s="162"/>
      <c r="AZ52" s="162"/>
      <c r="BA52" s="162"/>
      <c r="BB52" s="162"/>
      <c r="BC52" s="161">
        <f t="shared" si="20"/>
        <v>0</v>
      </c>
      <c r="BD52" s="161">
        <f t="shared" si="21"/>
        <v>0</v>
      </c>
      <c r="BE52" s="349">
        <f t="shared" si="60"/>
        <v>0</v>
      </c>
      <c r="BF52" s="342"/>
      <c r="BG52" s="262"/>
      <c r="BH52" s="343"/>
      <c r="BI52" s="544"/>
      <c r="BR52" s="617"/>
      <c r="BS52" s="621">
        <f>AK52-BR52</f>
        <v>0</v>
      </c>
      <c r="BT52" s="617"/>
      <c r="BU52" s="621">
        <f t="shared" si="62"/>
        <v>0</v>
      </c>
      <c r="BX52" s="629">
        <f t="shared" si="26"/>
        <v>0</v>
      </c>
      <c r="BY52" s="629">
        <f t="shared" si="13"/>
        <v>0</v>
      </c>
      <c r="BZ52" s="533">
        <f t="shared" si="23"/>
        <v>0</v>
      </c>
      <c r="CA52" s="533"/>
      <c r="CB52" s="617"/>
      <c r="CC52" s="621">
        <f>AW52-CB52</f>
        <v>0</v>
      </c>
      <c r="CD52" s="617"/>
      <c r="CE52" s="621">
        <f t="shared" si="64"/>
        <v>0</v>
      </c>
    </row>
    <row r="53" spans="1:85" s="145" customFormat="1" ht="19.5" hidden="1" customHeight="1" x14ac:dyDescent="0.3">
      <c r="A53" s="1418"/>
      <c r="B53" s="143"/>
      <c r="C53" s="1416"/>
      <c r="D53" s="432">
        <f t="shared" si="65"/>
        <v>0</v>
      </c>
      <c r="E53" s="64">
        <f t="shared" si="66"/>
        <v>0</v>
      </c>
      <c r="F53" s="411">
        <f t="shared" si="1"/>
        <v>0</v>
      </c>
      <c r="G53" s="285"/>
      <c r="H53" s="158"/>
      <c r="I53" s="298">
        <f t="shared" si="25"/>
        <v>0</v>
      </c>
      <c r="J53" s="318"/>
      <c r="K53" s="301"/>
      <c r="L53" s="158"/>
      <c r="M53" s="669"/>
      <c r="N53" s="669"/>
      <c r="O53" s="669"/>
      <c r="P53" s="669"/>
      <c r="Q53" s="669"/>
      <c r="R53" s="667">
        <f t="shared" si="16"/>
        <v>0</v>
      </c>
      <c r="S53" s="667">
        <f t="shared" si="17"/>
        <v>0</v>
      </c>
      <c r="T53" s="302"/>
      <c r="U53" s="287"/>
      <c r="V53" s="287"/>
      <c r="W53" s="369"/>
      <c r="X53" s="279">
        <f t="shared" si="67"/>
        <v>0</v>
      </c>
      <c r="Y53" s="310">
        <f t="shared" si="68"/>
        <v>0</v>
      </c>
      <c r="Z53" s="375">
        <f t="shared" si="69"/>
        <v>0</v>
      </c>
      <c r="AA53" s="529"/>
      <c r="AB53" s="523"/>
      <c r="AC53" s="163"/>
      <c r="AD53" s="357">
        <f t="shared" si="2"/>
        <v>0</v>
      </c>
      <c r="AE53" s="419"/>
      <c r="AF53" s="280"/>
      <c r="AG53" s="163"/>
      <c r="AH53" s="361"/>
      <c r="AI53" s="280"/>
      <c r="AJ53" s="163"/>
      <c r="AK53" s="361"/>
      <c r="AL53" s="280"/>
      <c r="AM53" s="163"/>
      <c r="AN53" s="361"/>
      <c r="AO53" s="427"/>
      <c r="AP53" s="398"/>
      <c r="AQ53" s="334">
        <v>0</v>
      </c>
      <c r="AR53" s="347">
        <f t="shared" si="5"/>
        <v>0</v>
      </c>
      <c r="AS53" s="335">
        <f t="shared" si="4"/>
        <v>0</v>
      </c>
      <c r="AT53" s="402">
        <v>0</v>
      </c>
      <c r="AU53" s="685"/>
      <c r="AV53" s="685"/>
      <c r="AW53" s="162">
        <v>0</v>
      </c>
      <c r="AX53" s="162"/>
      <c r="AY53" s="162"/>
      <c r="AZ53" s="162"/>
      <c r="BA53" s="162"/>
      <c r="BB53" s="162"/>
      <c r="BC53" s="161">
        <f t="shared" si="20"/>
        <v>0</v>
      </c>
      <c r="BD53" s="161">
        <f t="shared" si="21"/>
        <v>0</v>
      </c>
      <c r="BE53" s="349">
        <f t="shared" si="60"/>
        <v>0</v>
      </c>
      <c r="BF53" s="342"/>
      <c r="BG53" s="262"/>
      <c r="BH53" s="343"/>
      <c r="BI53" s="544"/>
      <c r="BK53" s="111"/>
      <c r="BL53" s="146"/>
      <c r="BM53" s="117" t="s">
        <v>239</v>
      </c>
      <c r="BN53" s="117"/>
      <c r="BO53" s="117"/>
      <c r="BP53" s="117"/>
      <c r="BQ53" s="117"/>
      <c r="BR53" s="617"/>
      <c r="BS53" s="621">
        <f>AK53-BR53</f>
        <v>0</v>
      </c>
      <c r="BT53" s="617"/>
      <c r="BU53" s="621">
        <f t="shared" si="62"/>
        <v>0</v>
      </c>
      <c r="BV53" s="117"/>
      <c r="BW53" s="117"/>
      <c r="BX53" s="629">
        <f t="shared" si="26"/>
        <v>0</v>
      </c>
      <c r="BY53" s="629">
        <f t="shared" si="13"/>
        <v>0</v>
      </c>
      <c r="BZ53" s="533">
        <f t="shared" si="23"/>
        <v>0</v>
      </c>
      <c r="CA53" s="533"/>
      <c r="CB53" s="617"/>
      <c r="CC53" s="621">
        <f>AW53-CB53</f>
        <v>0</v>
      </c>
      <c r="CD53" s="617"/>
      <c r="CE53" s="621">
        <f t="shared" si="64"/>
        <v>0</v>
      </c>
    </row>
    <row r="54" spans="1:85" ht="19.5" customHeight="1" x14ac:dyDescent="0.3">
      <c r="A54" s="1419"/>
      <c r="B54" s="147"/>
      <c r="C54" s="444">
        <v>244</v>
      </c>
      <c r="D54" s="431">
        <f t="shared" si="65"/>
        <v>306866244.90999997</v>
      </c>
      <c r="E54" s="64">
        <f t="shared" si="66"/>
        <v>306257881.21000004</v>
      </c>
      <c r="F54" s="411">
        <f t="shared" si="1"/>
        <v>-608363.69999992847</v>
      </c>
      <c r="G54" s="285">
        <v>8129946.3700000001</v>
      </c>
      <c r="H54" s="158">
        <f>J54+L54+V54</f>
        <v>6988412.9299999997</v>
      </c>
      <c r="I54" s="298">
        <f t="shared" si="25"/>
        <v>-1141533.4400000004</v>
      </c>
      <c r="J54" s="316"/>
      <c r="K54" s="297">
        <v>6092876.3700000001</v>
      </c>
      <c r="L54" s="158">
        <v>4991499.58</v>
      </c>
      <c r="M54" s="669">
        <v>4639570.5599999996</v>
      </c>
      <c r="N54" s="669"/>
      <c r="O54" s="669"/>
      <c r="P54" s="669">
        <f>143347+199355.5</f>
        <v>342702.5</v>
      </c>
      <c r="Q54" s="671"/>
      <c r="R54" s="667">
        <f t="shared" si="16"/>
        <v>4982273.0599999996</v>
      </c>
      <c r="S54" s="667">
        <f t="shared" si="17"/>
        <v>9226.5200000004843</v>
      </c>
      <c r="T54" s="298">
        <f>L54-K54</f>
        <v>-1101376.79</v>
      </c>
      <c r="U54" s="285">
        <v>2037070</v>
      </c>
      <c r="V54" s="285">
        <v>1996913.35</v>
      </c>
      <c r="W54" s="367">
        <f>V54-U54</f>
        <v>-40156.649999999907</v>
      </c>
      <c r="X54" s="279">
        <f t="shared" si="67"/>
        <v>290234643.64999998</v>
      </c>
      <c r="Y54" s="310">
        <f t="shared" si="68"/>
        <v>290234643.65000004</v>
      </c>
      <c r="Z54" s="375">
        <f t="shared" si="69"/>
        <v>0</v>
      </c>
      <c r="AA54" s="528">
        <f>274653215.52+143964.1</f>
        <v>274797179.62</v>
      </c>
      <c r="AB54" s="310">
        <v>13093103</v>
      </c>
      <c r="AC54" s="63">
        <f>13093102.18+0.82</f>
        <v>13093103</v>
      </c>
      <c r="AD54" s="357">
        <f t="shared" si="2"/>
        <v>0</v>
      </c>
      <c r="AE54" s="418">
        <v>1004958.24</v>
      </c>
      <c r="AF54" s="279">
        <v>1339402.79</v>
      </c>
      <c r="AG54" s="63">
        <f>1510724.17-171321.38</f>
        <v>1339402.79</v>
      </c>
      <c r="AH54" s="360">
        <f>AG54-AF54</f>
        <v>0</v>
      </c>
      <c r="AI54" s="279"/>
      <c r="AJ54" s="63"/>
      <c r="AK54" s="360"/>
      <c r="AL54" s="279"/>
      <c r="AM54" s="63"/>
      <c r="AN54" s="360"/>
      <c r="AO54" s="425"/>
      <c r="AP54" s="395"/>
      <c r="AQ54" s="334">
        <v>8501654.8900000006</v>
      </c>
      <c r="AR54" s="347">
        <f t="shared" si="5"/>
        <v>9034824.629999999</v>
      </c>
      <c r="AS54" s="335">
        <f t="shared" si="4"/>
        <v>533169.73999999836</v>
      </c>
      <c r="AT54" s="324">
        <v>7385296.54</v>
      </c>
      <c r="AU54" s="682"/>
      <c r="AV54" s="682">
        <f>S54</f>
        <v>9226.5200000004843</v>
      </c>
      <c r="AW54" s="162">
        <f>CB54+224823.31</f>
        <v>7731857.2299999995</v>
      </c>
      <c r="AX54" s="162">
        <v>7556599.46</v>
      </c>
      <c r="AY54" s="162">
        <v>19000</v>
      </c>
      <c r="AZ54" s="162">
        <v>56569.99</v>
      </c>
      <c r="BA54" s="162"/>
      <c r="BB54" s="162">
        <f>8500+180</f>
        <v>8680</v>
      </c>
      <c r="BC54" s="161">
        <f t="shared" si="20"/>
        <v>7640849.4500000002</v>
      </c>
      <c r="BD54" s="161">
        <f t="shared" si="21"/>
        <v>91007.779999999562</v>
      </c>
      <c r="BE54" s="349">
        <f t="shared" si="60"/>
        <v>346560.68999999948</v>
      </c>
      <c r="BF54" s="338">
        <v>1116358.3500000001</v>
      </c>
      <c r="BG54" s="162">
        <f>CD54</f>
        <v>1302967.3999999999</v>
      </c>
      <c r="BH54" s="339">
        <f>BG54-BF54</f>
        <v>186609.04999999981</v>
      </c>
      <c r="BI54" s="540"/>
      <c r="BK54" s="111">
        <v>11260837.890000001</v>
      </c>
      <c r="BL54" s="111">
        <v>2931349.03</v>
      </c>
      <c r="BM54" s="117" t="s">
        <v>238</v>
      </c>
      <c r="BR54" s="617"/>
      <c r="BS54" s="621">
        <f>AJ54-BR54</f>
        <v>0</v>
      </c>
      <c r="BT54" s="617">
        <v>1302967.3999999999</v>
      </c>
      <c r="BU54" s="621">
        <f t="shared" si="62"/>
        <v>-1302967.3999999999</v>
      </c>
      <c r="BX54" s="629">
        <f t="shared" si="26"/>
        <v>8501654.8900000006</v>
      </c>
      <c r="BY54" s="629">
        <f t="shared" si="13"/>
        <v>8810001.3200000003</v>
      </c>
      <c r="BZ54" s="533">
        <f t="shared" si="23"/>
        <v>-308346.4299999997</v>
      </c>
      <c r="CA54" s="631">
        <f>BY54</f>
        <v>8810001.3200000003</v>
      </c>
      <c r="CB54" s="617">
        <f>7007033.92+500000</f>
        <v>7507033.9199999999</v>
      </c>
      <c r="CC54" s="621">
        <f>AT54-CB54</f>
        <v>-121737.37999999989</v>
      </c>
      <c r="CD54" s="617">
        <v>1302967.3999999999</v>
      </c>
      <c r="CE54" s="621">
        <f t="shared" si="64"/>
        <v>-186609.04999999981</v>
      </c>
    </row>
    <row r="55" spans="1:85" ht="19.5" customHeight="1" x14ac:dyDescent="0.3">
      <c r="A55" s="1417" t="s">
        <v>183</v>
      </c>
      <c r="B55" s="148"/>
      <c r="C55" s="1414">
        <v>243</v>
      </c>
      <c r="D55" s="431">
        <f t="shared" si="65"/>
        <v>34259500.909999996</v>
      </c>
      <c r="E55" s="64">
        <f t="shared" si="66"/>
        <v>34259500.909999996</v>
      </c>
      <c r="F55" s="411">
        <f t="shared" si="1"/>
        <v>0</v>
      </c>
      <c r="G55" s="285"/>
      <c r="H55" s="158"/>
      <c r="I55" s="298">
        <f t="shared" si="25"/>
        <v>0</v>
      </c>
      <c r="J55" s="317"/>
      <c r="K55" s="299"/>
      <c r="L55" s="158"/>
      <c r="M55" s="669"/>
      <c r="N55" s="669"/>
      <c r="O55" s="669"/>
      <c r="P55" s="669"/>
      <c r="Q55" s="669"/>
      <c r="R55" s="667">
        <f t="shared" si="16"/>
        <v>0</v>
      </c>
      <c r="S55" s="667">
        <f t="shared" si="17"/>
        <v>0</v>
      </c>
      <c r="T55" s="300"/>
      <c r="U55" s="286"/>
      <c r="V55" s="286"/>
      <c r="W55" s="368"/>
      <c r="X55" s="279">
        <f t="shared" si="67"/>
        <v>34259500.909999996</v>
      </c>
      <c r="Y55" s="310">
        <f t="shared" si="68"/>
        <v>34259500.909999996</v>
      </c>
      <c r="Z55" s="375">
        <f t="shared" si="69"/>
        <v>0</v>
      </c>
      <c r="AA55" s="528">
        <f>296579.68+138221.23</f>
        <v>434800.91000000003</v>
      </c>
      <c r="AB55" s="310">
        <v>33824700</v>
      </c>
      <c r="AC55" s="63">
        <v>33824700</v>
      </c>
      <c r="AD55" s="357">
        <f t="shared" si="2"/>
        <v>0</v>
      </c>
      <c r="AE55" s="418"/>
      <c r="AF55" s="279"/>
      <c r="AG55" s="63"/>
      <c r="AH55" s="360"/>
      <c r="AI55" s="279"/>
      <c r="AJ55" s="63"/>
      <c r="AK55" s="360"/>
      <c r="AL55" s="279"/>
      <c r="AM55" s="63"/>
      <c r="AN55" s="360"/>
      <c r="AO55" s="425"/>
      <c r="AP55" s="397"/>
      <c r="AQ55" s="334">
        <v>0</v>
      </c>
      <c r="AR55" s="347">
        <f t="shared" si="5"/>
        <v>0</v>
      </c>
      <c r="AS55" s="335">
        <f t="shared" si="4"/>
        <v>0</v>
      </c>
      <c r="AT55" s="401">
        <v>0</v>
      </c>
      <c r="AU55" s="684"/>
      <c r="AV55" s="684"/>
      <c r="AW55" s="162">
        <v>0</v>
      </c>
      <c r="AX55" s="162"/>
      <c r="AY55" s="162"/>
      <c r="AZ55" s="162"/>
      <c r="BA55" s="162"/>
      <c r="BB55" s="162"/>
      <c r="BC55" s="161">
        <f t="shared" si="20"/>
        <v>0</v>
      </c>
      <c r="BD55" s="161">
        <f t="shared" si="21"/>
        <v>0</v>
      </c>
      <c r="BE55" s="349">
        <f t="shared" si="60"/>
        <v>0</v>
      </c>
      <c r="BF55" s="340"/>
      <c r="BG55" s="259"/>
      <c r="BH55" s="341"/>
      <c r="BI55" s="540"/>
      <c r="BR55" s="617"/>
      <c r="BS55" s="621">
        <f>AK55-BR55</f>
        <v>0</v>
      </c>
      <c r="BT55" s="617"/>
      <c r="BU55" s="621">
        <f t="shared" si="62"/>
        <v>0</v>
      </c>
      <c r="BX55" s="629">
        <f t="shared" si="26"/>
        <v>0</v>
      </c>
      <c r="BY55" s="629">
        <f t="shared" si="13"/>
        <v>0</v>
      </c>
      <c r="BZ55" s="533">
        <f t="shared" si="23"/>
        <v>0</v>
      </c>
      <c r="CA55" s="533"/>
      <c r="CB55" s="617"/>
      <c r="CC55" s="621">
        <f>AW55-CB55</f>
        <v>0</v>
      </c>
      <c r="CD55" s="617"/>
      <c r="CE55" s="621">
        <f t="shared" si="64"/>
        <v>0</v>
      </c>
    </row>
    <row r="56" spans="1:85" s="145" customFormat="1" ht="18.75" hidden="1" customHeight="1" x14ac:dyDescent="0.3">
      <c r="A56" s="1418"/>
      <c r="B56" s="149"/>
      <c r="C56" s="1415"/>
      <c r="D56" s="432">
        <f t="shared" si="65"/>
        <v>0</v>
      </c>
      <c r="E56" s="64">
        <f t="shared" si="66"/>
        <v>0</v>
      </c>
      <c r="F56" s="411">
        <f t="shared" si="1"/>
        <v>0</v>
      </c>
      <c r="G56" s="285"/>
      <c r="H56" s="158"/>
      <c r="I56" s="298">
        <f t="shared" si="25"/>
        <v>0</v>
      </c>
      <c r="J56" s="318"/>
      <c r="K56" s="301"/>
      <c r="L56" s="158"/>
      <c r="M56" s="669"/>
      <c r="N56" s="669"/>
      <c r="O56" s="669"/>
      <c r="P56" s="669"/>
      <c r="Q56" s="669"/>
      <c r="R56" s="667">
        <f t="shared" si="16"/>
        <v>0</v>
      </c>
      <c r="S56" s="667">
        <f t="shared" si="17"/>
        <v>0</v>
      </c>
      <c r="T56" s="302"/>
      <c r="U56" s="287"/>
      <c r="V56" s="287"/>
      <c r="W56" s="369"/>
      <c r="X56" s="279">
        <f t="shared" si="67"/>
        <v>0</v>
      </c>
      <c r="Y56" s="310">
        <f t="shared" si="68"/>
        <v>0</v>
      </c>
      <c r="Z56" s="375">
        <f t="shared" si="69"/>
        <v>0</v>
      </c>
      <c r="AA56" s="529"/>
      <c r="AB56" s="523"/>
      <c r="AC56" s="163"/>
      <c r="AD56" s="357">
        <f t="shared" si="2"/>
        <v>0</v>
      </c>
      <c r="AE56" s="419"/>
      <c r="AF56" s="280"/>
      <c r="AG56" s="163"/>
      <c r="AH56" s="361"/>
      <c r="AI56" s="280"/>
      <c r="AJ56" s="163"/>
      <c r="AK56" s="361"/>
      <c r="AL56" s="280"/>
      <c r="AM56" s="163"/>
      <c r="AN56" s="361"/>
      <c r="AO56" s="427"/>
      <c r="AP56" s="398"/>
      <c r="AQ56" s="334">
        <v>0</v>
      </c>
      <c r="AR56" s="347">
        <f t="shared" si="5"/>
        <v>0</v>
      </c>
      <c r="AS56" s="335">
        <f t="shared" si="4"/>
        <v>0</v>
      </c>
      <c r="AT56" s="402">
        <v>0</v>
      </c>
      <c r="AU56" s="685"/>
      <c r="AV56" s="685"/>
      <c r="AW56" s="162">
        <v>0</v>
      </c>
      <c r="AX56" s="162"/>
      <c r="AY56" s="162"/>
      <c r="AZ56" s="162"/>
      <c r="BA56" s="162"/>
      <c r="BB56" s="162"/>
      <c r="BC56" s="161">
        <f t="shared" si="20"/>
        <v>0</v>
      </c>
      <c r="BD56" s="161">
        <f t="shared" si="21"/>
        <v>0</v>
      </c>
      <c r="BE56" s="349">
        <f t="shared" si="60"/>
        <v>0</v>
      </c>
      <c r="BF56" s="342"/>
      <c r="BG56" s="262"/>
      <c r="BH56" s="343"/>
      <c r="BI56" s="544"/>
      <c r="BR56" s="617"/>
      <c r="BS56" s="621">
        <f>AK56-BR56</f>
        <v>0</v>
      </c>
      <c r="BT56" s="617"/>
      <c r="BU56" s="621">
        <f t="shared" si="62"/>
        <v>0</v>
      </c>
      <c r="BX56" s="629">
        <f t="shared" si="26"/>
        <v>0</v>
      </c>
      <c r="BY56" s="629">
        <f t="shared" si="13"/>
        <v>0</v>
      </c>
      <c r="BZ56" s="533">
        <f t="shared" si="23"/>
        <v>0</v>
      </c>
      <c r="CA56" s="533"/>
      <c r="CB56" s="617"/>
      <c r="CC56" s="621">
        <f>AW56-CB56</f>
        <v>0</v>
      </c>
      <c r="CD56" s="617"/>
      <c r="CE56" s="621">
        <f t="shared" si="64"/>
        <v>0</v>
      </c>
    </row>
    <row r="57" spans="1:85" s="145" customFormat="1" ht="33.75" hidden="1" customHeight="1" x14ac:dyDescent="0.3">
      <c r="A57" s="1418"/>
      <c r="B57" s="149"/>
      <c r="C57" s="1416"/>
      <c r="D57" s="432">
        <f t="shared" si="65"/>
        <v>0</v>
      </c>
      <c r="E57" s="64">
        <f t="shared" si="66"/>
        <v>0</v>
      </c>
      <c r="F57" s="411">
        <f t="shared" si="1"/>
        <v>0</v>
      </c>
      <c r="G57" s="285"/>
      <c r="H57" s="158"/>
      <c r="I57" s="298">
        <f t="shared" si="25"/>
        <v>0</v>
      </c>
      <c r="J57" s="318"/>
      <c r="K57" s="301"/>
      <c r="L57" s="158"/>
      <c r="M57" s="669"/>
      <c r="N57" s="669"/>
      <c r="O57" s="669"/>
      <c r="P57" s="669"/>
      <c r="Q57" s="669"/>
      <c r="R57" s="667">
        <f t="shared" si="16"/>
        <v>0</v>
      </c>
      <c r="S57" s="667">
        <f t="shared" si="17"/>
        <v>0</v>
      </c>
      <c r="T57" s="302"/>
      <c r="U57" s="287"/>
      <c r="V57" s="287"/>
      <c r="W57" s="369"/>
      <c r="X57" s="279">
        <f t="shared" si="67"/>
        <v>0</v>
      </c>
      <c r="Y57" s="310">
        <f t="shared" si="68"/>
        <v>0</v>
      </c>
      <c r="Z57" s="375">
        <f t="shared" si="69"/>
        <v>0</v>
      </c>
      <c r="AA57" s="529"/>
      <c r="AB57" s="523"/>
      <c r="AC57" s="163"/>
      <c r="AD57" s="357">
        <f t="shared" si="2"/>
        <v>0</v>
      </c>
      <c r="AE57" s="419"/>
      <c r="AF57" s="280"/>
      <c r="AG57" s="163"/>
      <c r="AH57" s="361"/>
      <c r="AI57" s="280"/>
      <c r="AJ57" s="163"/>
      <c r="AK57" s="361"/>
      <c r="AL57" s="280"/>
      <c r="AM57" s="163"/>
      <c r="AN57" s="361"/>
      <c r="AO57" s="427"/>
      <c r="AP57" s="398"/>
      <c r="AQ57" s="334">
        <v>0</v>
      </c>
      <c r="AR57" s="347">
        <f t="shared" si="5"/>
        <v>0</v>
      </c>
      <c r="AS57" s="335">
        <f t="shared" si="4"/>
        <v>0</v>
      </c>
      <c r="AT57" s="402">
        <v>0</v>
      </c>
      <c r="AU57" s="685"/>
      <c r="AV57" s="685"/>
      <c r="AW57" s="162">
        <v>0</v>
      </c>
      <c r="AX57" s="162"/>
      <c r="AY57" s="162"/>
      <c r="AZ57" s="162"/>
      <c r="BA57" s="162"/>
      <c r="BB57" s="162"/>
      <c r="BC57" s="161">
        <f t="shared" si="20"/>
        <v>0</v>
      </c>
      <c r="BD57" s="161">
        <f t="shared" si="21"/>
        <v>0</v>
      </c>
      <c r="BE57" s="349">
        <f t="shared" si="60"/>
        <v>0</v>
      </c>
      <c r="BF57" s="342"/>
      <c r="BG57" s="262"/>
      <c r="BH57" s="343"/>
      <c r="BI57" s="544"/>
      <c r="BR57" s="617"/>
      <c r="BS57" s="621">
        <f>AK57-BR57</f>
        <v>0</v>
      </c>
      <c r="BT57" s="617"/>
      <c r="BU57" s="621">
        <f t="shared" si="62"/>
        <v>0</v>
      </c>
      <c r="BX57" s="629">
        <f t="shared" si="26"/>
        <v>0</v>
      </c>
      <c r="BY57" s="629">
        <f t="shared" si="13"/>
        <v>0</v>
      </c>
      <c r="BZ57" s="533">
        <f t="shared" si="23"/>
        <v>0</v>
      </c>
      <c r="CA57" s="533"/>
      <c r="CB57" s="617"/>
      <c r="CC57" s="621">
        <f>AW57-CB57</f>
        <v>0</v>
      </c>
      <c r="CD57" s="617"/>
      <c r="CE57" s="621">
        <f t="shared" si="64"/>
        <v>0</v>
      </c>
    </row>
    <row r="58" spans="1:85" ht="19.5" customHeight="1" x14ac:dyDescent="0.3">
      <c r="A58" s="1419"/>
      <c r="B58" s="140"/>
      <c r="C58" s="444">
        <v>244</v>
      </c>
      <c r="D58" s="431">
        <f t="shared" si="65"/>
        <v>207661418.88000003</v>
      </c>
      <c r="E58" s="64">
        <f t="shared" si="66"/>
        <v>210472746.36999997</v>
      </c>
      <c r="F58" s="411">
        <f t="shared" si="1"/>
        <v>2811327.4899999499</v>
      </c>
      <c r="G58" s="285">
        <v>4356051.1100000003</v>
      </c>
      <c r="H58" s="158">
        <f>J58+L58+V58</f>
        <v>3160006.98</v>
      </c>
      <c r="I58" s="298">
        <f t="shared" si="25"/>
        <v>-1196044.1300000004</v>
      </c>
      <c r="J58" s="316"/>
      <c r="K58" s="297">
        <v>3440483.3100000005</v>
      </c>
      <c r="L58" s="158">
        <v>2500000</v>
      </c>
      <c r="M58" s="669">
        <f>1882976.43+160241.67</f>
        <v>2043218.0999999999</v>
      </c>
      <c r="N58" s="669">
        <v>53580</v>
      </c>
      <c r="O58" s="669"/>
      <c r="P58" s="669">
        <v>54000</v>
      </c>
      <c r="Q58" s="669">
        <f>125727.93+9602.25</f>
        <v>135330.18</v>
      </c>
      <c r="R58" s="667">
        <f t="shared" si="16"/>
        <v>2286128.2799999998</v>
      </c>
      <c r="S58" s="667">
        <f t="shared" si="17"/>
        <v>213871.7200000002</v>
      </c>
      <c r="T58" s="298">
        <f>L58-K58</f>
        <v>-940483.31000000052</v>
      </c>
      <c r="U58" s="285">
        <v>915567.8</v>
      </c>
      <c r="V58" s="285">
        <v>660006.98</v>
      </c>
      <c r="W58" s="367">
        <f>V58-U58</f>
        <v>-255560.82000000007</v>
      </c>
      <c r="X58" s="279">
        <f t="shared" si="67"/>
        <v>191941321.47</v>
      </c>
      <c r="Y58" s="310">
        <f t="shared" si="68"/>
        <v>191941321.47</v>
      </c>
      <c r="Z58" s="375">
        <f t="shared" si="69"/>
        <v>0</v>
      </c>
      <c r="AA58" s="528">
        <f>44811624.57+174521</f>
        <v>44986145.57</v>
      </c>
      <c r="AB58" s="310">
        <v>145552800</v>
      </c>
      <c r="AC58" s="63">
        <v>145552800</v>
      </c>
      <c r="AD58" s="357">
        <f t="shared" si="2"/>
        <v>0</v>
      </c>
      <c r="AE58" s="418">
        <v>753152.4</v>
      </c>
      <c r="AF58" s="279">
        <v>649223.5</v>
      </c>
      <c r="AG58" s="63">
        <f>1049223.5-400000</f>
        <v>649223.5</v>
      </c>
      <c r="AH58" s="360">
        <f>AG58-AF58</f>
        <v>0</v>
      </c>
      <c r="AI58" s="279"/>
      <c r="AJ58" s="63"/>
      <c r="AK58" s="360"/>
      <c r="AL58" s="279"/>
      <c r="AM58" s="63"/>
      <c r="AN58" s="360"/>
      <c r="AO58" s="425"/>
      <c r="AP58" s="395">
        <v>70000</v>
      </c>
      <c r="AQ58" s="334">
        <v>11294046.300000001</v>
      </c>
      <c r="AR58" s="347">
        <f t="shared" si="5"/>
        <v>15301417.92</v>
      </c>
      <c r="AS58" s="335">
        <f t="shared" si="4"/>
        <v>4007371.6199999992</v>
      </c>
      <c r="AT58" s="324">
        <v>8037598.5599999996</v>
      </c>
      <c r="AU58" s="682"/>
      <c r="AV58" s="682">
        <f>S58</f>
        <v>213871.7200000002</v>
      </c>
      <c r="AW58" s="162">
        <f>CB58</f>
        <v>9060703.25</v>
      </c>
      <c r="AX58" s="162">
        <f>11369559.83-2332057.34-160241.67</f>
        <v>8877260.8200000003</v>
      </c>
      <c r="AY58" s="162">
        <v>14900</v>
      </c>
      <c r="AZ58" s="162">
        <v>165500</v>
      </c>
      <c r="BA58" s="162"/>
      <c r="BB58" s="162"/>
      <c r="BC58" s="161">
        <f t="shared" si="20"/>
        <v>9057660.8200000003</v>
      </c>
      <c r="BD58" s="161">
        <f t="shared" si="21"/>
        <v>3042.429999999702</v>
      </c>
      <c r="BE58" s="349">
        <f t="shared" si="60"/>
        <v>1023104.6900000004</v>
      </c>
      <c r="BF58" s="338">
        <v>3256447.74</v>
      </c>
      <c r="BG58" s="162">
        <f>CD58</f>
        <v>6240714.6699999999</v>
      </c>
      <c r="BH58" s="339">
        <f>BG58-BF58</f>
        <v>2984266.9299999997</v>
      </c>
      <c r="BI58" s="540"/>
      <c r="BR58" s="622"/>
      <c r="BS58" s="621">
        <f>AJ58-BR58</f>
        <v>0</v>
      </c>
      <c r="BT58" s="617">
        <v>6240714.6699999999</v>
      </c>
      <c r="BU58" s="621">
        <f t="shared" si="62"/>
        <v>-6240714.6699999999</v>
      </c>
      <c r="BX58" s="629">
        <f t="shared" si="26"/>
        <v>11294046.300000001</v>
      </c>
      <c r="BY58" s="629">
        <f t="shared" si="13"/>
        <v>15301417.92</v>
      </c>
      <c r="BZ58" s="631">
        <f t="shared" si="23"/>
        <v>-4007371.6199999992</v>
      </c>
      <c r="CA58" s="631">
        <f>BY58</f>
        <v>15301417.92</v>
      </c>
      <c r="CB58" s="622">
        <f>10892760.59-2332057.34+500000</f>
        <v>9060703.25</v>
      </c>
      <c r="CC58" s="621">
        <f>AT58-CB58</f>
        <v>-1023104.6900000004</v>
      </c>
      <c r="CD58" s="617">
        <v>6240714.6699999999</v>
      </c>
      <c r="CE58" s="621">
        <f t="shared" si="64"/>
        <v>-2984266.9299999997</v>
      </c>
      <c r="CG58" s="117">
        <f>2595807.22+2416357.34</f>
        <v>5012164.5600000005</v>
      </c>
    </row>
    <row r="59" spans="1:85" ht="19.5" customHeight="1" x14ac:dyDescent="0.3">
      <c r="A59" s="1417" t="s">
        <v>184</v>
      </c>
      <c r="B59" s="547"/>
      <c r="C59" s="444">
        <v>243</v>
      </c>
      <c r="D59" s="431">
        <f t="shared" si="65"/>
        <v>0</v>
      </c>
      <c r="E59" s="64">
        <f>H59+Y59+AQ59+AP59</f>
        <v>0</v>
      </c>
      <c r="F59" s="411">
        <f t="shared" si="1"/>
        <v>0</v>
      </c>
      <c r="G59" s="285"/>
      <c r="H59" s="158"/>
      <c r="I59" s="298">
        <f t="shared" si="25"/>
        <v>0</v>
      </c>
      <c r="J59" s="316"/>
      <c r="K59" s="297"/>
      <c r="L59" s="158"/>
      <c r="M59" s="669"/>
      <c r="N59" s="669"/>
      <c r="O59" s="669"/>
      <c r="P59" s="669"/>
      <c r="Q59" s="669"/>
      <c r="R59" s="667">
        <f t="shared" si="16"/>
        <v>0</v>
      </c>
      <c r="S59" s="667">
        <f t="shared" si="17"/>
        <v>0</v>
      </c>
      <c r="T59" s="298"/>
      <c r="U59" s="297"/>
      <c r="V59" s="285"/>
      <c r="W59" s="367"/>
      <c r="X59" s="279"/>
      <c r="Y59" s="310"/>
      <c r="Z59" s="375"/>
      <c r="AA59" s="528"/>
      <c r="AB59" s="310">
        <v>0</v>
      </c>
      <c r="AC59" s="63">
        <v>0</v>
      </c>
      <c r="AD59" s="360">
        <f t="shared" si="2"/>
        <v>0</v>
      </c>
      <c r="AE59" s="418">
        <v>0</v>
      </c>
      <c r="AF59" s="279"/>
      <c r="AG59" s="63"/>
      <c r="AH59" s="360"/>
      <c r="AI59" s="279"/>
      <c r="AJ59" s="63"/>
      <c r="AK59" s="360"/>
      <c r="AL59" s="279"/>
      <c r="AM59" s="63"/>
      <c r="AN59" s="360"/>
      <c r="AO59" s="425">
        <v>0</v>
      </c>
      <c r="AP59" s="395">
        <v>0</v>
      </c>
      <c r="AQ59" s="338">
        <v>0</v>
      </c>
      <c r="AR59" s="349">
        <f t="shared" si="5"/>
        <v>0</v>
      </c>
      <c r="AS59" s="339">
        <f t="shared" si="4"/>
        <v>0</v>
      </c>
      <c r="AT59" s="324"/>
      <c r="AU59" s="682"/>
      <c r="AV59" s="682"/>
      <c r="AW59" s="162"/>
      <c r="AX59" s="162"/>
      <c r="AY59" s="162"/>
      <c r="AZ59" s="162"/>
      <c r="BA59" s="162"/>
      <c r="BB59" s="162"/>
      <c r="BC59" s="161">
        <f t="shared" si="20"/>
        <v>0</v>
      </c>
      <c r="BD59" s="161">
        <f t="shared" si="21"/>
        <v>0</v>
      </c>
      <c r="BE59" s="349">
        <f t="shared" si="60"/>
        <v>0</v>
      </c>
      <c r="BF59" s="338"/>
      <c r="BG59" s="162"/>
      <c r="BH59" s="339"/>
      <c r="BI59" s="540">
        <v>0</v>
      </c>
      <c r="BR59" s="617"/>
      <c r="BS59" s="621">
        <f>AK59-BR59</f>
        <v>0</v>
      </c>
      <c r="BT59" s="617"/>
      <c r="BU59" s="621">
        <f t="shared" si="62"/>
        <v>0</v>
      </c>
      <c r="BX59" s="629">
        <f t="shared" si="26"/>
        <v>0</v>
      </c>
      <c r="BY59" s="629">
        <f t="shared" si="13"/>
        <v>0</v>
      </c>
      <c r="BZ59" s="533">
        <f t="shared" si="23"/>
        <v>0</v>
      </c>
      <c r="CA59" s="533"/>
      <c r="CB59" s="617"/>
      <c r="CC59" s="621">
        <f>AW59-CB59</f>
        <v>0</v>
      </c>
      <c r="CD59" s="617"/>
      <c r="CE59" s="621">
        <f t="shared" si="64"/>
        <v>0</v>
      </c>
    </row>
    <row r="60" spans="1:85" ht="16.5" customHeight="1" x14ac:dyDescent="0.3">
      <c r="A60" s="1419"/>
      <c r="B60" s="548"/>
      <c r="C60" s="444">
        <v>244</v>
      </c>
      <c r="D60" s="431">
        <f t="shared" si="65"/>
        <v>7336</v>
      </c>
      <c r="E60" s="64">
        <f>H60+Y60+AR60+AP60</f>
        <v>36087.660000000003</v>
      </c>
      <c r="F60" s="411">
        <f t="shared" si="1"/>
        <v>28751.660000000003</v>
      </c>
      <c r="G60" s="285">
        <v>7336</v>
      </c>
      <c r="H60" s="158">
        <f>J60+L60+V60</f>
        <v>10500</v>
      </c>
      <c r="I60" s="298">
        <f t="shared" si="25"/>
        <v>3164</v>
      </c>
      <c r="J60" s="316">
        <f>SUM(J61:J65)</f>
        <v>0</v>
      </c>
      <c r="K60" s="285">
        <v>7336</v>
      </c>
      <c r="L60" s="158">
        <v>10500</v>
      </c>
      <c r="M60" s="669">
        <v>9466</v>
      </c>
      <c r="N60" s="669"/>
      <c r="O60" s="669"/>
      <c r="P60" s="669"/>
      <c r="Q60" s="669"/>
      <c r="R60" s="667">
        <f t="shared" si="16"/>
        <v>9466</v>
      </c>
      <c r="S60" s="667">
        <f t="shared" si="17"/>
        <v>1034</v>
      </c>
      <c r="T60" s="298">
        <f>L60-K60</f>
        <v>3164</v>
      </c>
      <c r="U60" s="297"/>
      <c r="V60" s="285"/>
      <c r="W60" s="367">
        <f>V60-U60</f>
        <v>0</v>
      </c>
      <c r="X60" s="279"/>
      <c r="Y60" s="310"/>
      <c r="Z60" s="375">
        <f>Y60-X60</f>
        <v>0</v>
      </c>
      <c r="AA60" s="528"/>
      <c r="AB60" s="310"/>
      <c r="AC60" s="63"/>
      <c r="AD60" s="360">
        <f t="shared" si="2"/>
        <v>0</v>
      </c>
      <c r="AE60" s="418"/>
      <c r="AF60" s="279"/>
      <c r="AG60" s="63"/>
      <c r="AH60" s="360">
        <f>AG60-AF60</f>
        <v>0</v>
      </c>
      <c r="AI60" s="279"/>
      <c r="AJ60" s="63"/>
      <c r="AK60" s="360"/>
      <c r="AL60" s="279"/>
      <c r="AM60" s="63"/>
      <c r="AN60" s="360"/>
      <c r="AO60" s="425">
        <f t="shared" ref="AO60:BI60" si="70">SUM(AO61:AO65)</f>
        <v>0</v>
      </c>
      <c r="AP60" s="395">
        <f t="shared" si="70"/>
        <v>0</v>
      </c>
      <c r="AQ60" s="338"/>
      <c r="AR60" s="347">
        <f t="shared" si="5"/>
        <v>25587.66</v>
      </c>
      <c r="AS60" s="339"/>
      <c r="AT60" s="324"/>
      <c r="AU60" s="682"/>
      <c r="AV60" s="682">
        <f>S60</f>
        <v>1034</v>
      </c>
      <c r="AW60" s="324"/>
      <c r="AX60" s="324"/>
      <c r="AY60" s="324"/>
      <c r="AZ60" s="324"/>
      <c r="BA60" s="324"/>
      <c r="BB60" s="324"/>
      <c r="BC60" s="161">
        <f t="shared" si="20"/>
        <v>0</v>
      </c>
      <c r="BD60" s="161">
        <f t="shared" si="21"/>
        <v>0</v>
      </c>
      <c r="BE60" s="349"/>
      <c r="BF60" s="338"/>
      <c r="BG60" s="162">
        <f>CD60</f>
        <v>25587.66</v>
      </c>
      <c r="BH60" s="339">
        <f>BG60-BF60</f>
        <v>25587.66</v>
      </c>
      <c r="BI60" s="540">
        <f t="shared" si="70"/>
        <v>0</v>
      </c>
      <c r="BK60" s="121" t="s">
        <v>237</v>
      </c>
      <c r="BL60" s="121" t="s">
        <v>197</v>
      </c>
      <c r="BM60" s="121" t="s">
        <v>197</v>
      </c>
      <c r="BN60" s="121"/>
      <c r="BO60" s="121"/>
      <c r="BP60" s="121"/>
      <c r="BQ60" s="121"/>
      <c r="BR60" s="617"/>
      <c r="BS60" s="621">
        <f>AK60-BR60</f>
        <v>0</v>
      </c>
      <c r="BT60" s="617">
        <v>25587.66</v>
      </c>
      <c r="BU60" s="621">
        <f t="shared" si="62"/>
        <v>-25587.66</v>
      </c>
      <c r="BV60" s="121"/>
      <c r="BW60" s="121"/>
      <c r="BX60" s="629">
        <f t="shared" si="26"/>
        <v>0</v>
      </c>
      <c r="BY60" s="629">
        <f t="shared" si="13"/>
        <v>25587.66</v>
      </c>
      <c r="BZ60" s="533">
        <f t="shared" si="23"/>
        <v>-25587.66</v>
      </c>
      <c r="CA60" s="631">
        <f>BY60</f>
        <v>25587.66</v>
      </c>
      <c r="CB60" s="617"/>
      <c r="CC60" s="621">
        <f>AW60-CB60</f>
        <v>0</v>
      </c>
      <c r="CD60" s="617">
        <v>25587.66</v>
      </c>
      <c r="CE60" s="621">
        <f t="shared" si="64"/>
        <v>-25587.66</v>
      </c>
    </row>
    <row r="61" spans="1:85" x14ac:dyDescent="0.3">
      <c r="A61" s="1420" t="s">
        <v>185</v>
      </c>
      <c r="B61" s="1422"/>
      <c r="C61" s="664">
        <v>243</v>
      </c>
      <c r="D61" s="431"/>
      <c r="E61" s="64">
        <f>H61+Y61+AQ61+AP61</f>
        <v>57449055.199999996</v>
      </c>
      <c r="F61" s="411">
        <f t="shared" si="1"/>
        <v>57449055.199999996</v>
      </c>
      <c r="G61" s="285"/>
      <c r="H61" s="158"/>
      <c r="I61" s="298">
        <f t="shared" si="25"/>
        <v>0</v>
      </c>
      <c r="J61" s="316"/>
      <c r="K61" s="297"/>
      <c r="L61" s="158"/>
      <c r="M61" s="669"/>
      <c r="N61" s="669"/>
      <c r="O61" s="669"/>
      <c r="P61" s="669"/>
      <c r="Q61" s="669"/>
      <c r="R61" s="667">
        <f t="shared" si="16"/>
        <v>0</v>
      </c>
      <c r="S61" s="667">
        <f t="shared" si="17"/>
        <v>0</v>
      </c>
      <c r="T61" s="298"/>
      <c r="U61" s="297"/>
      <c r="V61" s="285"/>
      <c r="W61" s="367"/>
      <c r="X61" s="279"/>
      <c r="Y61" s="310">
        <f>AA61</f>
        <v>57449055.199999996</v>
      </c>
      <c r="Z61" s="375">
        <f>Y61-X61</f>
        <v>57449055.199999996</v>
      </c>
      <c r="AA61" s="528">
        <f>7519434.36+49069517.66+860103.18</f>
        <v>57449055.199999996</v>
      </c>
      <c r="AB61" s="310"/>
      <c r="AC61" s="63"/>
      <c r="AD61" s="357">
        <f t="shared" si="2"/>
        <v>0</v>
      </c>
      <c r="AE61" s="418"/>
      <c r="AF61" s="279"/>
      <c r="AG61" s="63"/>
      <c r="AH61" s="360"/>
      <c r="AI61" s="279"/>
      <c r="AJ61" s="63"/>
      <c r="AK61" s="360"/>
      <c r="AL61" s="279"/>
      <c r="AM61" s="63"/>
      <c r="AN61" s="360"/>
      <c r="AO61" s="425"/>
      <c r="AP61" s="395"/>
      <c r="AQ61" s="334">
        <v>0</v>
      </c>
      <c r="AR61" s="347">
        <f t="shared" si="5"/>
        <v>0</v>
      </c>
      <c r="AS61" s="335">
        <f t="shared" si="4"/>
        <v>0</v>
      </c>
      <c r="AT61" s="324"/>
      <c r="AU61" s="682"/>
      <c r="AV61" s="682"/>
      <c r="AW61" s="162"/>
      <c r="AX61" s="162"/>
      <c r="AY61" s="162"/>
      <c r="AZ61" s="162"/>
      <c r="BA61" s="162"/>
      <c r="BB61" s="162"/>
      <c r="BC61" s="161">
        <f t="shared" si="20"/>
        <v>0</v>
      </c>
      <c r="BD61" s="161">
        <f t="shared" si="21"/>
        <v>0</v>
      </c>
      <c r="BE61" s="349">
        <f t="shared" si="60"/>
        <v>0</v>
      </c>
      <c r="BF61" s="338"/>
      <c r="BG61" s="162"/>
      <c r="BH61" s="339"/>
      <c r="BI61" s="540"/>
      <c r="BK61" s="118"/>
      <c r="BL61" s="146">
        <v>2621361</v>
      </c>
      <c r="BM61" s="611"/>
      <c r="BN61" s="636"/>
      <c r="BO61" s="636"/>
      <c r="BP61" s="636"/>
      <c r="BQ61" s="636"/>
      <c r="BR61" s="617"/>
      <c r="BS61" s="621">
        <f>AK61-BR61</f>
        <v>0</v>
      </c>
      <c r="BT61" s="617"/>
      <c r="BU61" s="621">
        <f>AM61-BT61</f>
        <v>0</v>
      </c>
      <c r="BV61" s="636"/>
      <c r="BW61" s="636"/>
      <c r="BX61" s="629">
        <f t="shared" si="26"/>
        <v>0</v>
      </c>
      <c r="BY61" s="629">
        <f t="shared" si="13"/>
        <v>0</v>
      </c>
      <c r="BZ61" s="533">
        <f t="shared" si="23"/>
        <v>0</v>
      </c>
      <c r="CA61" s="533"/>
      <c r="CB61" s="617"/>
      <c r="CC61" s="621">
        <f>AW61-CB61</f>
        <v>0</v>
      </c>
      <c r="CD61" s="617"/>
      <c r="CE61" s="621">
        <f>BF61-CD61</f>
        <v>0</v>
      </c>
    </row>
    <row r="62" spans="1:85" x14ac:dyDescent="0.3">
      <c r="A62" s="1421"/>
      <c r="B62" s="1423"/>
      <c r="C62" s="664">
        <v>244</v>
      </c>
      <c r="D62" s="431">
        <f>G62+X62+AP62+AQ62</f>
        <v>509073456.75999993</v>
      </c>
      <c r="E62" s="64">
        <f>H62+Y62+AR62+AP62</f>
        <v>451019350.27999997</v>
      </c>
      <c r="F62" s="411">
        <f t="shared" si="1"/>
        <v>-58054106.479999959</v>
      </c>
      <c r="G62" s="285">
        <v>1572087.63</v>
      </c>
      <c r="H62" s="158">
        <f>J62+L62+V62</f>
        <v>967036.35</v>
      </c>
      <c r="I62" s="298">
        <f t="shared" si="25"/>
        <v>-605051.27999999991</v>
      </c>
      <c r="J62" s="316"/>
      <c r="K62" s="297">
        <v>1178179.43</v>
      </c>
      <c r="L62" s="158">
        <v>700000</v>
      </c>
      <c r="M62" s="669">
        <v>439117.52</v>
      </c>
      <c r="N62" s="669">
        <v>87636</v>
      </c>
      <c r="O62" s="669"/>
      <c r="P62" s="669"/>
      <c r="Q62" s="669">
        <v>99999</v>
      </c>
      <c r="R62" s="667">
        <f t="shared" si="16"/>
        <v>626752.52</v>
      </c>
      <c r="S62" s="667">
        <f>J62+L62-R62</f>
        <v>73247.479999999981</v>
      </c>
      <c r="T62" s="298">
        <f>L62-K62</f>
        <v>-478179.42999999993</v>
      </c>
      <c r="U62" s="367">
        <v>393908.2</v>
      </c>
      <c r="V62" s="158">
        <v>267036.34999999998</v>
      </c>
      <c r="W62" s="367">
        <f>V62-U62</f>
        <v>-126871.85000000003</v>
      </c>
      <c r="X62" s="279">
        <f>AB62+AE62+AF62+AI62+AL62+AA62+57449055.2</f>
        <v>503376909.97999996</v>
      </c>
      <c r="Y62" s="310">
        <f>AA62+AC62+AE62+AG62+AJ62+AM62</f>
        <v>445927854.77999997</v>
      </c>
      <c r="Z62" s="375">
        <f>Y62-X62</f>
        <v>-57449055.199999988</v>
      </c>
      <c r="AA62" s="528">
        <f>175520555.7+2814821-AA61</f>
        <v>120886321.5</v>
      </c>
      <c r="AB62" s="310">
        <v>324932430</v>
      </c>
      <c r="AC62" s="63">
        <v>324932430</v>
      </c>
      <c r="AD62" s="357">
        <f t="shared" si="2"/>
        <v>0</v>
      </c>
      <c r="AE62" s="418">
        <v>109103.28</v>
      </c>
      <c r="AF62" s="279"/>
      <c r="AG62" s="63"/>
      <c r="AH62" s="360"/>
      <c r="AI62" s="279"/>
      <c r="AJ62" s="63"/>
      <c r="AK62" s="360"/>
      <c r="AL62" s="279"/>
      <c r="AM62" s="63"/>
      <c r="AN62" s="360"/>
      <c r="AO62" s="425"/>
      <c r="AP62" s="395"/>
      <c r="AQ62" s="334">
        <v>4124459.15</v>
      </c>
      <c r="AR62" s="347">
        <f t="shared" si="5"/>
        <v>4124459.15</v>
      </c>
      <c r="AS62" s="335">
        <f t="shared" si="4"/>
        <v>0</v>
      </c>
      <c r="AT62" s="324">
        <v>2124459.15</v>
      </c>
      <c r="AU62" s="682"/>
      <c r="AV62" s="682">
        <f>S62</f>
        <v>73247.479999999981</v>
      </c>
      <c r="AW62" s="162">
        <f>1624459.15+500000-174384</f>
        <v>1950075.15</v>
      </c>
      <c r="AX62" s="162">
        <f>1878568.47-81300</f>
        <v>1797268.47</v>
      </c>
      <c r="AY62" s="162">
        <v>26500</v>
      </c>
      <c r="AZ62" s="162"/>
      <c r="BA62" s="162">
        <v>98500</v>
      </c>
      <c r="BB62" s="162"/>
      <c r="BC62" s="161">
        <f t="shared" si="20"/>
        <v>1922268.47</v>
      </c>
      <c r="BD62" s="161">
        <f t="shared" si="21"/>
        <v>27806.679999999935</v>
      </c>
      <c r="BE62" s="349">
        <f t="shared" si="60"/>
        <v>-174384</v>
      </c>
      <c r="BF62" s="338">
        <v>2000000</v>
      </c>
      <c r="BG62" s="162">
        <f>CD62</f>
        <v>2174384</v>
      </c>
      <c r="BH62" s="339">
        <f>BG62-BF62</f>
        <v>174384</v>
      </c>
      <c r="BI62" s="540"/>
      <c r="BK62" s="111"/>
      <c r="BL62" s="111">
        <v>487564.3</v>
      </c>
      <c r="BR62" s="617"/>
      <c r="BS62" s="621">
        <f>AJ62-BR62</f>
        <v>0</v>
      </c>
      <c r="BT62" s="617">
        <v>2174384</v>
      </c>
      <c r="BU62" s="621">
        <f t="shared" ref="BU62:BU65" si="71">AM62-BT62</f>
        <v>-2174384</v>
      </c>
      <c r="BX62" s="629">
        <f t="shared" si="26"/>
        <v>4124459.15</v>
      </c>
      <c r="BY62" s="629">
        <f t="shared" si="13"/>
        <v>3971652.4699999997</v>
      </c>
      <c r="BZ62" s="533">
        <f t="shared" si="23"/>
        <v>152806.68000000017</v>
      </c>
      <c r="CA62" s="533">
        <f>BX62</f>
        <v>4124459.15</v>
      </c>
      <c r="CB62" s="617">
        <f>1878568.47-81300</f>
        <v>1797268.47</v>
      </c>
      <c r="CC62" s="621">
        <f>AT62-CB62</f>
        <v>327190.67999999993</v>
      </c>
      <c r="CD62" s="617">
        <v>2174384</v>
      </c>
      <c r="CE62" s="621">
        <f t="shared" si="64"/>
        <v>-174384</v>
      </c>
    </row>
    <row r="63" spans="1:85" ht="31.5" x14ac:dyDescent="0.3">
      <c r="A63" s="437" t="s">
        <v>186</v>
      </c>
      <c r="B63" s="661"/>
      <c r="C63" s="664">
        <v>244</v>
      </c>
      <c r="D63" s="431">
        <f>G63+X63+AP63+AQ63</f>
        <v>0</v>
      </c>
      <c r="E63" s="59">
        <f>H63+Y63+AQ63+AP63</f>
        <v>0</v>
      </c>
      <c r="F63" s="411">
        <f t="shared" si="1"/>
        <v>0</v>
      </c>
      <c r="G63" s="285"/>
      <c r="H63" s="158"/>
      <c r="I63" s="298">
        <f t="shared" si="25"/>
        <v>0</v>
      </c>
      <c r="J63" s="316"/>
      <c r="K63" s="297"/>
      <c r="L63" s="158"/>
      <c r="M63" s="669"/>
      <c r="N63" s="669"/>
      <c r="O63" s="669"/>
      <c r="P63" s="669"/>
      <c r="Q63" s="669"/>
      <c r="R63" s="667">
        <f t="shared" si="16"/>
        <v>0</v>
      </c>
      <c r="S63" s="667">
        <f t="shared" si="17"/>
        <v>0</v>
      </c>
      <c r="T63" s="298"/>
      <c r="U63" s="367"/>
      <c r="V63" s="158"/>
      <c r="W63" s="367"/>
      <c r="X63" s="279"/>
      <c r="Y63" s="310"/>
      <c r="Z63" s="375"/>
      <c r="AA63" s="528"/>
      <c r="AB63" s="310"/>
      <c r="AC63" s="63"/>
      <c r="AD63" s="357">
        <f t="shared" si="2"/>
        <v>0</v>
      </c>
      <c r="AE63" s="418"/>
      <c r="AF63" s="279"/>
      <c r="AG63" s="63"/>
      <c r="AH63" s="360"/>
      <c r="AI63" s="279"/>
      <c r="AJ63" s="63"/>
      <c r="AK63" s="360"/>
      <c r="AL63" s="279"/>
      <c r="AM63" s="63"/>
      <c r="AN63" s="360"/>
      <c r="AO63" s="425"/>
      <c r="AP63" s="395"/>
      <c r="AQ63" s="334">
        <v>0</v>
      </c>
      <c r="AR63" s="347">
        <f t="shared" si="5"/>
        <v>0</v>
      </c>
      <c r="AS63" s="335">
        <f t="shared" si="4"/>
        <v>0</v>
      </c>
      <c r="AT63" s="324"/>
      <c r="AU63" s="682"/>
      <c r="AV63" s="682"/>
      <c r="AW63" s="162"/>
      <c r="AX63" s="162"/>
      <c r="AY63" s="162"/>
      <c r="AZ63" s="162"/>
      <c r="BA63" s="162"/>
      <c r="BB63" s="162"/>
      <c r="BC63" s="161">
        <f>AX63+AY63+AZ63+BA63+BB63</f>
        <v>0</v>
      </c>
      <c r="BD63" s="161">
        <f t="shared" si="21"/>
        <v>0</v>
      </c>
      <c r="BE63" s="349">
        <f t="shared" si="60"/>
        <v>0</v>
      </c>
      <c r="BF63" s="338"/>
      <c r="BG63" s="162"/>
      <c r="BH63" s="339"/>
      <c r="BI63" s="540"/>
      <c r="BK63" s="121" t="s">
        <v>237</v>
      </c>
      <c r="BL63" s="121" t="s">
        <v>197</v>
      </c>
      <c r="BR63" s="617"/>
      <c r="BS63" s="621">
        <f>AK63-BR63</f>
        <v>0</v>
      </c>
      <c r="BT63" s="617"/>
      <c r="BU63" s="621">
        <f t="shared" si="71"/>
        <v>0</v>
      </c>
      <c r="BX63" s="629">
        <f t="shared" si="26"/>
        <v>0</v>
      </c>
      <c r="BY63" s="629">
        <f t="shared" si="13"/>
        <v>0</v>
      </c>
      <c r="BZ63" s="533">
        <f t="shared" si="23"/>
        <v>0</v>
      </c>
      <c r="CA63" s="533"/>
      <c r="CB63" s="617"/>
      <c r="CC63" s="621">
        <f>AW63-CB63</f>
        <v>0</v>
      </c>
      <c r="CD63" s="617"/>
      <c r="CE63" s="621">
        <f t="shared" si="64"/>
        <v>0</v>
      </c>
    </row>
    <row r="64" spans="1:85" x14ac:dyDescent="0.3">
      <c r="A64" s="1420" t="s">
        <v>187</v>
      </c>
      <c r="B64" s="1424"/>
      <c r="C64" s="664">
        <v>243</v>
      </c>
      <c r="D64" s="431"/>
      <c r="E64" s="59">
        <f>H64+Y64+AQ64+AP64</f>
        <v>0</v>
      </c>
      <c r="F64" s="411">
        <f t="shared" si="1"/>
        <v>0</v>
      </c>
      <c r="G64" s="285"/>
      <c r="H64" s="158"/>
      <c r="I64" s="298">
        <f t="shared" si="25"/>
        <v>0</v>
      </c>
      <c r="J64" s="316"/>
      <c r="K64" s="297"/>
      <c r="L64" s="158"/>
      <c r="M64" s="669"/>
      <c r="N64" s="669"/>
      <c r="O64" s="669"/>
      <c r="P64" s="669"/>
      <c r="Q64" s="669"/>
      <c r="R64" s="667">
        <f t="shared" si="16"/>
        <v>0</v>
      </c>
      <c r="S64" s="667">
        <f t="shared" si="17"/>
        <v>0</v>
      </c>
      <c r="T64" s="298"/>
      <c r="U64" s="367"/>
      <c r="V64" s="158"/>
      <c r="W64" s="367"/>
      <c r="X64" s="279"/>
      <c r="Y64" s="310"/>
      <c r="Z64" s="375"/>
      <c r="AA64" s="528"/>
      <c r="AB64" s="310"/>
      <c r="AC64" s="63"/>
      <c r="AD64" s="357">
        <f t="shared" si="2"/>
        <v>0</v>
      </c>
      <c r="AE64" s="418"/>
      <c r="AF64" s="279"/>
      <c r="AG64" s="63"/>
      <c r="AH64" s="360"/>
      <c r="AI64" s="279"/>
      <c r="AJ64" s="63"/>
      <c r="AK64" s="360"/>
      <c r="AL64" s="279"/>
      <c r="AM64" s="63"/>
      <c r="AN64" s="360"/>
      <c r="AO64" s="425"/>
      <c r="AP64" s="395"/>
      <c r="AQ64" s="334">
        <v>0</v>
      </c>
      <c r="AR64" s="347">
        <f t="shared" si="5"/>
        <v>0</v>
      </c>
      <c r="AS64" s="335">
        <f t="shared" si="4"/>
        <v>0</v>
      </c>
      <c r="AT64" s="324"/>
      <c r="AU64" s="682"/>
      <c r="AV64" s="682"/>
      <c r="AW64" s="162"/>
      <c r="AX64" s="162"/>
      <c r="AY64" s="162"/>
      <c r="AZ64" s="162"/>
      <c r="BA64" s="162"/>
      <c r="BB64" s="162"/>
      <c r="BC64" s="161">
        <f t="shared" si="20"/>
        <v>0</v>
      </c>
      <c r="BD64" s="161">
        <f t="shared" si="21"/>
        <v>0</v>
      </c>
      <c r="BE64" s="349">
        <f t="shared" si="60"/>
        <v>0</v>
      </c>
      <c r="BF64" s="338"/>
      <c r="BG64" s="162"/>
      <c r="BH64" s="339"/>
      <c r="BI64" s="540"/>
      <c r="BK64" s="118"/>
      <c r="BL64" s="146">
        <v>-260231.34</v>
      </c>
      <c r="BR64" s="617"/>
      <c r="BS64" s="621">
        <f>AK64-BR64</f>
        <v>0</v>
      </c>
      <c r="BT64" s="617"/>
      <c r="BU64" s="621">
        <f t="shared" si="71"/>
        <v>0</v>
      </c>
      <c r="BX64" s="629">
        <f t="shared" si="26"/>
        <v>0</v>
      </c>
      <c r="BY64" s="629">
        <f t="shared" si="13"/>
        <v>0</v>
      </c>
      <c r="BZ64" s="533">
        <f t="shared" si="23"/>
        <v>0</v>
      </c>
      <c r="CA64" s="533"/>
      <c r="CB64" s="617"/>
      <c r="CC64" s="621">
        <f>AW64-CB64</f>
        <v>0</v>
      </c>
      <c r="CD64" s="617"/>
      <c r="CE64" s="621">
        <f t="shared" si="64"/>
        <v>0</v>
      </c>
    </row>
    <row r="65" spans="1:83" x14ac:dyDescent="0.3">
      <c r="A65" s="1421"/>
      <c r="B65" s="1423"/>
      <c r="C65" s="664">
        <v>244</v>
      </c>
      <c r="D65" s="431">
        <f>G65+X65+AP65+AQ65</f>
        <v>165705930.41999999</v>
      </c>
      <c r="E65" s="64">
        <f>H65+Y65+AR65+AP65</f>
        <v>168081653.77999997</v>
      </c>
      <c r="F65" s="411">
        <f t="shared" si="1"/>
        <v>2375723.3599999845</v>
      </c>
      <c r="G65" s="285">
        <v>31841804.129999999</v>
      </c>
      <c r="H65" s="158">
        <f>J65+L65+V65</f>
        <v>31841804.129999999</v>
      </c>
      <c r="I65" s="298">
        <f t="shared" si="25"/>
        <v>0</v>
      </c>
      <c r="J65" s="316"/>
      <c r="K65" s="297">
        <v>22153731.129999999</v>
      </c>
      <c r="L65" s="158">
        <v>22659972.449999999</v>
      </c>
      <c r="M65" s="669">
        <v>20539613.350000001</v>
      </c>
      <c r="N65" s="669"/>
      <c r="O65" s="669"/>
      <c r="P65" s="669">
        <v>141928.43</v>
      </c>
      <c r="Q65" s="669">
        <f>782187.6+99668.77</f>
        <v>881856.37</v>
      </c>
      <c r="R65" s="667">
        <f t="shared" si="16"/>
        <v>21563398.150000002</v>
      </c>
      <c r="S65" s="667">
        <f t="shared" si="17"/>
        <v>1096574.299999997</v>
      </c>
      <c r="T65" s="298">
        <f>L65-K65</f>
        <v>506241.3200000003</v>
      </c>
      <c r="U65" s="367">
        <v>9688073</v>
      </c>
      <c r="V65" s="158">
        <v>9181831.6799999997</v>
      </c>
      <c r="W65" s="367">
        <f>V65-U65</f>
        <v>-506241.3200000003</v>
      </c>
      <c r="X65" s="279">
        <f>AB65+AE65+AF65+AI65+AL65+AA65</f>
        <v>54868780.329999998</v>
      </c>
      <c r="Y65" s="310">
        <f>AA65+AC65+AE65+AG65+AJ65+AM65</f>
        <v>54868780.329999998</v>
      </c>
      <c r="Z65" s="375">
        <f>Y65-X65</f>
        <v>0</v>
      </c>
      <c r="AA65" s="528">
        <f>20068511.31+580003.2</f>
        <v>20648514.509999998</v>
      </c>
      <c r="AB65" s="310">
        <v>26181170</v>
      </c>
      <c r="AC65" s="63">
        <v>26181170</v>
      </c>
      <c r="AD65" s="357">
        <f t="shared" si="2"/>
        <v>0</v>
      </c>
      <c r="AE65" s="418">
        <f>6539495.82-400</f>
        <v>6539095.8200000003</v>
      </c>
      <c r="AF65" s="279">
        <v>1500000</v>
      </c>
      <c r="AG65" s="63">
        <v>1500000</v>
      </c>
      <c r="AH65" s="360">
        <f>AG65-AF65</f>
        <v>0</v>
      </c>
      <c r="AI65" s="279"/>
      <c r="AJ65" s="63"/>
      <c r="AK65" s="360"/>
      <c r="AL65" s="279"/>
      <c r="AM65" s="63"/>
      <c r="AN65" s="360"/>
      <c r="AO65" s="425"/>
      <c r="AP65" s="395"/>
      <c r="AQ65" s="334">
        <v>78995345.959999993</v>
      </c>
      <c r="AR65" s="347">
        <f t="shared" si="5"/>
        <v>81371069.319999993</v>
      </c>
      <c r="AS65" s="335">
        <f t="shared" si="4"/>
        <v>2375723.3599999994</v>
      </c>
      <c r="AT65" s="324">
        <v>66585314.369999997</v>
      </c>
      <c r="AU65" s="682"/>
      <c r="AV65" s="682">
        <f>S65</f>
        <v>1096574.299999997</v>
      </c>
      <c r="AW65" s="162">
        <f>CB65</f>
        <v>66588420.32</v>
      </c>
      <c r="AX65" s="162">
        <f>65592627.4-3000</f>
        <v>65589627.399999999</v>
      </c>
      <c r="AY65" s="162">
        <v>1847.85</v>
      </c>
      <c r="AZ65" s="162">
        <v>16463.98</v>
      </c>
      <c r="BA65" s="162">
        <v>128002.36</v>
      </c>
      <c r="BB65" s="162">
        <v>742911.98</v>
      </c>
      <c r="BC65" s="161">
        <f t="shared" si="20"/>
        <v>66478853.569999993</v>
      </c>
      <c r="BD65" s="161">
        <f t="shared" si="21"/>
        <v>109566.75000000186</v>
      </c>
      <c r="BE65" s="349">
        <f t="shared" si="60"/>
        <v>3105.9500000029802</v>
      </c>
      <c r="BF65" s="338">
        <v>12410031.59</v>
      </c>
      <c r="BG65" s="162">
        <f>CD65</f>
        <v>14782649</v>
      </c>
      <c r="BH65" s="339">
        <f>BG65-BF65</f>
        <v>2372617.41</v>
      </c>
      <c r="BI65" s="540"/>
      <c r="BK65" s="111">
        <v>74638998.689999998</v>
      </c>
      <c r="BL65" s="111">
        <v>25190635.949999999</v>
      </c>
      <c r="BR65" s="617"/>
      <c r="BS65" s="621">
        <f>AJ65-BR65</f>
        <v>0</v>
      </c>
      <c r="BT65" s="617">
        <v>14782649</v>
      </c>
      <c r="BU65" s="621">
        <f t="shared" si="71"/>
        <v>-14782649</v>
      </c>
      <c r="BX65" s="629">
        <f t="shared" si="26"/>
        <v>78995345.959999993</v>
      </c>
      <c r="BY65" s="629">
        <f t="shared" si="13"/>
        <v>81371069.319999993</v>
      </c>
      <c r="BZ65" s="631">
        <f t="shared" si="23"/>
        <v>-2375723.3599999994</v>
      </c>
      <c r="CA65" s="631">
        <f>BY65</f>
        <v>81371069.319999993</v>
      </c>
      <c r="CB65" s="617">
        <f>64959183.81-3000+1195603.28+500000-63366.77</f>
        <v>66588420.32</v>
      </c>
      <c r="CC65" s="621">
        <f>AT65-CB65</f>
        <v>-3105.9500000029802</v>
      </c>
      <c r="CD65" s="617">
        <v>14782649</v>
      </c>
      <c r="CE65" s="621">
        <f t="shared" si="64"/>
        <v>-2372617.41</v>
      </c>
    </row>
    <row r="66" spans="1:83" s="115" customFormat="1" ht="21.75" customHeight="1" x14ac:dyDescent="0.3">
      <c r="A66" s="435" t="s">
        <v>188</v>
      </c>
      <c r="B66" s="662">
        <v>300</v>
      </c>
      <c r="C66" s="436" t="s">
        <v>149</v>
      </c>
      <c r="D66" s="430">
        <f>G66+X66+AP66+AQ66</f>
        <v>0</v>
      </c>
      <c r="E66" s="59">
        <f t="shared" ref="E66:E75" si="72">H66+Y66+AQ66+AP66</f>
        <v>0</v>
      </c>
      <c r="F66" s="411">
        <f t="shared" si="1"/>
        <v>0</v>
      </c>
      <c r="G66" s="283">
        <f>G68+G69</f>
        <v>0</v>
      </c>
      <c r="H66" s="157"/>
      <c r="I66" s="298">
        <f t="shared" si="25"/>
        <v>0</v>
      </c>
      <c r="J66" s="314"/>
      <c r="K66" s="293"/>
      <c r="L66" s="157"/>
      <c r="M66" s="667"/>
      <c r="N66" s="667"/>
      <c r="O66" s="667"/>
      <c r="P66" s="667"/>
      <c r="Q66" s="667"/>
      <c r="R66" s="667">
        <f t="shared" ref="R66:R74" si="73">M66+N66+O66</f>
        <v>0</v>
      </c>
      <c r="S66" s="667"/>
      <c r="T66" s="294"/>
      <c r="U66" s="521">
        <f>U68+U69</f>
        <v>0</v>
      </c>
      <c r="V66" s="157"/>
      <c r="W66" s="365"/>
      <c r="X66" s="276">
        <f t="shared" ref="X66" si="74">SUM(AB66:AF66)</f>
        <v>0</v>
      </c>
      <c r="Y66" s="307"/>
      <c r="Z66" s="372"/>
      <c r="AA66" s="525"/>
      <c r="AB66" s="307">
        <v>0</v>
      </c>
      <c r="AC66" s="153">
        <v>0</v>
      </c>
      <c r="AD66" s="357">
        <f t="shared" si="2"/>
        <v>0</v>
      </c>
      <c r="AE66" s="415">
        <v>0</v>
      </c>
      <c r="AF66" s="276">
        <v>0</v>
      </c>
      <c r="AG66" s="153"/>
      <c r="AH66" s="357"/>
      <c r="AI66" s="276"/>
      <c r="AJ66" s="153"/>
      <c r="AK66" s="357"/>
      <c r="AL66" s="276"/>
      <c r="AM66" s="153"/>
      <c r="AN66" s="357"/>
      <c r="AO66" s="422">
        <f>AO68+AO69</f>
        <v>0</v>
      </c>
      <c r="AP66" s="396">
        <f>SUM(AP68:AP69)</f>
        <v>0</v>
      </c>
      <c r="AQ66" s="334">
        <f t="shared" si="54"/>
        <v>0</v>
      </c>
      <c r="AR66" s="347">
        <f t="shared" si="5"/>
        <v>0</v>
      </c>
      <c r="AS66" s="335">
        <f t="shared" si="4"/>
        <v>0</v>
      </c>
      <c r="AT66" s="323"/>
      <c r="AU66" s="680"/>
      <c r="AV66" s="680"/>
      <c r="AW66" s="161"/>
      <c r="AX66" s="161"/>
      <c r="AY66" s="161"/>
      <c r="AZ66" s="161"/>
      <c r="BA66" s="161"/>
      <c r="BB66" s="161"/>
      <c r="BC66" s="161">
        <f t="shared" si="20"/>
        <v>0</v>
      </c>
      <c r="BD66" s="161">
        <f t="shared" ref="BD66" si="75">AW66-AX66-AY66-AZ66-BA66</f>
        <v>0</v>
      </c>
      <c r="BE66" s="349">
        <f t="shared" si="60"/>
        <v>0</v>
      </c>
      <c r="BF66" s="334"/>
      <c r="BG66" s="161"/>
      <c r="BH66" s="335"/>
      <c r="BI66" s="539">
        <f>SUM(BI68:BI69)</f>
        <v>0</v>
      </c>
      <c r="BR66" s="617"/>
      <c r="BS66" s="621">
        <f t="shared" ref="BS66:BS73" si="76">AK66-BR66</f>
        <v>0</v>
      </c>
      <c r="BT66" s="617"/>
      <c r="BU66" s="621">
        <f>AM66-BT66</f>
        <v>0</v>
      </c>
      <c r="BX66" s="628">
        <f t="shared" si="26"/>
        <v>0</v>
      </c>
      <c r="BY66" s="628">
        <f t="shared" si="13"/>
        <v>0</v>
      </c>
      <c r="BZ66" s="535">
        <f t="shared" si="23"/>
        <v>0</v>
      </c>
      <c r="CA66" s="533"/>
      <c r="CB66" s="617"/>
      <c r="CC66" s="621">
        <f t="shared" ref="CC66:CC73" si="77">AW66-CB66</f>
        <v>0</v>
      </c>
      <c r="CD66" s="617"/>
      <c r="CE66" s="621">
        <f>BF66-CD66</f>
        <v>0</v>
      </c>
    </row>
    <row r="67" spans="1:83" x14ac:dyDescent="0.3">
      <c r="A67" s="437" t="s">
        <v>92</v>
      </c>
      <c r="B67" s="133"/>
      <c r="C67" s="438"/>
      <c r="D67" s="431"/>
      <c r="E67" s="59">
        <f t="shared" si="72"/>
        <v>0</v>
      </c>
      <c r="F67" s="410">
        <f t="shared" si="1"/>
        <v>0</v>
      </c>
      <c r="G67" s="285"/>
      <c r="H67" s="158"/>
      <c r="I67" s="298">
        <f t="shared" si="25"/>
        <v>0</v>
      </c>
      <c r="J67" s="316"/>
      <c r="K67" s="297"/>
      <c r="L67" s="158"/>
      <c r="M67" s="669"/>
      <c r="N67" s="669"/>
      <c r="O67" s="669"/>
      <c r="P67" s="669"/>
      <c r="Q67" s="669"/>
      <c r="R67" s="667">
        <f t="shared" si="73"/>
        <v>0</v>
      </c>
      <c r="S67" s="669"/>
      <c r="T67" s="298"/>
      <c r="U67" s="297"/>
      <c r="V67" s="285"/>
      <c r="W67" s="367"/>
      <c r="X67" s="279"/>
      <c r="Y67" s="310"/>
      <c r="Z67" s="375"/>
      <c r="AA67" s="528"/>
      <c r="AB67" s="310"/>
      <c r="AC67" s="63"/>
      <c r="AD67" s="357">
        <f t="shared" si="2"/>
        <v>0</v>
      </c>
      <c r="AE67" s="418"/>
      <c r="AF67" s="279"/>
      <c r="AG67" s="63"/>
      <c r="AH67" s="360"/>
      <c r="AI67" s="279"/>
      <c r="AJ67" s="63"/>
      <c r="AK67" s="360"/>
      <c r="AL67" s="279"/>
      <c r="AM67" s="63"/>
      <c r="AN67" s="360"/>
      <c r="AO67" s="425"/>
      <c r="AP67" s="395"/>
      <c r="AQ67" s="334">
        <f t="shared" si="54"/>
        <v>0</v>
      </c>
      <c r="AR67" s="347">
        <f t="shared" si="5"/>
        <v>0</v>
      </c>
      <c r="AS67" s="335">
        <f t="shared" si="4"/>
        <v>0</v>
      </c>
      <c r="AT67" s="324"/>
      <c r="AU67" s="682"/>
      <c r="AV67" s="682"/>
      <c r="AW67" s="162"/>
      <c r="AX67" s="162"/>
      <c r="AY67" s="162"/>
      <c r="AZ67" s="162"/>
      <c r="BA67" s="162"/>
      <c r="BB67" s="162"/>
      <c r="BC67" s="161">
        <f t="shared" si="20"/>
        <v>0</v>
      </c>
      <c r="BD67" s="162"/>
      <c r="BE67" s="349"/>
      <c r="BF67" s="338"/>
      <c r="BG67" s="162"/>
      <c r="BH67" s="339"/>
      <c r="BI67" s="540"/>
      <c r="BR67" s="617"/>
      <c r="BS67" s="621">
        <f t="shared" si="76"/>
        <v>0</v>
      </c>
      <c r="BT67" s="617"/>
      <c r="BU67" s="621">
        <f t="shared" ref="BU67:BU74" si="78">AM67-BT67</f>
        <v>0</v>
      </c>
      <c r="BX67" s="628">
        <f t="shared" si="26"/>
        <v>0</v>
      </c>
      <c r="BY67" s="628">
        <f t="shared" si="13"/>
        <v>0</v>
      </c>
      <c r="BZ67" s="535">
        <f t="shared" si="23"/>
        <v>0</v>
      </c>
      <c r="CA67" s="533"/>
      <c r="CB67" s="617"/>
      <c r="CC67" s="621">
        <f t="shared" si="77"/>
        <v>0</v>
      </c>
      <c r="CD67" s="617"/>
      <c r="CE67" s="621">
        <f t="shared" si="64"/>
        <v>0</v>
      </c>
    </row>
    <row r="68" spans="1:83" x14ac:dyDescent="0.3">
      <c r="A68" s="437" t="s">
        <v>189</v>
      </c>
      <c r="B68" s="661">
        <v>310</v>
      </c>
      <c r="C68" s="438"/>
      <c r="D68" s="431"/>
      <c r="E68" s="59">
        <f t="shared" si="72"/>
        <v>0</v>
      </c>
      <c r="F68" s="410">
        <f t="shared" si="1"/>
        <v>0</v>
      </c>
      <c r="G68" s="285"/>
      <c r="H68" s="158"/>
      <c r="I68" s="298">
        <f t="shared" si="25"/>
        <v>0</v>
      </c>
      <c r="J68" s="316"/>
      <c r="K68" s="297"/>
      <c r="L68" s="158"/>
      <c r="M68" s="669"/>
      <c r="N68" s="669"/>
      <c r="O68" s="669"/>
      <c r="P68" s="669"/>
      <c r="Q68" s="669"/>
      <c r="R68" s="667">
        <f t="shared" si="73"/>
        <v>0</v>
      </c>
      <c r="S68" s="669"/>
      <c r="T68" s="298"/>
      <c r="U68" s="297"/>
      <c r="V68" s="285"/>
      <c r="W68" s="367"/>
      <c r="X68" s="279"/>
      <c r="Y68" s="310"/>
      <c r="Z68" s="375"/>
      <c r="AA68" s="528"/>
      <c r="AB68" s="310"/>
      <c r="AC68" s="63"/>
      <c r="AD68" s="357">
        <f t="shared" si="2"/>
        <v>0</v>
      </c>
      <c r="AE68" s="418"/>
      <c r="AF68" s="279"/>
      <c r="AG68" s="63"/>
      <c r="AH68" s="360"/>
      <c r="AI68" s="279"/>
      <c r="AJ68" s="63"/>
      <c r="AK68" s="360"/>
      <c r="AL68" s="279"/>
      <c r="AM68" s="63"/>
      <c r="AN68" s="360"/>
      <c r="AO68" s="425"/>
      <c r="AP68" s="395"/>
      <c r="AQ68" s="334">
        <f t="shared" si="54"/>
        <v>0</v>
      </c>
      <c r="AR68" s="347">
        <f t="shared" si="5"/>
        <v>0</v>
      </c>
      <c r="AS68" s="335">
        <f t="shared" si="4"/>
        <v>0</v>
      </c>
      <c r="AT68" s="324"/>
      <c r="AU68" s="682"/>
      <c r="AV68" s="682"/>
      <c r="AW68" s="162"/>
      <c r="AX68" s="162"/>
      <c r="AY68" s="162"/>
      <c r="AZ68" s="162"/>
      <c r="BA68" s="162"/>
      <c r="BB68" s="162"/>
      <c r="BC68" s="161">
        <f>AW68-AX68-AY68-AZ68-BA68</f>
        <v>0</v>
      </c>
      <c r="BD68" s="162"/>
      <c r="BE68" s="349"/>
      <c r="BF68" s="338"/>
      <c r="BG68" s="162"/>
      <c r="BH68" s="339"/>
      <c r="BI68" s="540"/>
      <c r="BR68" s="617"/>
      <c r="BS68" s="621">
        <f t="shared" si="76"/>
        <v>0</v>
      </c>
      <c r="BT68" s="617"/>
      <c r="BU68" s="621">
        <f t="shared" si="78"/>
        <v>0</v>
      </c>
      <c r="BX68" s="628">
        <f t="shared" si="26"/>
        <v>0</v>
      </c>
      <c r="BY68" s="628">
        <f t="shared" si="13"/>
        <v>0</v>
      </c>
      <c r="BZ68" s="535">
        <f t="shared" si="23"/>
        <v>0</v>
      </c>
      <c r="CA68" s="533"/>
      <c r="CB68" s="617"/>
      <c r="CC68" s="621">
        <f t="shared" si="77"/>
        <v>0</v>
      </c>
      <c r="CD68" s="617"/>
      <c r="CE68" s="621">
        <f t="shared" si="64"/>
        <v>0</v>
      </c>
    </row>
    <row r="69" spans="1:83" x14ac:dyDescent="0.3">
      <c r="A69" s="437" t="s">
        <v>190</v>
      </c>
      <c r="B69" s="661">
        <v>320</v>
      </c>
      <c r="C69" s="438"/>
      <c r="D69" s="431"/>
      <c r="E69" s="59">
        <f t="shared" si="72"/>
        <v>0</v>
      </c>
      <c r="F69" s="410">
        <f t="shared" si="1"/>
        <v>0</v>
      </c>
      <c r="G69" s="285"/>
      <c r="H69" s="158"/>
      <c r="I69" s="298">
        <f t="shared" si="25"/>
        <v>0</v>
      </c>
      <c r="J69" s="316"/>
      <c r="K69" s="297"/>
      <c r="L69" s="158"/>
      <c r="M69" s="669"/>
      <c r="N69" s="669"/>
      <c r="O69" s="669"/>
      <c r="P69" s="669"/>
      <c r="Q69" s="669"/>
      <c r="R69" s="667">
        <f t="shared" si="73"/>
        <v>0</v>
      </c>
      <c r="S69" s="669"/>
      <c r="T69" s="298"/>
      <c r="U69" s="297"/>
      <c r="V69" s="285"/>
      <c r="W69" s="367"/>
      <c r="X69" s="279"/>
      <c r="Y69" s="310"/>
      <c r="Z69" s="375"/>
      <c r="AA69" s="528"/>
      <c r="AB69" s="310"/>
      <c r="AC69" s="63"/>
      <c r="AD69" s="357">
        <f t="shared" si="2"/>
        <v>0</v>
      </c>
      <c r="AE69" s="418"/>
      <c r="AF69" s="279"/>
      <c r="AG69" s="63"/>
      <c r="AH69" s="360"/>
      <c r="AI69" s="279"/>
      <c r="AJ69" s="63"/>
      <c r="AK69" s="360"/>
      <c r="AL69" s="279"/>
      <c r="AM69" s="63"/>
      <c r="AN69" s="360"/>
      <c r="AO69" s="425"/>
      <c r="AP69" s="395"/>
      <c r="AQ69" s="334">
        <f t="shared" si="54"/>
        <v>0</v>
      </c>
      <c r="AR69" s="347">
        <f t="shared" si="5"/>
        <v>0</v>
      </c>
      <c r="AS69" s="335">
        <f t="shared" si="4"/>
        <v>0</v>
      </c>
      <c r="AT69" s="324"/>
      <c r="AU69" s="682"/>
      <c r="AV69" s="682"/>
      <c r="AW69" s="162"/>
      <c r="AX69" s="162"/>
      <c r="AY69" s="162"/>
      <c r="AZ69" s="162"/>
      <c r="BA69" s="162"/>
      <c r="BB69" s="162"/>
      <c r="BC69" s="161">
        <f>AW69-AX69-AY69-AZ69-BA69</f>
        <v>0</v>
      </c>
      <c r="BD69" s="162"/>
      <c r="BE69" s="349"/>
      <c r="BF69" s="338"/>
      <c r="BG69" s="162"/>
      <c r="BH69" s="339"/>
      <c r="BI69" s="540"/>
      <c r="BR69" s="617"/>
      <c r="BS69" s="621">
        <f t="shared" si="76"/>
        <v>0</v>
      </c>
      <c r="BT69" s="617"/>
      <c r="BU69" s="621">
        <f t="shared" si="78"/>
        <v>0</v>
      </c>
      <c r="BX69" s="628">
        <f t="shared" si="26"/>
        <v>0</v>
      </c>
      <c r="BY69" s="628">
        <f t="shared" si="13"/>
        <v>0</v>
      </c>
      <c r="BZ69" s="535">
        <f t="shared" si="23"/>
        <v>0</v>
      </c>
      <c r="CA69" s="533"/>
      <c r="CB69" s="617"/>
      <c r="CC69" s="621">
        <f t="shared" si="77"/>
        <v>0</v>
      </c>
      <c r="CD69" s="617"/>
      <c r="CE69" s="621">
        <f t="shared" si="64"/>
        <v>0</v>
      </c>
    </row>
    <row r="70" spans="1:83" s="115" customFormat="1" x14ac:dyDescent="0.3">
      <c r="A70" s="435" t="s">
        <v>191</v>
      </c>
      <c r="B70" s="662">
        <v>400</v>
      </c>
      <c r="C70" s="442"/>
      <c r="D70" s="430">
        <f>G70+X70+AP70+AQ70</f>
        <v>0</v>
      </c>
      <c r="E70" s="59">
        <f t="shared" si="72"/>
        <v>0</v>
      </c>
      <c r="F70" s="410">
        <f t="shared" si="1"/>
        <v>0</v>
      </c>
      <c r="G70" s="283">
        <f>G72+G73</f>
        <v>0</v>
      </c>
      <c r="H70" s="157"/>
      <c r="I70" s="298">
        <f t="shared" si="25"/>
        <v>0</v>
      </c>
      <c r="J70" s="314"/>
      <c r="K70" s="293"/>
      <c r="L70" s="157"/>
      <c r="M70" s="667"/>
      <c r="N70" s="667"/>
      <c r="O70" s="667"/>
      <c r="P70" s="667"/>
      <c r="Q70" s="667"/>
      <c r="R70" s="667">
        <f t="shared" si="73"/>
        <v>0</v>
      </c>
      <c r="S70" s="667"/>
      <c r="T70" s="294"/>
      <c r="U70" s="293">
        <f>U72+U73</f>
        <v>0</v>
      </c>
      <c r="V70" s="283"/>
      <c r="W70" s="365"/>
      <c r="X70" s="276">
        <f>X72+X73</f>
        <v>0</v>
      </c>
      <c r="Y70" s="307"/>
      <c r="Z70" s="372"/>
      <c r="AA70" s="525"/>
      <c r="AB70" s="307">
        <v>0</v>
      </c>
      <c r="AC70" s="153"/>
      <c r="AD70" s="357">
        <f t="shared" si="2"/>
        <v>0</v>
      </c>
      <c r="AE70" s="415">
        <v>0</v>
      </c>
      <c r="AF70" s="276">
        <v>0</v>
      </c>
      <c r="AG70" s="153"/>
      <c r="AH70" s="357"/>
      <c r="AI70" s="276"/>
      <c r="AJ70" s="153"/>
      <c r="AK70" s="357"/>
      <c r="AL70" s="276"/>
      <c r="AM70" s="153"/>
      <c r="AN70" s="357"/>
      <c r="AO70" s="422">
        <f>AO72+AO73</f>
        <v>0</v>
      </c>
      <c r="AP70" s="396">
        <v>0</v>
      </c>
      <c r="AQ70" s="334">
        <f t="shared" si="54"/>
        <v>0</v>
      </c>
      <c r="AR70" s="347">
        <f t="shared" si="5"/>
        <v>0</v>
      </c>
      <c r="AS70" s="335">
        <f t="shared" si="4"/>
        <v>0</v>
      </c>
      <c r="AT70" s="323"/>
      <c r="AU70" s="680"/>
      <c r="AV70" s="680"/>
      <c r="AW70" s="161"/>
      <c r="AX70" s="161"/>
      <c r="AY70" s="161"/>
      <c r="AZ70" s="161"/>
      <c r="BA70" s="161"/>
      <c r="BB70" s="161"/>
      <c r="BC70" s="161">
        <f>AW70-AX70-AY70-AZ70-BA70</f>
        <v>0</v>
      </c>
      <c r="BD70" s="161"/>
      <c r="BE70" s="347"/>
      <c r="BF70" s="334"/>
      <c r="BG70" s="161"/>
      <c r="BH70" s="335"/>
      <c r="BI70" s="539">
        <f>BI72+BI73</f>
        <v>0</v>
      </c>
      <c r="BR70" s="617"/>
      <c r="BS70" s="621">
        <f t="shared" si="76"/>
        <v>0</v>
      </c>
      <c r="BT70" s="617"/>
      <c r="BU70" s="621">
        <f t="shared" si="78"/>
        <v>0</v>
      </c>
      <c r="BX70" s="628">
        <f t="shared" si="26"/>
        <v>0</v>
      </c>
      <c r="BY70" s="628">
        <f t="shared" si="13"/>
        <v>0</v>
      </c>
      <c r="BZ70" s="535">
        <f t="shared" si="23"/>
        <v>0</v>
      </c>
      <c r="CA70" s="533"/>
      <c r="CB70" s="617"/>
      <c r="CC70" s="621">
        <f t="shared" si="77"/>
        <v>0</v>
      </c>
      <c r="CD70" s="617"/>
      <c r="CE70" s="621">
        <f t="shared" si="64"/>
        <v>0</v>
      </c>
    </row>
    <row r="71" spans="1:83" x14ac:dyDescent="0.3">
      <c r="A71" s="437" t="s">
        <v>92</v>
      </c>
      <c r="B71" s="133"/>
      <c r="C71" s="438"/>
      <c r="D71" s="431"/>
      <c r="E71" s="59">
        <f t="shared" si="72"/>
        <v>0</v>
      </c>
      <c r="F71" s="410">
        <f t="shared" si="1"/>
        <v>0</v>
      </c>
      <c r="G71" s="285"/>
      <c r="H71" s="158"/>
      <c r="I71" s="298">
        <f t="shared" si="25"/>
        <v>0</v>
      </c>
      <c r="J71" s="316"/>
      <c r="K71" s="297"/>
      <c r="L71" s="158"/>
      <c r="M71" s="669"/>
      <c r="N71" s="669"/>
      <c r="O71" s="669"/>
      <c r="P71" s="669"/>
      <c r="Q71" s="669"/>
      <c r="R71" s="667">
        <f t="shared" si="73"/>
        <v>0</v>
      </c>
      <c r="S71" s="669"/>
      <c r="T71" s="298"/>
      <c r="U71" s="297"/>
      <c r="V71" s="285"/>
      <c r="W71" s="367"/>
      <c r="X71" s="279"/>
      <c r="Y71" s="310"/>
      <c r="Z71" s="375"/>
      <c r="AA71" s="528"/>
      <c r="AB71" s="310"/>
      <c r="AC71" s="63"/>
      <c r="AD71" s="357">
        <f t="shared" si="2"/>
        <v>0</v>
      </c>
      <c r="AE71" s="418"/>
      <c r="AF71" s="279"/>
      <c r="AG71" s="63"/>
      <c r="AH71" s="360"/>
      <c r="AI71" s="279"/>
      <c r="AJ71" s="63"/>
      <c r="AK71" s="360"/>
      <c r="AL71" s="279"/>
      <c r="AM71" s="63"/>
      <c r="AN71" s="360"/>
      <c r="AO71" s="425"/>
      <c r="AP71" s="395"/>
      <c r="AQ71" s="334">
        <f t="shared" si="54"/>
        <v>0</v>
      </c>
      <c r="AR71" s="347">
        <f t="shared" si="5"/>
        <v>0</v>
      </c>
      <c r="AS71" s="335">
        <f t="shared" si="4"/>
        <v>0</v>
      </c>
      <c r="AT71" s="324"/>
      <c r="AU71" s="682"/>
      <c r="AV71" s="682"/>
      <c r="AW71" s="162"/>
      <c r="AX71" s="162"/>
      <c r="AY71" s="162"/>
      <c r="AZ71" s="162"/>
      <c r="BA71" s="162"/>
      <c r="BB71" s="162"/>
      <c r="BC71" s="161">
        <f>AW71-AX71-AY71-AZ71-BA71</f>
        <v>0</v>
      </c>
      <c r="BD71" s="162"/>
      <c r="BE71" s="349"/>
      <c r="BF71" s="338"/>
      <c r="BG71" s="162"/>
      <c r="BH71" s="339"/>
      <c r="BI71" s="540"/>
      <c r="BR71" s="617"/>
      <c r="BS71" s="621">
        <f t="shared" si="76"/>
        <v>0</v>
      </c>
      <c r="BT71" s="617"/>
      <c r="BU71" s="621">
        <f t="shared" si="78"/>
        <v>0</v>
      </c>
      <c r="BX71" s="628">
        <f t="shared" si="26"/>
        <v>0</v>
      </c>
      <c r="BY71" s="628">
        <f t="shared" si="13"/>
        <v>0</v>
      </c>
      <c r="BZ71" s="535">
        <f t="shared" si="23"/>
        <v>0</v>
      </c>
      <c r="CA71" s="533"/>
      <c r="CB71" s="617"/>
      <c r="CC71" s="621">
        <f t="shared" si="77"/>
        <v>0</v>
      </c>
      <c r="CD71" s="617"/>
      <c r="CE71" s="621">
        <f t="shared" si="64"/>
        <v>0</v>
      </c>
    </row>
    <row r="72" spans="1:83" x14ac:dyDescent="0.3">
      <c r="A72" s="437" t="s">
        <v>192</v>
      </c>
      <c r="B72" s="661">
        <v>410</v>
      </c>
      <c r="C72" s="438"/>
      <c r="D72" s="431">
        <f>G72+X72</f>
        <v>0</v>
      </c>
      <c r="E72" s="59">
        <f t="shared" si="72"/>
        <v>0</v>
      </c>
      <c r="F72" s="410">
        <f t="shared" si="1"/>
        <v>0</v>
      </c>
      <c r="G72" s="285"/>
      <c r="H72" s="158"/>
      <c r="I72" s="298">
        <f t="shared" si="25"/>
        <v>0</v>
      </c>
      <c r="J72" s="316"/>
      <c r="K72" s="297"/>
      <c r="L72" s="158"/>
      <c r="M72" s="669"/>
      <c r="N72" s="669"/>
      <c r="O72" s="669"/>
      <c r="P72" s="669"/>
      <c r="Q72" s="669"/>
      <c r="R72" s="667">
        <f t="shared" si="73"/>
        <v>0</v>
      </c>
      <c r="S72" s="669"/>
      <c r="T72" s="298"/>
      <c r="U72" s="297"/>
      <c r="V72" s="285"/>
      <c r="W72" s="367"/>
      <c r="X72" s="279"/>
      <c r="Y72" s="310"/>
      <c r="Z72" s="375"/>
      <c r="AA72" s="528"/>
      <c r="AB72" s="310"/>
      <c r="AC72" s="63"/>
      <c r="AD72" s="357">
        <f t="shared" si="2"/>
        <v>0</v>
      </c>
      <c r="AE72" s="418"/>
      <c r="AF72" s="279"/>
      <c r="AG72" s="63"/>
      <c r="AH72" s="360"/>
      <c r="AI72" s="279"/>
      <c r="AJ72" s="63"/>
      <c r="AK72" s="360"/>
      <c r="AL72" s="279"/>
      <c r="AM72" s="63"/>
      <c r="AN72" s="360"/>
      <c r="AO72" s="425"/>
      <c r="AP72" s="395"/>
      <c r="AQ72" s="334">
        <f t="shared" si="54"/>
        <v>0</v>
      </c>
      <c r="AR72" s="347">
        <f t="shared" si="5"/>
        <v>0</v>
      </c>
      <c r="AS72" s="335">
        <f t="shared" si="4"/>
        <v>0</v>
      </c>
      <c r="AT72" s="324"/>
      <c r="AU72" s="682"/>
      <c r="AV72" s="682"/>
      <c r="AW72" s="162"/>
      <c r="AX72" s="162"/>
      <c r="AY72" s="162"/>
      <c r="AZ72" s="162"/>
      <c r="BA72" s="162"/>
      <c r="BB72" s="162"/>
      <c r="BC72" s="161">
        <f>AW72-AX72-AY72-AZ72-BA72</f>
        <v>0</v>
      </c>
      <c r="BD72" s="162"/>
      <c r="BE72" s="349"/>
      <c r="BF72" s="338"/>
      <c r="BG72" s="162"/>
      <c r="BH72" s="339"/>
      <c r="BI72" s="540"/>
      <c r="BR72" s="617"/>
      <c r="BS72" s="621">
        <f t="shared" si="76"/>
        <v>0</v>
      </c>
      <c r="BT72" s="617"/>
      <c r="BU72" s="621">
        <f t="shared" si="78"/>
        <v>0</v>
      </c>
      <c r="BX72" s="628">
        <f t="shared" si="26"/>
        <v>0</v>
      </c>
      <c r="BY72" s="628">
        <f t="shared" si="13"/>
        <v>0</v>
      </c>
      <c r="BZ72" s="535">
        <f t="shared" si="23"/>
        <v>0</v>
      </c>
      <c r="CA72" s="533"/>
      <c r="CB72" s="617"/>
      <c r="CC72" s="621">
        <f t="shared" si="77"/>
        <v>0</v>
      </c>
      <c r="CD72" s="617"/>
      <c r="CE72" s="621">
        <f t="shared" si="64"/>
        <v>0</v>
      </c>
    </row>
    <row r="73" spans="1:83" x14ac:dyDescent="0.3">
      <c r="A73" s="437" t="s">
        <v>193</v>
      </c>
      <c r="B73" s="661">
        <v>420</v>
      </c>
      <c r="C73" s="438"/>
      <c r="D73" s="431"/>
      <c r="E73" s="59">
        <f t="shared" si="72"/>
        <v>0</v>
      </c>
      <c r="F73" s="410">
        <f t="shared" si="1"/>
        <v>0</v>
      </c>
      <c r="G73" s="285"/>
      <c r="H73" s="158"/>
      <c r="I73" s="298">
        <f t="shared" si="25"/>
        <v>0</v>
      </c>
      <c r="J73" s="316"/>
      <c r="K73" s="297"/>
      <c r="L73" s="158"/>
      <c r="M73" s="669"/>
      <c r="N73" s="669"/>
      <c r="O73" s="669"/>
      <c r="P73" s="669"/>
      <c r="Q73" s="669"/>
      <c r="R73" s="667">
        <f t="shared" si="73"/>
        <v>0</v>
      </c>
      <c r="S73" s="669"/>
      <c r="T73" s="298"/>
      <c r="U73" s="297"/>
      <c r="V73" s="285"/>
      <c r="W73" s="367"/>
      <c r="X73" s="279"/>
      <c r="Y73" s="310"/>
      <c r="Z73" s="375"/>
      <c r="AA73" s="528"/>
      <c r="AB73" s="310"/>
      <c r="AC73" s="63"/>
      <c r="AD73" s="357">
        <f t="shared" si="2"/>
        <v>0</v>
      </c>
      <c r="AE73" s="418"/>
      <c r="AF73" s="279"/>
      <c r="AG73" s="63"/>
      <c r="AH73" s="360"/>
      <c r="AI73" s="279"/>
      <c r="AJ73" s="63"/>
      <c r="AK73" s="360"/>
      <c r="AL73" s="279"/>
      <c r="AM73" s="63"/>
      <c r="AN73" s="360"/>
      <c r="AO73" s="425"/>
      <c r="AP73" s="395"/>
      <c r="AQ73" s="334">
        <f t="shared" si="54"/>
        <v>0</v>
      </c>
      <c r="AR73" s="347">
        <f t="shared" si="5"/>
        <v>0</v>
      </c>
      <c r="AS73" s="335">
        <f t="shared" si="4"/>
        <v>0</v>
      </c>
      <c r="AT73" s="324"/>
      <c r="AU73" s="682"/>
      <c r="AV73" s="682"/>
      <c r="AW73" s="162"/>
      <c r="AX73" s="162"/>
      <c r="AY73" s="162"/>
      <c r="AZ73" s="162"/>
      <c r="BA73" s="162"/>
      <c r="BB73" s="162"/>
      <c r="BC73" s="162"/>
      <c r="BD73" s="162"/>
      <c r="BE73" s="349"/>
      <c r="BF73" s="338"/>
      <c r="BG73" s="162"/>
      <c r="BH73" s="339"/>
      <c r="BI73" s="540"/>
      <c r="BR73" s="617"/>
      <c r="BS73" s="621">
        <f t="shared" si="76"/>
        <v>0</v>
      </c>
      <c r="BT73" s="617"/>
      <c r="BU73" s="621">
        <f t="shared" si="78"/>
        <v>0</v>
      </c>
      <c r="BX73" s="628">
        <f t="shared" si="26"/>
        <v>0</v>
      </c>
      <c r="BY73" s="628">
        <f t="shared" si="13"/>
        <v>0</v>
      </c>
      <c r="BZ73" s="535">
        <f t="shared" si="23"/>
        <v>0</v>
      </c>
      <c r="CA73" s="533"/>
      <c r="CB73" s="617"/>
      <c r="CC73" s="621">
        <f t="shared" si="77"/>
        <v>0</v>
      </c>
      <c r="CD73" s="617"/>
      <c r="CE73" s="621">
        <f t="shared" si="64"/>
        <v>0</v>
      </c>
    </row>
    <row r="74" spans="1:83" s="115" customFormat="1" ht="17.25" customHeight="1" x14ac:dyDescent="0.3">
      <c r="A74" s="435" t="s">
        <v>194</v>
      </c>
      <c r="B74" s="662">
        <v>500</v>
      </c>
      <c r="C74" s="436" t="s">
        <v>149</v>
      </c>
      <c r="D74" s="430">
        <f>G74+X74+AP74+AQ74</f>
        <v>723849472.93999994</v>
      </c>
      <c r="E74" s="59">
        <f t="shared" si="72"/>
        <v>723849472.93999994</v>
      </c>
      <c r="F74" s="410">
        <f t="shared" si="1"/>
        <v>0</v>
      </c>
      <c r="G74" s="283">
        <f>J74+K74+U74</f>
        <v>493797.8900000006</v>
      </c>
      <c r="H74" s="157">
        <f>H22-H10</f>
        <v>493797.88999998569</v>
      </c>
      <c r="I74" s="298">
        <f t="shared" si="25"/>
        <v>-1.4901161193847656E-8</v>
      </c>
      <c r="J74" s="314"/>
      <c r="K74" s="157">
        <f>K22-K10</f>
        <v>493797.8900000006</v>
      </c>
      <c r="L74" s="157">
        <f>L22-L10</f>
        <v>493797.8900000155</v>
      </c>
      <c r="M74" s="667"/>
      <c r="N74" s="667"/>
      <c r="O74" s="667"/>
      <c r="P74" s="667"/>
      <c r="Q74" s="667"/>
      <c r="R74" s="667">
        <f t="shared" si="73"/>
        <v>0</v>
      </c>
      <c r="S74" s="667"/>
      <c r="T74" s="294">
        <f>L74-K74</f>
        <v>1.4901161193847656E-8</v>
      </c>
      <c r="U74" s="157">
        <f>U22-U10</f>
        <v>0</v>
      </c>
      <c r="V74" s="157">
        <f>V22-V10</f>
        <v>0</v>
      </c>
      <c r="W74" s="365"/>
      <c r="X74" s="276">
        <f>716398979.29+10227+4684.74</f>
        <v>716413891.02999997</v>
      </c>
      <c r="Y74" s="307">
        <f>AA74+AC74+AE74+AG74</f>
        <v>716413891.02999997</v>
      </c>
      <c r="Z74" s="372">
        <f>Y74-X74</f>
        <v>0</v>
      </c>
      <c r="AA74" s="525">
        <f>716398979.29+10227+4684.74</f>
        <v>716413891.02999997</v>
      </c>
      <c r="AB74" s="307">
        <v>0</v>
      </c>
      <c r="AC74" s="153"/>
      <c r="AD74" s="357">
        <f t="shared" si="2"/>
        <v>0</v>
      </c>
      <c r="AE74" s="415">
        <v>0</v>
      </c>
      <c r="AF74" s="276">
        <v>0</v>
      </c>
      <c r="AG74" s="153"/>
      <c r="AH74" s="357"/>
      <c r="AI74" s="276"/>
      <c r="AJ74" s="153"/>
      <c r="AK74" s="357"/>
      <c r="AL74" s="276"/>
      <c r="AM74" s="153"/>
      <c r="AN74" s="357"/>
      <c r="AO74" s="422">
        <v>0</v>
      </c>
      <c r="AP74" s="396">
        <v>142804.66</v>
      </c>
      <c r="AQ74" s="334">
        <f>AQ22-AQ10</f>
        <v>6798979.3600000143</v>
      </c>
      <c r="AR74" s="347">
        <f t="shared" ref="AR74:AS74" si="79">AR22-AR10</f>
        <v>6798979.3600000143</v>
      </c>
      <c r="AS74" s="335">
        <f t="shared" si="79"/>
        <v>0</v>
      </c>
      <c r="AT74" s="323">
        <f>AT22-AT10</f>
        <v>6652959.8899999857</v>
      </c>
      <c r="AU74" s="680"/>
      <c r="AV74" s="680"/>
      <c r="AW74" s="323">
        <f>AW22-AW10</f>
        <v>5576493.7900000215</v>
      </c>
      <c r="AX74" s="323"/>
      <c r="AY74" s="323"/>
      <c r="AZ74" s="323"/>
      <c r="BA74" s="323"/>
      <c r="BB74" s="323"/>
      <c r="BC74" s="323"/>
      <c r="BD74" s="323"/>
      <c r="BE74" s="347">
        <f>BE22-BE10</f>
        <v>-1076466.0999999642</v>
      </c>
      <c r="BF74" s="334">
        <v>146019.47000000626</v>
      </c>
      <c r="BG74" s="323">
        <f t="shared" ref="BG74:BH74" si="80">BG22-BG10</f>
        <v>1222485.5699999928</v>
      </c>
      <c r="BH74" s="406">
        <f t="shared" si="80"/>
        <v>1076466.0999999866</v>
      </c>
      <c r="BI74" s="539">
        <v>0</v>
      </c>
      <c r="BR74" s="619"/>
      <c r="BS74" s="620"/>
      <c r="BT74" s="617">
        <v>1222485.57</v>
      </c>
      <c r="BU74" s="621">
        <f t="shared" si="78"/>
        <v>-1222485.57</v>
      </c>
      <c r="BX74" s="632">
        <f>BX22-BX10</f>
        <v>6798979.3600000143</v>
      </c>
      <c r="BY74" s="632">
        <f>BY22-BY10</f>
        <v>-12791385.120000064</v>
      </c>
      <c r="BZ74" s="632"/>
      <c r="CA74" s="632">
        <f t="shared" ref="CA74" si="81">CA22-CA10</f>
        <v>6798979.3600000143</v>
      </c>
      <c r="CB74" s="619"/>
      <c r="CC74" s="620"/>
      <c r="CD74" s="617">
        <v>1222485.57</v>
      </c>
      <c r="CE74" s="621">
        <f t="shared" si="64"/>
        <v>-1076466.0999999938</v>
      </c>
    </row>
    <row r="75" spans="1:83" s="115" customFormat="1" ht="19.5" thickBot="1" x14ac:dyDescent="0.35">
      <c r="A75" s="446" t="s">
        <v>195</v>
      </c>
      <c r="B75" s="447">
        <v>600</v>
      </c>
      <c r="C75" s="448" t="s">
        <v>149</v>
      </c>
      <c r="D75" s="433">
        <f>D10-D22+D74</f>
        <v>49011428.341535687</v>
      </c>
      <c r="E75" s="412">
        <f t="shared" si="72"/>
        <v>49011428.341535777</v>
      </c>
      <c r="F75" s="413">
        <f t="shared" ref="F75" si="82">E75-D75</f>
        <v>8.9406967163085938E-8</v>
      </c>
      <c r="G75" s="407">
        <f>G10+G74-G22</f>
        <v>0</v>
      </c>
      <c r="H75" s="304">
        <f>H10+H74-H22</f>
        <v>0</v>
      </c>
      <c r="I75" s="377">
        <f t="shared" si="25"/>
        <v>0</v>
      </c>
      <c r="J75" s="319"/>
      <c r="K75" s="303">
        <f t="shared" ref="K75:AJ75" si="83">K10+K74-K22</f>
        <v>0</v>
      </c>
      <c r="L75" s="304"/>
      <c r="M75" s="670"/>
      <c r="N75" s="670"/>
      <c r="O75" s="670"/>
      <c r="P75" s="670"/>
      <c r="Q75" s="670"/>
      <c r="R75" s="670"/>
      <c r="S75" s="670"/>
      <c r="T75" s="305"/>
      <c r="U75" s="303">
        <f t="shared" si="83"/>
        <v>0</v>
      </c>
      <c r="V75" s="304">
        <f t="shared" si="83"/>
        <v>0</v>
      </c>
      <c r="W75" s="370"/>
      <c r="X75" s="281">
        <f>X10+X74-X22</f>
        <v>49011428.339999914</v>
      </c>
      <c r="Y75" s="376">
        <f t="shared" si="83"/>
        <v>49011428.339999676</v>
      </c>
      <c r="Z75" s="376">
        <f t="shared" si="83"/>
        <v>0</v>
      </c>
      <c r="AA75" s="530">
        <f t="shared" si="83"/>
        <v>49011428.340000033</v>
      </c>
      <c r="AB75" s="376">
        <f t="shared" si="83"/>
        <v>0</v>
      </c>
      <c r="AC75" s="388">
        <f t="shared" si="83"/>
        <v>0</v>
      </c>
      <c r="AD75" s="362">
        <f t="shared" ref="AD75" si="84">AC75-AB75</f>
        <v>0</v>
      </c>
      <c r="AE75" s="420">
        <f t="shared" si="83"/>
        <v>0</v>
      </c>
      <c r="AF75" s="281">
        <f t="shared" si="83"/>
        <v>0</v>
      </c>
      <c r="AG75" s="388">
        <f t="shared" si="83"/>
        <v>0</v>
      </c>
      <c r="AH75" s="362">
        <f t="shared" si="83"/>
        <v>0</v>
      </c>
      <c r="AI75" s="281"/>
      <c r="AJ75" s="388">
        <f t="shared" si="83"/>
        <v>0</v>
      </c>
      <c r="AK75" s="362">
        <f t="shared" ref="AK75" si="85">AJ75-AI75</f>
        <v>0</v>
      </c>
      <c r="AL75" s="281"/>
      <c r="AM75" s="388"/>
      <c r="AN75" s="362"/>
      <c r="AO75" s="428">
        <f t="shared" ref="AO75:BI75" si="86">AO10+AO74-AO22</f>
        <v>0</v>
      </c>
      <c r="AP75" s="399">
        <f t="shared" si="86"/>
        <v>1.536098076030612E-3</v>
      </c>
      <c r="AQ75" s="344">
        <f t="shared" si="86"/>
        <v>0</v>
      </c>
      <c r="AR75" s="353">
        <f t="shared" si="5"/>
        <v>0</v>
      </c>
      <c r="AS75" s="346">
        <f t="shared" ref="AS75" si="87">AR75-AQ75</f>
        <v>0</v>
      </c>
      <c r="AT75" s="390">
        <f t="shared" si="86"/>
        <v>0</v>
      </c>
      <c r="AU75" s="686"/>
      <c r="AV75" s="686"/>
      <c r="AW75" s="345"/>
      <c r="AX75" s="345"/>
      <c r="AY75" s="345"/>
      <c r="AZ75" s="345"/>
      <c r="BA75" s="345"/>
      <c r="BB75" s="345"/>
      <c r="BC75" s="345"/>
      <c r="BD75" s="345"/>
      <c r="BE75" s="353"/>
      <c r="BF75" s="344">
        <f t="shared" si="86"/>
        <v>0</v>
      </c>
      <c r="BG75" s="345"/>
      <c r="BH75" s="346"/>
      <c r="BI75" s="545">
        <f t="shared" si="86"/>
        <v>0</v>
      </c>
      <c r="BR75" s="623">
        <f>BR22</f>
        <v>0</v>
      </c>
      <c r="BS75" s="624">
        <f>SUM(BS25:BS73)</f>
        <v>6372300</v>
      </c>
      <c r="BT75" s="623">
        <f>BT22</f>
        <v>69438047.340000004</v>
      </c>
      <c r="BU75" s="624">
        <f>SUM(BU25:BU73)</f>
        <v>-92311104.409999996</v>
      </c>
      <c r="BX75" s="628">
        <f t="shared" si="26"/>
        <v>0</v>
      </c>
      <c r="BY75" s="628"/>
      <c r="BZ75" s="604"/>
      <c r="CA75" s="531"/>
      <c r="CB75" s="623">
        <f>CB22</f>
        <v>262223617.94999999</v>
      </c>
      <c r="CC75" s="624">
        <f>SUM(CC25:CC73)</f>
        <v>25568065.159999989</v>
      </c>
      <c r="CD75" s="623">
        <f>CD22</f>
        <v>69438047.340000004</v>
      </c>
      <c r="CE75" s="624">
        <f>SUM(CE25:CE73)</f>
        <v>-7982162.6900000013</v>
      </c>
    </row>
    <row r="76" spans="1:83" s="115" customFormat="1" ht="19.5" hidden="1" customHeight="1" thickBot="1" x14ac:dyDescent="0.35">
      <c r="A76" s="463"/>
      <c r="B76" s="464"/>
      <c r="C76" s="465"/>
      <c r="D76" s="466"/>
      <c r="E76" s="466"/>
      <c r="F76" s="466"/>
      <c r="G76" s="466"/>
      <c r="H76" s="466"/>
      <c r="I76" s="471"/>
      <c r="J76" s="466"/>
      <c r="K76" s="466"/>
      <c r="L76" s="466"/>
      <c r="M76" s="466"/>
      <c r="N76" s="466"/>
      <c r="O76" s="466"/>
      <c r="P76" s="466"/>
      <c r="Q76" s="466"/>
      <c r="R76" s="466"/>
      <c r="S76" s="466"/>
      <c r="T76" s="466"/>
      <c r="U76" s="466"/>
      <c r="V76" s="466"/>
      <c r="W76" s="466"/>
      <c r="X76" s="466"/>
      <c r="Y76" s="466"/>
      <c r="Z76" s="466"/>
      <c r="AA76" s="466"/>
      <c r="AB76" s="466"/>
      <c r="AC76" s="466"/>
      <c r="AD76" s="466"/>
      <c r="AE76" s="466"/>
      <c r="AF76" s="466"/>
      <c r="AG76" s="466"/>
      <c r="AH76" s="466"/>
      <c r="AI76" s="466"/>
      <c r="AJ76" s="466"/>
      <c r="AK76" s="466"/>
      <c r="AL76" s="466"/>
      <c r="AM76" s="466"/>
      <c r="AN76" s="466"/>
      <c r="AO76" s="466"/>
      <c r="AP76" s="466"/>
      <c r="AQ76" s="466"/>
      <c r="AR76" s="466"/>
      <c r="AS76" s="466"/>
      <c r="AT76" s="466"/>
      <c r="AU76" s="466"/>
      <c r="AV76" s="466"/>
      <c r="AW76" s="466"/>
      <c r="AX76" s="466"/>
      <c r="AY76" s="466"/>
      <c r="AZ76" s="466"/>
      <c r="BA76" s="466"/>
      <c r="BB76" s="466"/>
      <c r="BC76" s="466"/>
      <c r="BD76" s="466"/>
      <c r="BE76" s="466"/>
      <c r="BF76" s="466"/>
      <c r="BG76" s="466"/>
      <c r="BH76" s="466"/>
      <c r="BI76" s="466"/>
      <c r="BX76" s="604"/>
      <c r="BY76" s="604"/>
      <c r="BZ76" s="604"/>
      <c r="CA76" s="531"/>
      <c r="CB76" s="607"/>
    </row>
    <row r="77" spans="1:83" s="115" customFormat="1" hidden="1" x14ac:dyDescent="0.3">
      <c r="A77" s="463"/>
      <c r="B77" s="464"/>
      <c r="C77" s="465"/>
      <c r="D77" s="157">
        <f>D22-D10</f>
        <v>674838044.59846425</v>
      </c>
      <c r="E77" s="157">
        <f t="shared" ref="E77:BI77" si="88">E22-E10</f>
        <v>674838044.59846449</v>
      </c>
      <c r="F77" s="157">
        <f t="shared" si="88"/>
        <v>0</v>
      </c>
      <c r="G77" s="157">
        <f t="shared" si="88"/>
        <v>493797.8900000453</v>
      </c>
      <c r="H77" s="157">
        <f t="shared" si="88"/>
        <v>493797.88999998569</v>
      </c>
      <c r="I77" s="157">
        <f t="shared" si="88"/>
        <v>0</v>
      </c>
      <c r="J77" s="157">
        <f t="shared" si="88"/>
        <v>0</v>
      </c>
      <c r="K77" s="157">
        <f t="shared" si="88"/>
        <v>493797.8900000006</v>
      </c>
      <c r="L77" s="157">
        <f t="shared" si="88"/>
        <v>493797.8900000155</v>
      </c>
      <c r="M77" s="157"/>
      <c r="N77" s="157"/>
      <c r="O77" s="157"/>
      <c r="P77" s="157"/>
      <c r="Q77" s="157"/>
      <c r="R77" s="157"/>
      <c r="S77" s="157"/>
      <c r="T77" s="157">
        <f t="shared" si="88"/>
        <v>0</v>
      </c>
      <c r="U77" s="157">
        <f t="shared" si="88"/>
        <v>0</v>
      </c>
      <c r="V77" s="157">
        <f t="shared" si="88"/>
        <v>0</v>
      </c>
      <c r="W77" s="157">
        <f t="shared" si="88"/>
        <v>0</v>
      </c>
      <c r="X77" s="157">
        <f t="shared" si="88"/>
        <v>667402462.69000006</v>
      </c>
      <c r="Y77" s="157">
        <f t="shared" si="88"/>
        <v>667402462.6900003</v>
      </c>
      <c r="Z77" s="157">
        <f t="shared" si="88"/>
        <v>0</v>
      </c>
      <c r="AA77" s="157">
        <f t="shared" si="88"/>
        <v>667402462.68999994</v>
      </c>
      <c r="AB77" s="157">
        <f t="shared" si="88"/>
        <v>0</v>
      </c>
      <c r="AC77" s="157">
        <f t="shared" si="88"/>
        <v>0</v>
      </c>
      <c r="AD77" s="157">
        <f t="shared" si="88"/>
        <v>0</v>
      </c>
      <c r="AE77" s="157">
        <f t="shared" si="88"/>
        <v>0</v>
      </c>
      <c r="AF77" s="157">
        <f t="shared" si="88"/>
        <v>0</v>
      </c>
      <c r="AG77" s="157">
        <f t="shared" si="88"/>
        <v>0</v>
      </c>
      <c r="AH77" s="157">
        <f t="shared" si="88"/>
        <v>0</v>
      </c>
      <c r="AI77" s="157"/>
      <c r="AJ77" s="157"/>
      <c r="AK77" s="157"/>
      <c r="AL77" s="157"/>
      <c r="AM77" s="157"/>
      <c r="AN77" s="157"/>
      <c r="AO77" s="157">
        <f t="shared" si="88"/>
        <v>0</v>
      </c>
      <c r="AP77" s="157">
        <f t="shared" si="88"/>
        <v>142804.65846390184</v>
      </c>
      <c r="AQ77" s="157">
        <f t="shared" si="88"/>
        <v>6798979.3600000143</v>
      </c>
      <c r="AR77" s="157">
        <f t="shared" si="88"/>
        <v>6798979.3600000143</v>
      </c>
      <c r="AS77" s="157">
        <f t="shared" si="88"/>
        <v>0</v>
      </c>
      <c r="AT77" s="157">
        <f t="shared" si="88"/>
        <v>6652959.8899999857</v>
      </c>
      <c r="AU77" s="157"/>
      <c r="AV77" s="157"/>
      <c r="AW77" s="157">
        <f t="shared" si="88"/>
        <v>5576493.7900000215</v>
      </c>
      <c r="AX77" s="157"/>
      <c r="AY77" s="157"/>
      <c r="AZ77" s="157"/>
      <c r="BA77" s="157"/>
      <c r="BB77" s="157"/>
      <c r="BC77" s="157"/>
      <c r="BD77" s="157"/>
      <c r="BE77" s="157">
        <f t="shared" si="88"/>
        <v>-1076466.0999999642</v>
      </c>
      <c r="BF77" s="157">
        <f t="shared" si="88"/>
        <v>146019.47000000626</v>
      </c>
      <c r="BG77" s="157">
        <f t="shared" si="88"/>
        <v>1222485.5699999928</v>
      </c>
      <c r="BH77" s="157">
        <f t="shared" si="88"/>
        <v>1076466.0999999866</v>
      </c>
      <c r="BI77" s="157">
        <f t="shared" si="88"/>
        <v>0</v>
      </c>
      <c r="BX77" s="604"/>
      <c r="BY77" s="604"/>
      <c r="BZ77" s="604"/>
      <c r="CA77" s="531"/>
      <c r="CB77" s="607"/>
    </row>
    <row r="78" spans="1:83" s="115" customFormat="1" hidden="1" x14ac:dyDescent="0.3">
      <c r="A78" s="463"/>
      <c r="B78" s="464"/>
      <c r="C78" s="465"/>
      <c r="D78" s="466">
        <f>D77+D75</f>
        <v>723849472.93999994</v>
      </c>
      <c r="E78" s="466">
        <f t="shared" ref="E78:BI78" si="89">E77+E75</f>
        <v>723849472.9400003</v>
      </c>
      <c r="F78" s="466">
        <f t="shared" si="89"/>
        <v>8.9406967163085938E-8</v>
      </c>
      <c r="G78" s="466">
        <f t="shared" si="89"/>
        <v>493797.8900000453</v>
      </c>
      <c r="H78" s="466">
        <f t="shared" si="89"/>
        <v>493797.88999998569</v>
      </c>
      <c r="I78" s="466">
        <f t="shared" si="89"/>
        <v>0</v>
      </c>
      <c r="J78" s="466">
        <f t="shared" si="89"/>
        <v>0</v>
      </c>
      <c r="K78" s="466">
        <f t="shared" si="89"/>
        <v>493797.8900000006</v>
      </c>
      <c r="L78" s="466">
        <f t="shared" si="89"/>
        <v>493797.8900000155</v>
      </c>
      <c r="M78" s="466"/>
      <c r="N78" s="466"/>
      <c r="O78" s="466"/>
      <c r="P78" s="466"/>
      <c r="Q78" s="466"/>
      <c r="R78" s="466"/>
      <c r="S78" s="466"/>
      <c r="T78" s="466">
        <f t="shared" si="89"/>
        <v>0</v>
      </c>
      <c r="U78" s="466">
        <f t="shared" si="89"/>
        <v>0</v>
      </c>
      <c r="V78" s="466">
        <f t="shared" si="89"/>
        <v>0</v>
      </c>
      <c r="W78" s="466">
        <f t="shared" si="89"/>
        <v>0</v>
      </c>
      <c r="X78" s="466">
        <f t="shared" si="89"/>
        <v>716413891.02999997</v>
      </c>
      <c r="Y78" s="466">
        <f t="shared" si="89"/>
        <v>716413891.02999997</v>
      </c>
      <c r="Z78" s="466">
        <f t="shared" si="89"/>
        <v>0</v>
      </c>
      <c r="AA78" s="466">
        <f t="shared" si="89"/>
        <v>716413891.02999997</v>
      </c>
      <c r="AB78" s="466">
        <f t="shared" si="89"/>
        <v>0</v>
      </c>
      <c r="AC78" s="466">
        <f t="shared" si="89"/>
        <v>0</v>
      </c>
      <c r="AD78" s="466">
        <f t="shared" si="89"/>
        <v>0</v>
      </c>
      <c r="AE78" s="466">
        <f t="shared" si="89"/>
        <v>0</v>
      </c>
      <c r="AF78" s="466">
        <f t="shared" si="89"/>
        <v>0</v>
      </c>
      <c r="AG78" s="466">
        <f t="shared" si="89"/>
        <v>0</v>
      </c>
      <c r="AH78" s="466">
        <f t="shared" si="89"/>
        <v>0</v>
      </c>
      <c r="AI78" s="466"/>
      <c r="AJ78" s="466"/>
      <c r="AK78" s="466"/>
      <c r="AL78" s="466"/>
      <c r="AM78" s="466"/>
      <c r="AN78" s="466"/>
      <c r="AO78" s="466">
        <f t="shared" si="89"/>
        <v>0</v>
      </c>
      <c r="AP78" s="466">
        <f t="shared" si="89"/>
        <v>142804.65999999992</v>
      </c>
      <c r="AQ78" s="466">
        <f t="shared" si="89"/>
        <v>6798979.3600000143</v>
      </c>
      <c r="AR78" s="466">
        <f t="shared" si="89"/>
        <v>6798979.3600000143</v>
      </c>
      <c r="AS78" s="466">
        <f t="shared" si="89"/>
        <v>0</v>
      </c>
      <c r="AT78" s="466">
        <f t="shared" si="89"/>
        <v>6652959.8899999857</v>
      </c>
      <c r="AU78" s="466"/>
      <c r="AV78" s="466"/>
      <c r="AW78" s="466">
        <f t="shared" si="89"/>
        <v>5576493.7900000215</v>
      </c>
      <c r="AX78" s="466"/>
      <c r="AY78" s="466"/>
      <c r="AZ78" s="466"/>
      <c r="BA78" s="466"/>
      <c r="BB78" s="466"/>
      <c r="BC78" s="466"/>
      <c r="BD78" s="466"/>
      <c r="BE78" s="466">
        <f t="shared" si="89"/>
        <v>-1076466.0999999642</v>
      </c>
      <c r="BF78" s="466">
        <f t="shared" si="89"/>
        <v>146019.47000000626</v>
      </c>
      <c r="BG78" s="466">
        <f t="shared" si="89"/>
        <v>1222485.5699999928</v>
      </c>
      <c r="BH78" s="466">
        <f t="shared" si="89"/>
        <v>1076466.0999999866</v>
      </c>
      <c r="BI78" s="466">
        <f t="shared" si="89"/>
        <v>0</v>
      </c>
      <c r="BX78" s="604"/>
      <c r="BY78" s="604"/>
      <c r="BZ78" s="604"/>
      <c r="CA78" s="531"/>
      <c r="CB78" s="607"/>
    </row>
    <row r="79" spans="1:83" s="115" customFormat="1" hidden="1" x14ac:dyDescent="0.3">
      <c r="A79" s="463"/>
      <c r="B79" s="464"/>
      <c r="C79" s="465"/>
      <c r="D79" s="466" t="b">
        <f>D74=D78</f>
        <v>1</v>
      </c>
      <c r="E79" s="466" t="b">
        <f t="shared" ref="E79:BI79" si="90">E74=E78</f>
        <v>1</v>
      </c>
      <c r="F79" s="466" t="b">
        <f t="shared" si="90"/>
        <v>0</v>
      </c>
      <c r="G79" s="466" t="b">
        <f t="shared" si="90"/>
        <v>0</v>
      </c>
      <c r="H79" s="466" t="b">
        <f t="shared" si="90"/>
        <v>1</v>
      </c>
      <c r="I79" s="466" t="b">
        <f t="shared" si="90"/>
        <v>0</v>
      </c>
      <c r="J79" s="466" t="b">
        <f t="shared" si="90"/>
        <v>1</v>
      </c>
      <c r="K79" s="466" t="b">
        <f t="shared" si="90"/>
        <v>1</v>
      </c>
      <c r="L79" s="466" t="b">
        <f t="shared" si="90"/>
        <v>1</v>
      </c>
      <c r="M79" s="466"/>
      <c r="N79" s="466"/>
      <c r="O79" s="466"/>
      <c r="P79" s="466"/>
      <c r="Q79" s="466"/>
      <c r="R79" s="466"/>
      <c r="S79" s="466"/>
      <c r="T79" s="466" t="b">
        <f t="shared" si="90"/>
        <v>0</v>
      </c>
      <c r="U79" s="466" t="b">
        <f t="shared" si="90"/>
        <v>1</v>
      </c>
      <c r="V79" s="466" t="b">
        <f t="shared" si="90"/>
        <v>1</v>
      </c>
      <c r="W79" s="466" t="b">
        <f t="shared" si="90"/>
        <v>1</v>
      </c>
      <c r="X79" s="466" t="b">
        <f t="shared" si="90"/>
        <v>1</v>
      </c>
      <c r="Y79" s="466" t="b">
        <f t="shared" si="90"/>
        <v>1</v>
      </c>
      <c r="Z79" s="466" t="b">
        <f t="shared" si="90"/>
        <v>1</v>
      </c>
      <c r="AA79" s="466" t="b">
        <f t="shared" si="90"/>
        <v>1</v>
      </c>
      <c r="AB79" s="466" t="b">
        <f t="shared" si="90"/>
        <v>1</v>
      </c>
      <c r="AC79" s="466" t="b">
        <f t="shared" si="90"/>
        <v>1</v>
      </c>
      <c r="AD79" s="466" t="b">
        <f t="shared" si="90"/>
        <v>1</v>
      </c>
      <c r="AE79" s="466" t="b">
        <f t="shared" si="90"/>
        <v>1</v>
      </c>
      <c r="AF79" s="466" t="b">
        <f t="shared" si="90"/>
        <v>1</v>
      </c>
      <c r="AG79" s="466" t="b">
        <f t="shared" si="90"/>
        <v>1</v>
      </c>
      <c r="AH79" s="466" t="b">
        <f t="shared" si="90"/>
        <v>1</v>
      </c>
      <c r="AI79" s="466"/>
      <c r="AJ79" s="466"/>
      <c r="AK79" s="466"/>
      <c r="AL79" s="466"/>
      <c r="AM79" s="466"/>
      <c r="AN79" s="466"/>
      <c r="AO79" s="466" t="b">
        <f t="shared" si="90"/>
        <v>1</v>
      </c>
      <c r="AP79" s="466" t="b">
        <f t="shared" si="90"/>
        <v>1</v>
      </c>
      <c r="AQ79" s="466" t="b">
        <f t="shared" si="90"/>
        <v>1</v>
      </c>
      <c r="AR79" s="466" t="b">
        <f t="shared" si="90"/>
        <v>1</v>
      </c>
      <c r="AS79" s="466" t="b">
        <f t="shared" si="90"/>
        <v>1</v>
      </c>
      <c r="AT79" s="466" t="b">
        <f t="shared" si="90"/>
        <v>1</v>
      </c>
      <c r="AU79" s="466"/>
      <c r="AV79" s="466"/>
      <c r="AW79" s="466" t="b">
        <f t="shared" si="90"/>
        <v>1</v>
      </c>
      <c r="AX79" s="466"/>
      <c r="AY79" s="466"/>
      <c r="AZ79" s="466"/>
      <c r="BA79" s="466"/>
      <c r="BB79" s="466"/>
      <c r="BC79" s="466"/>
      <c r="BD79" s="466"/>
      <c r="BE79" s="466" t="b">
        <f t="shared" si="90"/>
        <v>1</v>
      </c>
      <c r="BF79" s="466" t="b">
        <f t="shared" si="90"/>
        <v>1</v>
      </c>
      <c r="BG79" s="466" t="b">
        <f t="shared" si="90"/>
        <v>1</v>
      </c>
      <c r="BH79" s="466" t="b">
        <f t="shared" si="90"/>
        <v>1</v>
      </c>
      <c r="BI79" s="466" t="b">
        <f t="shared" si="90"/>
        <v>1</v>
      </c>
      <c r="BX79" s="604"/>
      <c r="BY79" s="604"/>
      <c r="BZ79" s="604"/>
      <c r="CA79" s="531"/>
      <c r="CB79" s="607"/>
    </row>
    <row r="80" spans="1:83" s="115" customFormat="1" hidden="1" x14ac:dyDescent="0.3">
      <c r="A80" s="463"/>
      <c r="B80" s="464"/>
      <c r="C80" s="465"/>
      <c r="D80" s="466"/>
      <c r="E80" s="466">
        <f>E22-E10</f>
        <v>674838044.59846449</v>
      </c>
      <c r="F80" s="466"/>
      <c r="G80" s="466"/>
      <c r="H80" s="466"/>
      <c r="I80" s="466"/>
      <c r="J80" s="466"/>
      <c r="K80" s="466"/>
      <c r="L80" s="466"/>
      <c r="M80" s="466"/>
      <c r="N80" s="466"/>
      <c r="O80" s="466"/>
      <c r="P80" s="466"/>
      <c r="Q80" s="466"/>
      <c r="R80" s="466"/>
      <c r="S80" s="466"/>
      <c r="T80" s="466"/>
      <c r="U80" s="466"/>
      <c r="V80" s="466"/>
      <c r="W80" s="466"/>
      <c r="X80" s="466"/>
      <c r="Y80" s="466"/>
      <c r="Z80" s="466"/>
      <c r="AA80" s="466"/>
      <c r="AB80" s="466"/>
      <c r="AC80" s="466"/>
      <c r="AD80" s="466"/>
      <c r="AE80" s="466"/>
      <c r="AF80" s="466"/>
      <c r="AG80" s="466"/>
      <c r="AH80" s="466"/>
      <c r="AI80" s="466"/>
      <c r="AJ80" s="466"/>
      <c r="AK80" s="466"/>
      <c r="AL80" s="466"/>
      <c r="AM80" s="466"/>
      <c r="AN80" s="466"/>
      <c r="AO80" s="466"/>
      <c r="AP80" s="466"/>
      <c r="AQ80" s="466"/>
      <c r="AR80" s="466"/>
      <c r="AS80" s="466"/>
      <c r="AT80" s="466"/>
      <c r="AU80" s="466"/>
      <c r="AV80" s="466"/>
      <c r="AW80" s="466"/>
      <c r="AX80" s="466"/>
      <c r="AY80" s="466"/>
      <c r="AZ80" s="466"/>
      <c r="BA80" s="466"/>
      <c r="BB80" s="466"/>
      <c r="BC80" s="466"/>
      <c r="BD80" s="466"/>
      <c r="BE80" s="466"/>
      <c r="BF80" s="466"/>
      <c r="BG80" s="466"/>
      <c r="BH80" s="466"/>
      <c r="BI80" s="466"/>
      <c r="BX80" s="604"/>
      <c r="BY80" s="604"/>
      <c r="BZ80" s="604"/>
      <c r="CA80" s="531"/>
      <c r="CB80" s="607"/>
    </row>
    <row r="81" spans="1:80" s="115" customFormat="1" hidden="1" x14ac:dyDescent="0.3">
      <c r="A81" s="463"/>
      <c r="B81" s="464"/>
      <c r="C81" s="465"/>
      <c r="D81" s="466"/>
      <c r="E81" s="466"/>
      <c r="F81" s="466"/>
      <c r="G81" s="466"/>
      <c r="H81" s="466"/>
      <c r="I81" s="466"/>
      <c r="J81" s="466"/>
      <c r="K81" s="466"/>
      <c r="L81" s="466"/>
      <c r="M81" s="466"/>
      <c r="N81" s="466"/>
      <c r="O81" s="466"/>
      <c r="P81" s="466"/>
      <c r="Q81" s="466"/>
      <c r="R81" s="466"/>
      <c r="S81" s="466"/>
      <c r="T81" s="466"/>
      <c r="U81" s="466"/>
      <c r="V81" s="466"/>
      <c r="W81" s="466"/>
      <c r="X81" s="466"/>
      <c r="Y81" s="466"/>
      <c r="Z81" s="466"/>
      <c r="AA81" s="466"/>
      <c r="AB81" s="466"/>
      <c r="AC81" s="466">
        <v>824053700</v>
      </c>
      <c r="AD81" s="466"/>
      <c r="AE81" s="466"/>
      <c r="AF81" s="466"/>
      <c r="AG81" s="466"/>
      <c r="AH81" s="466"/>
      <c r="AI81" s="466"/>
      <c r="AJ81" s="466"/>
      <c r="AK81" s="466"/>
      <c r="AL81" s="466"/>
      <c r="AM81" s="466"/>
      <c r="AN81" s="466"/>
      <c r="AO81" s="466"/>
      <c r="AP81" s="466"/>
      <c r="AQ81" s="466"/>
      <c r="AR81" s="466"/>
      <c r="AS81" s="466"/>
      <c r="AT81" s="466"/>
      <c r="AU81" s="466"/>
      <c r="AV81" s="466"/>
      <c r="AW81" s="466">
        <f>AT74-AW74</f>
        <v>1076466.0999999642</v>
      </c>
      <c r="AX81" s="466"/>
      <c r="AY81" s="466"/>
      <c r="AZ81" s="466"/>
      <c r="BA81" s="466"/>
      <c r="BB81" s="466"/>
      <c r="BC81" s="466"/>
      <c r="BD81" s="466"/>
      <c r="BE81" s="466"/>
      <c r="BF81" s="466"/>
      <c r="BG81" s="466"/>
      <c r="BH81" s="466"/>
      <c r="BI81" s="466"/>
      <c r="BX81" s="604"/>
      <c r="BY81" s="604"/>
      <c r="BZ81" s="604"/>
      <c r="CA81" s="531"/>
      <c r="CB81" s="607"/>
    </row>
    <row r="82" spans="1:80" s="115" customFormat="1" hidden="1" x14ac:dyDescent="0.3">
      <c r="A82" s="463"/>
      <c r="B82" s="464"/>
      <c r="C82" s="465"/>
      <c r="D82" s="466"/>
      <c r="E82" s="466"/>
      <c r="F82" s="466">
        <f>F10-F22</f>
        <v>0</v>
      </c>
      <c r="G82" s="466"/>
      <c r="H82" s="466"/>
      <c r="I82" s="466"/>
      <c r="J82" s="466"/>
      <c r="K82" s="466"/>
      <c r="L82" s="466"/>
      <c r="M82" s="466"/>
      <c r="N82" s="466"/>
      <c r="O82" s="466"/>
      <c r="P82" s="466"/>
      <c r="Q82" s="466"/>
      <c r="R82" s="466"/>
      <c r="S82" s="466"/>
      <c r="T82" s="466"/>
      <c r="U82" s="466"/>
      <c r="V82" s="466"/>
      <c r="W82" s="466"/>
      <c r="X82" s="466"/>
      <c r="Y82" s="466"/>
      <c r="Z82" s="466"/>
      <c r="AA82" s="466"/>
      <c r="AB82" s="466"/>
      <c r="AC82" s="466">
        <f>AC81-AE10-AF10-1896500.82-6372300</f>
        <v>777712202.17999995</v>
      </c>
      <c r="AD82" s="466"/>
      <c r="AE82" s="466"/>
      <c r="AF82" s="466"/>
      <c r="AG82" s="466"/>
      <c r="AH82" s="466"/>
      <c r="AI82" s="466"/>
      <c r="AJ82" s="466"/>
      <c r="AK82" s="466"/>
      <c r="AL82" s="466"/>
      <c r="AM82" s="466"/>
      <c r="AN82" s="466"/>
      <c r="AO82" s="466"/>
      <c r="AP82" s="466"/>
      <c r="AQ82" s="466"/>
      <c r="AR82" s="466"/>
      <c r="AS82" s="466"/>
      <c r="AT82" s="466"/>
      <c r="AU82" s="466"/>
      <c r="AV82" s="466"/>
      <c r="AW82" s="466"/>
      <c r="AX82" s="466"/>
      <c r="AY82" s="466"/>
      <c r="AZ82" s="466"/>
      <c r="BA82" s="466"/>
      <c r="BB82" s="466"/>
      <c r="BC82" s="466"/>
      <c r="BD82" s="466"/>
      <c r="BE82" s="466"/>
      <c r="BF82" s="466"/>
      <c r="BG82" s="466"/>
      <c r="BH82" s="466"/>
      <c r="BI82" s="466"/>
      <c r="BX82" s="604"/>
      <c r="BY82" s="604"/>
      <c r="BZ82" s="604"/>
      <c r="CA82" s="531"/>
      <c r="CB82" s="607"/>
    </row>
    <row r="83" spans="1:80" s="115" customFormat="1" hidden="1" x14ac:dyDescent="0.3">
      <c r="A83" s="463"/>
      <c r="B83" s="464"/>
      <c r="C83" s="465"/>
      <c r="D83" s="466"/>
      <c r="E83" s="466"/>
      <c r="F83" s="466" t="b">
        <f>F75=F82</f>
        <v>0</v>
      </c>
      <c r="G83" s="466"/>
      <c r="H83" s="466"/>
      <c r="I83" s="466"/>
      <c r="J83" s="466"/>
      <c r="K83" s="466"/>
      <c r="L83" s="466"/>
      <c r="M83" s="466"/>
      <c r="N83" s="466"/>
      <c r="O83" s="466"/>
      <c r="P83" s="466"/>
      <c r="Q83" s="466"/>
      <c r="R83" s="466"/>
      <c r="S83" s="466"/>
      <c r="T83" s="466"/>
      <c r="U83" s="466"/>
      <c r="V83" s="466"/>
      <c r="W83" s="466"/>
      <c r="X83" s="466"/>
      <c r="Y83" s="466"/>
      <c r="Z83" s="466"/>
      <c r="AA83" s="466"/>
      <c r="AB83" s="466"/>
      <c r="AC83" s="466"/>
      <c r="AD83" s="466"/>
      <c r="AE83" s="466"/>
      <c r="AF83" s="466"/>
      <c r="AG83" s="466"/>
      <c r="AH83" s="466"/>
      <c r="AI83" s="466"/>
      <c r="AJ83" s="466"/>
      <c r="AK83" s="466"/>
      <c r="AL83" s="466"/>
      <c r="AM83" s="466"/>
      <c r="AN83" s="466"/>
      <c r="AO83" s="466"/>
      <c r="AP83" s="466"/>
      <c r="AQ83" s="466"/>
      <c r="AR83" s="466"/>
      <c r="AS83" s="466"/>
      <c r="AT83" s="466"/>
      <c r="AU83" s="466"/>
      <c r="AV83" s="466"/>
      <c r="AW83" s="466"/>
      <c r="AX83" s="466"/>
      <c r="AY83" s="466"/>
      <c r="AZ83" s="466"/>
      <c r="BA83" s="466"/>
      <c r="BB83" s="466"/>
      <c r="BC83" s="466"/>
      <c r="BD83" s="466"/>
      <c r="BE83" s="466"/>
      <c r="BF83" s="466"/>
      <c r="BG83" s="466"/>
      <c r="BH83" s="466"/>
      <c r="BI83" s="466"/>
      <c r="BX83" s="604"/>
      <c r="BY83" s="604"/>
      <c r="BZ83" s="604"/>
      <c r="CA83" s="531"/>
      <c r="CB83" s="607"/>
    </row>
    <row r="84" spans="1:80" s="115" customFormat="1" hidden="1" x14ac:dyDescent="0.3">
      <c r="A84" s="463"/>
      <c r="B84" s="464"/>
      <c r="C84" s="465"/>
      <c r="D84" s="466"/>
      <c r="E84" s="466"/>
      <c r="F84" s="466"/>
      <c r="G84" s="466"/>
      <c r="H84" s="466"/>
      <c r="I84" s="466"/>
      <c r="J84" s="466"/>
      <c r="K84" s="466"/>
      <c r="L84" s="466"/>
      <c r="M84" s="466"/>
      <c r="N84" s="466"/>
      <c r="O84" s="466"/>
      <c r="P84" s="466"/>
      <c r="Q84" s="466"/>
      <c r="R84" s="466"/>
      <c r="S84" s="466"/>
      <c r="T84" s="466"/>
      <c r="U84" s="466"/>
      <c r="V84" s="466"/>
      <c r="W84" s="466"/>
      <c r="X84" s="466"/>
      <c r="Y84" s="466"/>
      <c r="Z84" s="466"/>
      <c r="AA84" s="466"/>
      <c r="AB84" s="466"/>
      <c r="AC84" s="466"/>
      <c r="AD84" s="466"/>
      <c r="AE84" s="466"/>
      <c r="AF84" s="466"/>
      <c r="AG84" s="466"/>
      <c r="AH84" s="466"/>
      <c r="AI84" s="466"/>
      <c r="AJ84" s="466"/>
      <c r="AK84" s="466"/>
      <c r="AL84" s="466"/>
      <c r="AM84" s="466"/>
      <c r="AN84" s="466"/>
      <c r="AO84" s="466"/>
      <c r="AP84" s="466"/>
      <c r="AQ84" s="466"/>
      <c r="AR84" s="466"/>
      <c r="AS84" s="466"/>
      <c r="AT84" s="466"/>
      <c r="AU84" s="466"/>
      <c r="AV84" s="466"/>
      <c r="AW84" s="466"/>
      <c r="AX84" s="466"/>
      <c r="AY84" s="466"/>
      <c r="AZ84" s="466"/>
      <c r="BA84" s="466"/>
      <c r="BB84" s="466"/>
      <c r="BC84" s="466"/>
      <c r="BD84" s="466"/>
      <c r="BE84" s="466"/>
      <c r="BF84" s="466"/>
      <c r="BG84" s="466"/>
      <c r="BH84" s="466"/>
      <c r="BI84" s="466"/>
      <c r="BX84" s="604"/>
      <c r="BY84" s="604"/>
      <c r="BZ84" s="604"/>
      <c r="CA84" s="531"/>
      <c r="CB84" s="607"/>
    </row>
    <row r="85" spans="1:80" s="115" customFormat="1" hidden="1" x14ac:dyDescent="0.3">
      <c r="A85" s="463"/>
      <c r="B85" s="464"/>
      <c r="C85" s="465"/>
      <c r="D85" s="466"/>
      <c r="E85" s="466"/>
      <c r="F85" s="466"/>
      <c r="G85" s="283">
        <v>493797.89</v>
      </c>
      <c r="H85" s="157">
        <v>493797.8900000155</v>
      </c>
      <c r="I85" s="298">
        <v>1.548323780298233E-8</v>
      </c>
      <c r="J85" s="467"/>
      <c r="K85" s="467"/>
      <c r="L85" s="467"/>
      <c r="M85" s="467"/>
      <c r="N85" s="467"/>
      <c r="O85" s="467"/>
      <c r="P85" s="467"/>
      <c r="Q85" s="467"/>
      <c r="R85" s="467"/>
      <c r="S85" s="467"/>
      <c r="T85" s="467"/>
      <c r="U85" s="467"/>
      <c r="V85" s="467"/>
      <c r="W85" s="467"/>
      <c r="X85" s="468"/>
      <c r="Y85" s="468"/>
      <c r="Z85" s="468"/>
      <c r="AA85" s="468"/>
      <c r="AB85" s="468"/>
      <c r="AC85" s="468"/>
      <c r="AD85" s="468"/>
      <c r="AE85" s="468"/>
      <c r="AF85" s="468"/>
      <c r="AG85" s="468"/>
      <c r="AH85" s="468"/>
      <c r="AI85" s="468"/>
      <c r="AJ85" s="468"/>
      <c r="AK85" s="468"/>
      <c r="AL85" s="468"/>
      <c r="AM85" s="468"/>
      <c r="AN85" s="468"/>
      <c r="AO85" s="469"/>
      <c r="AP85" s="469"/>
      <c r="AQ85" s="470"/>
      <c r="AR85" s="470"/>
      <c r="AS85" s="470"/>
      <c r="AT85" s="470"/>
      <c r="AU85" s="470"/>
      <c r="AV85" s="470"/>
      <c r="AW85" s="470"/>
      <c r="AX85" s="470"/>
      <c r="AY85" s="470"/>
      <c r="AZ85" s="470"/>
      <c r="BA85" s="470"/>
      <c r="BB85" s="470"/>
      <c r="BC85" s="470"/>
      <c r="BD85" s="470"/>
      <c r="BE85" s="470"/>
      <c r="BF85" s="470"/>
      <c r="BG85" s="470"/>
      <c r="BH85" s="470"/>
      <c r="BI85" s="470"/>
      <c r="BX85" s="604"/>
      <c r="BY85" s="604"/>
      <c r="BZ85" s="604"/>
      <c r="CA85" s="531"/>
      <c r="CB85" s="607"/>
    </row>
    <row r="86" spans="1:80" ht="19.5" hidden="1" thickBot="1" x14ac:dyDescent="0.35">
      <c r="G86" s="407">
        <v>-2.1200180053710938E-3</v>
      </c>
      <c r="H86" s="304">
        <v>0</v>
      </c>
      <c r="I86" s="377">
        <v>2.1200180053710938E-3</v>
      </c>
      <c r="J86" s="117"/>
      <c r="K86" s="117"/>
      <c r="L86" s="117"/>
      <c r="M86" s="117"/>
      <c r="N86" s="117"/>
      <c r="O86" s="117"/>
      <c r="P86" s="117"/>
      <c r="Q86" s="117"/>
      <c r="R86" s="117"/>
      <c r="S86" s="117"/>
      <c r="T86" s="117"/>
      <c r="U86" s="117"/>
      <c r="V86" s="117"/>
      <c r="W86" s="117"/>
      <c r="X86" s="117"/>
      <c r="Y86" s="117"/>
      <c r="Z86" s="117"/>
      <c r="AA86" s="111">
        <v>49006743.600000001</v>
      </c>
      <c r="AB86" s="117" t="s">
        <v>237</v>
      </c>
      <c r="AC86" s="117"/>
      <c r="AD86" s="117"/>
      <c r="AE86" s="117"/>
      <c r="AF86" s="117"/>
      <c r="AG86" s="117"/>
      <c r="AH86" s="117"/>
      <c r="AI86" s="117"/>
      <c r="AJ86" s="117"/>
      <c r="AK86" s="117"/>
      <c r="AL86" s="117"/>
      <c r="AM86" s="117"/>
      <c r="AN86" s="117"/>
      <c r="AQ86" s="137">
        <f>AQ22-AQ10</f>
        <v>6798979.3600000143</v>
      </c>
      <c r="AR86" s="137">
        <f>AR22-AR10</f>
        <v>6798979.3600000143</v>
      </c>
      <c r="AT86" s="137">
        <f>AT22-AT10</f>
        <v>6652959.8899999857</v>
      </c>
      <c r="AU86" s="137"/>
      <c r="AV86" s="137"/>
      <c r="AW86" s="137">
        <f>AW22-AW10</f>
        <v>5576493.7900000215</v>
      </c>
      <c r="AX86" s="137"/>
      <c r="AY86" s="137"/>
      <c r="AZ86" s="137"/>
      <c r="BA86" s="137"/>
      <c r="BB86" s="137"/>
      <c r="BC86" s="137"/>
      <c r="BD86" s="137"/>
      <c r="BE86" s="137"/>
      <c r="BF86" s="137">
        <f t="shared" ref="BF86:BG86" si="91">BF22-BF10</f>
        <v>146019.47000000626</v>
      </c>
      <c r="BG86" s="137">
        <f t="shared" si="91"/>
        <v>1222485.5699999928</v>
      </c>
    </row>
    <row r="87" spans="1:80" hidden="1" x14ac:dyDescent="0.3">
      <c r="D87" s="111">
        <f>D22-D10</f>
        <v>674838044.59846425</v>
      </c>
      <c r="G87" s="466"/>
      <c r="H87" s="466"/>
      <c r="I87" s="471"/>
      <c r="J87" s="117"/>
      <c r="K87" s="111"/>
      <c r="L87" s="111"/>
      <c r="M87" s="111"/>
      <c r="N87" s="111"/>
      <c r="O87" s="111"/>
      <c r="P87" s="111"/>
      <c r="Q87" s="111"/>
      <c r="R87" s="111"/>
      <c r="S87" s="111"/>
      <c r="T87" s="111"/>
      <c r="U87" s="117"/>
      <c r="V87" s="117"/>
      <c r="W87" s="117"/>
      <c r="X87" s="117"/>
      <c r="Y87" s="117"/>
      <c r="Z87" s="117"/>
      <c r="AA87" s="111">
        <f>AA75-AA86</f>
        <v>4684.7400000318885</v>
      </c>
      <c r="AB87" s="117" t="s">
        <v>197</v>
      </c>
      <c r="AC87" s="117"/>
      <c r="AD87" s="117"/>
      <c r="AE87" s="117"/>
      <c r="AF87" s="117"/>
      <c r="AG87" s="117"/>
      <c r="AH87" s="117"/>
      <c r="AI87" s="117"/>
      <c r="AJ87" s="117"/>
      <c r="AK87" s="117"/>
      <c r="AL87" s="117"/>
      <c r="AM87" s="117"/>
      <c r="AN87" s="117"/>
    </row>
    <row r="88" spans="1:80" hidden="1" x14ac:dyDescent="0.3">
      <c r="G88" s="157">
        <v>493797.8921200037</v>
      </c>
      <c r="H88" s="157">
        <v>493797.8900000155</v>
      </c>
      <c r="I88" s="157">
        <v>-2.1199882030487061E-3</v>
      </c>
      <c r="J88" s="117">
        <v>211</v>
      </c>
      <c r="K88" s="111">
        <v>170582.06</v>
      </c>
      <c r="L88" s="111"/>
      <c r="M88" s="111"/>
      <c r="N88" s="111"/>
      <c r="O88" s="111"/>
      <c r="P88" s="111"/>
      <c r="Q88" s="111"/>
      <c r="R88" s="111"/>
      <c r="S88" s="111"/>
      <c r="T88" s="111"/>
      <c r="U88" s="117"/>
      <c r="V88" s="117"/>
      <c r="W88" s="117"/>
      <c r="X88" s="117"/>
      <c r="Y88" s="117"/>
      <c r="Z88" s="117"/>
      <c r="AA88" s="117"/>
      <c r="AB88" s="117"/>
      <c r="AC88" s="117"/>
      <c r="AD88" s="117"/>
      <c r="AE88" s="117"/>
      <c r="AF88" s="117"/>
      <c r="AG88" s="117"/>
      <c r="AH88" s="117"/>
      <c r="AI88" s="117"/>
      <c r="AJ88" s="117"/>
      <c r="AK88" s="117"/>
      <c r="AL88" s="117"/>
      <c r="AM88" s="117"/>
      <c r="AN88" s="117"/>
      <c r="AO88" s="117">
        <v>211</v>
      </c>
      <c r="AP88" s="137">
        <v>109680.99846390169</v>
      </c>
      <c r="AT88" s="263"/>
      <c r="AU88" s="263"/>
      <c r="AV88" s="263"/>
      <c r="AW88" s="263"/>
      <c r="AX88" s="263"/>
      <c r="AY88" s="263"/>
      <c r="AZ88" s="263"/>
      <c r="BA88" s="263"/>
      <c r="BB88" s="263"/>
      <c r="BC88" s="263"/>
      <c r="BD88" s="263"/>
      <c r="BE88" s="263"/>
      <c r="BF88" s="137">
        <v>2818.05</v>
      </c>
      <c r="BG88" s="137"/>
      <c r="BH88" s="137"/>
      <c r="BI88" s="151">
        <v>221</v>
      </c>
    </row>
    <row r="89" spans="1:80" hidden="1" x14ac:dyDescent="0.3">
      <c r="G89" s="466">
        <v>493797.88999998569</v>
      </c>
      <c r="H89" s="466">
        <v>493797.8900000155</v>
      </c>
      <c r="I89" s="466">
        <v>2.9802322387695313E-8</v>
      </c>
      <c r="J89" s="117">
        <v>213</v>
      </c>
      <c r="K89" s="111">
        <f>K88*30.2%+0.01</f>
        <v>51515.792119999998</v>
      </c>
      <c r="L89" s="111"/>
      <c r="M89" s="111"/>
      <c r="N89" s="111"/>
      <c r="O89" s="111"/>
      <c r="P89" s="111"/>
      <c r="Q89" s="111"/>
      <c r="R89" s="111"/>
      <c r="S89" s="111"/>
      <c r="T89" s="111"/>
      <c r="U89" s="117"/>
      <c r="V89" s="117"/>
      <c r="W89" s="117"/>
      <c r="X89" s="117"/>
      <c r="Y89" s="117"/>
      <c r="Z89" s="117"/>
      <c r="AA89" s="117"/>
      <c r="AB89" s="117"/>
      <c r="AC89" s="117"/>
      <c r="AD89" s="117"/>
      <c r="AE89" s="117"/>
      <c r="AF89" s="117"/>
      <c r="AG89" s="117"/>
      <c r="AH89" s="117"/>
      <c r="AI89" s="117"/>
      <c r="AJ89" s="117"/>
      <c r="AK89" s="117"/>
      <c r="AL89" s="117"/>
      <c r="AM89" s="117"/>
      <c r="AN89" s="117"/>
      <c r="AO89" s="117">
        <v>213</v>
      </c>
      <c r="AP89" s="137">
        <v>33123.660000000003</v>
      </c>
      <c r="AT89" s="263"/>
      <c r="AU89" s="263"/>
      <c r="AV89" s="263"/>
      <c r="AW89" s="263"/>
      <c r="AX89" s="263"/>
      <c r="AY89" s="263"/>
      <c r="AZ89" s="263"/>
      <c r="BA89" s="263"/>
      <c r="BB89" s="263"/>
      <c r="BC89" s="263"/>
      <c r="BD89" s="263"/>
      <c r="BE89" s="263"/>
      <c r="BF89" s="137">
        <v>63920</v>
      </c>
      <c r="BG89" s="137"/>
      <c r="BH89" s="137"/>
      <c r="BI89" s="151">
        <v>310</v>
      </c>
    </row>
    <row r="90" spans="1:80" hidden="1" x14ac:dyDescent="0.3">
      <c r="G90" s="466" t="b">
        <v>0</v>
      </c>
      <c r="H90" s="466" t="b">
        <v>1</v>
      </c>
      <c r="I90" s="466" t="b">
        <v>0</v>
      </c>
      <c r="J90" s="117">
        <v>226</v>
      </c>
      <c r="K90" s="111">
        <v>176906.04</v>
      </c>
      <c r="L90" s="111"/>
      <c r="M90" s="111"/>
      <c r="N90" s="111"/>
      <c r="O90" s="111"/>
      <c r="P90" s="111"/>
      <c r="Q90" s="111"/>
      <c r="R90" s="111"/>
      <c r="S90" s="111"/>
      <c r="T90" s="111"/>
      <c r="U90" s="117"/>
      <c r="V90" s="117"/>
      <c r="W90" s="117"/>
      <c r="X90" s="111"/>
      <c r="Y90" s="111"/>
      <c r="Z90" s="111"/>
      <c r="AA90" s="111"/>
      <c r="AB90" s="117"/>
      <c r="AC90" s="117"/>
      <c r="AD90" s="117"/>
      <c r="AE90" s="117"/>
      <c r="AF90" s="117"/>
      <c r="AG90" s="117"/>
      <c r="AH90" s="117"/>
      <c r="AI90" s="117"/>
      <c r="AJ90" s="117"/>
      <c r="AK90" s="117"/>
      <c r="AL90" s="117"/>
      <c r="AM90" s="117"/>
      <c r="AN90" s="117"/>
      <c r="AP90" s="137">
        <f>SUM(AP88:AP89)</f>
        <v>142804.65846390169</v>
      </c>
      <c r="AT90" s="264">
        <f>AT74</f>
        <v>6652959.8899999857</v>
      </c>
      <c r="AU90" s="264"/>
      <c r="AV90" s="264"/>
      <c r="AW90" s="264"/>
      <c r="AX90" s="264"/>
      <c r="AY90" s="264"/>
      <c r="AZ90" s="264"/>
      <c r="BA90" s="264"/>
      <c r="BB90" s="264"/>
      <c r="BC90" s="264"/>
      <c r="BD90" s="264"/>
      <c r="BE90" s="264"/>
      <c r="BF90" s="137">
        <v>1155747.52</v>
      </c>
      <c r="BG90" s="137"/>
      <c r="BH90" s="137"/>
      <c r="BI90" s="151">
        <v>340</v>
      </c>
    </row>
    <row r="91" spans="1:80" hidden="1" x14ac:dyDescent="0.3">
      <c r="G91" s="117"/>
      <c r="H91" s="117"/>
      <c r="I91" s="117"/>
      <c r="J91" s="117">
        <v>340</v>
      </c>
      <c r="K91" s="111">
        <v>94794</v>
      </c>
      <c r="L91" s="111"/>
      <c r="M91" s="111"/>
      <c r="N91" s="111"/>
      <c r="O91" s="111"/>
      <c r="P91" s="111"/>
      <c r="Q91" s="111"/>
      <c r="R91" s="111"/>
      <c r="S91" s="111"/>
      <c r="T91" s="111"/>
      <c r="U91" s="117"/>
      <c r="V91" s="117"/>
      <c r="W91" s="117"/>
      <c r="X91" s="117"/>
      <c r="Y91" s="117"/>
      <c r="Z91" s="117"/>
      <c r="AA91" s="117"/>
      <c r="AB91" s="117"/>
      <c r="AC91" s="117"/>
      <c r="AD91" s="117"/>
      <c r="AE91" s="117"/>
      <c r="AF91" s="117"/>
      <c r="AG91" s="117"/>
      <c r="AH91" s="117"/>
      <c r="AI91" s="117"/>
      <c r="AJ91" s="117"/>
      <c r="AK91" s="117"/>
      <c r="AL91" s="117"/>
      <c r="AM91" s="117"/>
      <c r="AN91" s="117"/>
    </row>
    <row r="92" spans="1:80" s="531" customFormat="1" hidden="1" x14ac:dyDescent="0.3">
      <c r="C92" s="532"/>
      <c r="H92" s="535">
        <f>H22-H85</f>
        <v>269539200</v>
      </c>
      <c r="K92" s="533">
        <f>SUM(K88:K91)</f>
        <v>493797.89211999997</v>
      </c>
      <c r="L92" s="533"/>
      <c r="M92" s="533"/>
      <c r="N92" s="533"/>
      <c r="O92" s="533"/>
      <c r="P92" s="533"/>
      <c r="Q92" s="533"/>
      <c r="R92" s="533"/>
      <c r="S92" s="533"/>
      <c r="T92" s="533"/>
      <c r="AP92" s="534"/>
      <c r="AQ92" s="534"/>
      <c r="AR92" s="534"/>
      <c r="AS92" s="534"/>
      <c r="CB92" s="602"/>
    </row>
    <row r="93" spans="1:80" s="531" customFormat="1" hidden="1" x14ac:dyDescent="0.3">
      <c r="C93" s="532"/>
      <c r="G93" s="531" t="s">
        <v>450</v>
      </c>
      <c r="H93" s="535">
        <f>212239200+57300000</f>
        <v>269539200</v>
      </c>
      <c r="I93" s="533">
        <f>H93+H85</f>
        <v>270032997.88999999</v>
      </c>
      <c r="K93" s="533"/>
      <c r="L93" s="533"/>
      <c r="M93" s="533"/>
      <c r="N93" s="533"/>
      <c r="O93" s="533"/>
      <c r="P93" s="533"/>
      <c r="Q93" s="533"/>
      <c r="R93" s="533"/>
      <c r="S93" s="533"/>
      <c r="T93" s="533"/>
      <c r="AP93" s="534"/>
      <c r="AQ93" s="534"/>
      <c r="AR93" s="534"/>
      <c r="AS93" s="534"/>
      <c r="CB93" s="602"/>
    </row>
    <row r="94" spans="1:80" hidden="1" x14ac:dyDescent="0.3">
      <c r="G94" s="117"/>
      <c r="H94" s="111">
        <f>H93-H92</f>
        <v>0</v>
      </c>
      <c r="I94" s="117"/>
      <c r="J94" s="117"/>
      <c r="K94" s="111"/>
      <c r="L94" s="111"/>
      <c r="M94" s="111"/>
      <c r="N94" s="111"/>
      <c r="O94" s="111"/>
      <c r="P94" s="111"/>
      <c r="Q94" s="111"/>
      <c r="R94" s="111"/>
      <c r="S94" s="111"/>
      <c r="T94" s="111"/>
      <c r="U94" s="117"/>
      <c r="V94" s="117"/>
      <c r="W94" s="117"/>
      <c r="X94" s="117"/>
      <c r="Y94" s="117"/>
      <c r="Z94" s="117"/>
      <c r="AA94" s="117"/>
      <c r="AB94" s="117"/>
      <c r="AC94" s="117"/>
      <c r="AD94" s="117"/>
      <c r="AE94" s="117"/>
      <c r="AF94" s="117"/>
      <c r="AG94" s="117"/>
      <c r="AH94" s="117"/>
      <c r="AI94" s="117"/>
      <c r="AJ94" s="117"/>
      <c r="AK94" s="117"/>
      <c r="AL94" s="117"/>
      <c r="AM94" s="117"/>
      <c r="AN94" s="117"/>
    </row>
    <row r="95" spans="1:80" hidden="1" x14ac:dyDescent="0.3">
      <c r="G95" s="117"/>
      <c r="H95" s="117"/>
      <c r="I95" s="117"/>
      <c r="J95" s="117"/>
      <c r="K95" s="117"/>
      <c r="L95" s="117"/>
      <c r="M95" s="117"/>
      <c r="N95" s="117"/>
      <c r="O95" s="117"/>
      <c r="P95" s="117"/>
      <c r="Q95" s="117"/>
      <c r="R95" s="117"/>
      <c r="S95" s="117"/>
      <c r="T95" s="117"/>
      <c r="U95" s="117"/>
      <c r="V95" s="117"/>
      <c r="W95" s="117"/>
      <c r="X95" s="117"/>
      <c r="Y95" s="117"/>
      <c r="Z95" s="117"/>
      <c r="AA95" s="117"/>
      <c r="AB95" s="117"/>
      <c r="AC95" s="117"/>
      <c r="AD95" s="117"/>
      <c r="AE95" s="117"/>
      <c r="AF95" s="117"/>
      <c r="AG95" s="117"/>
      <c r="AH95" s="117"/>
      <c r="AI95" s="117"/>
      <c r="AJ95" s="117"/>
      <c r="AK95" s="117"/>
      <c r="AL95" s="117"/>
      <c r="AM95" s="117"/>
      <c r="AN95" s="117"/>
    </row>
    <row r="96" spans="1:80" hidden="1" x14ac:dyDescent="0.3">
      <c r="E96" s="111">
        <f>E44-AA44-AR44</f>
        <v>853871506.10000014</v>
      </c>
      <c r="G96" s="117"/>
      <c r="H96" s="117"/>
      <c r="I96" s="117"/>
      <c r="J96" s="117"/>
      <c r="K96" s="117"/>
      <c r="L96" s="117"/>
      <c r="M96" s="117"/>
      <c r="N96" s="117"/>
      <c r="O96" s="117"/>
      <c r="P96" s="117"/>
      <c r="Q96" s="117"/>
      <c r="R96" s="117"/>
      <c r="S96" s="117"/>
      <c r="T96" s="117"/>
      <c r="U96" s="117"/>
      <c r="V96" s="117"/>
      <c r="W96" s="117"/>
      <c r="X96" s="117"/>
      <c r="Y96" s="117"/>
      <c r="Z96" s="117"/>
      <c r="AA96" s="117"/>
      <c r="AB96" s="117"/>
      <c r="AC96" s="117"/>
      <c r="AD96" s="117"/>
      <c r="AE96" s="117"/>
      <c r="AF96" s="117"/>
      <c r="AG96" s="117"/>
      <c r="AH96" s="117"/>
      <c r="AI96" s="117"/>
      <c r="AJ96" s="117"/>
      <c r="AK96" s="117"/>
      <c r="AL96" s="117"/>
      <c r="AM96" s="117"/>
      <c r="AN96" s="117"/>
    </row>
    <row r="97" spans="7:80" hidden="1" x14ac:dyDescent="0.3">
      <c r="G97" s="117"/>
      <c r="H97" s="117"/>
      <c r="I97" s="117"/>
      <c r="J97" s="117"/>
      <c r="K97" s="117"/>
      <c r="L97" s="117"/>
      <c r="M97" s="117"/>
      <c r="N97" s="117"/>
      <c r="O97" s="117"/>
      <c r="P97" s="117"/>
      <c r="Q97" s="117"/>
      <c r="R97" s="117"/>
      <c r="S97" s="117"/>
      <c r="T97" s="117"/>
      <c r="U97" s="117"/>
      <c r="V97" s="117"/>
      <c r="W97" s="117"/>
      <c r="X97" s="117"/>
      <c r="Y97" s="117"/>
      <c r="Z97" s="117"/>
      <c r="AA97" s="117"/>
      <c r="AB97" s="117"/>
      <c r="AC97" s="117"/>
      <c r="AD97" s="117"/>
      <c r="AE97" s="117"/>
      <c r="AF97" s="117"/>
      <c r="AG97" s="117"/>
      <c r="AH97" s="117"/>
      <c r="AI97" s="117"/>
      <c r="AJ97" s="117"/>
      <c r="AK97" s="117"/>
      <c r="AL97" s="117"/>
      <c r="AM97" s="117"/>
      <c r="AN97" s="117"/>
    </row>
    <row r="98" spans="7:80" x14ac:dyDescent="0.3">
      <c r="G98" s="117"/>
      <c r="H98" s="117"/>
      <c r="I98" s="117"/>
      <c r="J98" s="117"/>
      <c r="K98" s="117"/>
      <c r="L98" s="117"/>
      <c r="M98" s="117"/>
      <c r="N98" s="117"/>
      <c r="O98" s="117"/>
      <c r="P98" s="117"/>
      <c r="Q98" s="117"/>
      <c r="R98" s="117"/>
      <c r="S98" s="117"/>
      <c r="T98" s="117"/>
      <c r="U98" s="117"/>
      <c r="V98" s="117"/>
      <c r="W98" s="117"/>
      <c r="X98" s="117"/>
      <c r="Y98" s="117"/>
      <c r="Z98" s="117"/>
      <c r="AA98" s="117"/>
      <c r="AB98" s="117"/>
      <c r="AC98" s="117"/>
      <c r="AD98" s="117"/>
      <c r="AE98" s="117"/>
      <c r="AF98" s="117"/>
      <c r="AG98" s="117"/>
      <c r="AH98" s="117"/>
      <c r="AI98" s="117"/>
      <c r="AJ98" s="117"/>
      <c r="AK98" s="117"/>
      <c r="AL98" s="117"/>
      <c r="AM98" s="117"/>
      <c r="AN98" s="117"/>
      <c r="CB98" s="605"/>
    </row>
    <row r="99" spans="7:80" x14ac:dyDescent="0.3">
      <c r="G99" s="117"/>
      <c r="H99" s="117"/>
      <c r="I99" s="117"/>
      <c r="J99" s="117"/>
      <c r="K99" s="117"/>
      <c r="L99" s="117"/>
      <c r="M99" s="117"/>
      <c r="N99" s="117"/>
      <c r="O99" s="117"/>
      <c r="P99" s="117"/>
      <c r="Q99" s="117"/>
      <c r="R99" s="117"/>
      <c r="S99" s="117"/>
      <c r="T99" s="117"/>
      <c r="U99" s="117"/>
      <c r="V99" s="117"/>
      <c r="W99" s="117"/>
      <c r="X99" s="117"/>
      <c r="Y99" s="117"/>
      <c r="Z99" s="117"/>
      <c r="AA99" s="117"/>
      <c r="AB99" s="117"/>
      <c r="AC99" s="117"/>
      <c r="AD99" s="117"/>
      <c r="AE99" s="117"/>
      <c r="AF99" s="117"/>
      <c r="AG99" s="117"/>
      <c r="AH99" s="117"/>
      <c r="AI99" s="117"/>
      <c r="AJ99" s="117"/>
      <c r="AK99" s="117"/>
      <c r="AL99" s="117"/>
      <c r="AM99" s="117"/>
      <c r="AN99" s="117"/>
      <c r="AV99" s="111">
        <f>AV22</f>
        <v>21072590.979999997</v>
      </c>
      <c r="CA99" s="533">
        <f>CA74-AQ74</f>
        <v>0</v>
      </c>
      <c r="CB99" s="605">
        <v>261252050.31999999</v>
      </c>
    </row>
    <row r="100" spans="7:80" x14ac:dyDescent="0.3">
      <c r="G100" s="117"/>
      <c r="H100" s="117"/>
      <c r="I100" s="117"/>
      <c r="J100" s="117"/>
      <c r="K100" s="117"/>
      <c r="L100" s="117"/>
      <c r="M100" s="117"/>
      <c r="N100" s="117"/>
      <c r="O100" s="117"/>
      <c r="P100" s="117"/>
      <c r="Q100" s="117"/>
      <c r="R100" s="117"/>
      <c r="S100" s="117"/>
      <c r="T100" s="117"/>
      <c r="U100" s="117"/>
      <c r="V100" s="117"/>
      <c r="W100" s="117"/>
      <c r="X100" s="117"/>
      <c r="Y100" s="117"/>
      <c r="Z100" s="117"/>
      <c r="AA100" s="117"/>
      <c r="AB100" s="117"/>
      <c r="AC100" s="117"/>
      <c r="AD100" s="117"/>
      <c r="AE100" s="117"/>
      <c r="AF100" s="117"/>
      <c r="AG100" s="117"/>
      <c r="AH100" s="117"/>
      <c r="AI100" s="117"/>
      <c r="AJ100" s="117"/>
      <c r="AK100" s="117"/>
      <c r="AL100" s="117"/>
      <c r="AM100" s="117"/>
      <c r="AN100" s="117"/>
      <c r="AV100" s="111">
        <v>21072590.979999892</v>
      </c>
      <c r="CB100" s="605">
        <f>CB99-CB75</f>
        <v>-971567.62999999523</v>
      </c>
    </row>
    <row r="101" spans="7:80" x14ac:dyDescent="0.3">
      <c r="G101" s="117"/>
      <c r="H101" s="117"/>
      <c r="I101" s="117"/>
      <c r="J101" s="117"/>
      <c r="K101" s="117"/>
      <c r="L101" s="117"/>
      <c r="M101" s="117"/>
      <c r="N101" s="117"/>
      <c r="O101" s="117"/>
      <c r="P101" s="117"/>
      <c r="Q101" s="117"/>
      <c r="R101" s="117"/>
      <c r="S101" s="117"/>
      <c r="T101" s="117"/>
      <c r="U101" s="117"/>
      <c r="V101" s="117"/>
      <c r="W101" s="117"/>
      <c r="X101" s="117"/>
      <c r="Y101" s="117"/>
      <c r="Z101" s="117"/>
      <c r="AA101" s="117"/>
      <c r="AB101" s="117"/>
      <c r="AC101" s="117"/>
      <c r="AD101" s="117"/>
      <c r="AE101" s="117"/>
      <c r="AF101" s="117"/>
      <c r="AG101" s="117"/>
      <c r="AH101" s="117"/>
      <c r="AI101" s="117"/>
      <c r="AJ101" s="117"/>
      <c r="AK101" s="117"/>
      <c r="AL101" s="117"/>
      <c r="AM101" s="117"/>
      <c r="AN101" s="117"/>
      <c r="AV101" s="111">
        <f>AV99-AV100</f>
        <v>1.0430812835693359E-7</v>
      </c>
    </row>
    <row r="102" spans="7:80" x14ac:dyDescent="0.3">
      <c r="G102" s="117"/>
      <c r="H102" s="117"/>
      <c r="I102" s="117"/>
      <c r="J102" s="117"/>
      <c r="K102" s="117"/>
      <c r="L102" s="117"/>
      <c r="M102" s="117"/>
      <c r="N102" s="117"/>
      <c r="O102" s="117"/>
      <c r="P102" s="117"/>
      <c r="Q102" s="117"/>
      <c r="R102" s="117"/>
      <c r="S102" s="117"/>
      <c r="T102" s="117"/>
      <c r="U102" s="117"/>
      <c r="V102" s="117"/>
      <c r="W102" s="117"/>
      <c r="X102" s="117"/>
      <c r="Y102" s="117"/>
      <c r="Z102" s="117"/>
      <c r="AA102" s="117"/>
      <c r="AB102" s="117"/>
      <c r="AC102" s="117"/>
      <c r="AD102" s="117"/>
      <c r="AE102" s="117"/>
      <c r="AF102" s="117"/>
      <c r="AG102" s="117"/>
      <c r="AH102" s="117"/>
      <c r="AI102" s="117"/>
      <c r="AJ102" s="117"/>
      <c r="AK102" s="117"/>
      <c r="AL102" s="117"/>
      <c r="AM102" s="117"/>
      <c r="AN102" s="117"/>
    </row>
    <row r="103" spans="7:80" x14ac:dyDescent="0.3">
      <c r="G103" s="117"/>
      <c r="H103" s="117"/>
      <c r="I103" s="117"/>
      <c r="J103" s="117"/>
      <c r="K103" s="117"/>
      <c r="L103" s="117"/>
      <c r="M103" s="117"/>
      <c r="N103" s="117"/>
      <c r="O103" s="117"/>
      <c r="P103" s="117"/>
      <c r="Q103" s="117"/>
      <c r="R103" s="117"/>
      <c r="S103" s="117"/>
      <c r="T103" s="117"/>
      <c r="U103" s="117"/>
      <c r="V103" s="117"/>
      <c r="W103" s="117"/>
      <c r="X103" s="117"/>
      <c r="Y103" s="117"/>
      <c r="Z103" s="117"/>
      <c r="AA103" s="117"/>
      <c r="AB103" s="117"/>
      <c r="AC103" s="117"/>
      <c r="AD103" s="117"/>
      <c r="AE103" s="117"/>
      <c r="AF103" s="117"/>
      <c r="AG103" s="117"/>
      <c r="AH103" s="117"/>
      <c r="AI103" s="117"/>
      <c r="AJ103" s="117"/>
      <c r="AK103" s="117"/>
      <c r="AL103" s="117"/>
      <c r="AM103" s="117"/>
      <c r="AN103" s="117"/>
    </row>
    <row r="104" spans="7:80" x14ac:dyDescent="0.3">
      <c r="G104" s="117"/>
      <c r="H104" s="117"/>
      <c r="I104" s="117"/>
      <c r="J104" s="117"/>
      <c r="K104" s="117"/>
      <c r="L104" s="117"/>
      <c r="M104" s="117"/>
      <c r="N104" s="117"/>
      <c r="O104" s="117"/>
      <c r="P104" s="117"/>
      <c r="Q104" s="117"/>
      <c r="R104" s="117"/>
      <c r="S104" s="117"/>
      <c r="T104" s="117"/>
      <c r="U104" s="117"/>
      <c r="V104" s="117"/>
      <c r="W104" s="117"/>
      <c r="X104" s="117"/>
      <c r="Y104" s="117"/>
      <c r="Z104" s="117"/>
      <c r="AA104" s="117"/>
      <c r="AB104" s="117"/>
      <c r="AC104" s="117"/>
      <c r="AD104" s="117"/>
      <c r="AE104" s="117"/>
      <c r="AF104" s="117"/>
      <c r="AG104" s="117"/>
      <c r="AH104" s="117"/>
      <c r="AI104" s="117"/>
      <c r="AJ104" s="117"/>
      <c r="AK104" s="117"/>
      <c r="AL104" s="117"/>
      <c r="AM104" s="117"/>
      <c r="AN104" s="117"/>
      <c r="AV104" s="111">
        <f>AV25-'Лист2 (2)'!F11</f>
        <v>-5011.3934255037457</v>
      </c>
    </row>
    <row r="105" spans="7:80" x14ac:dyDescent="0.3">
      <c r="G105" s="117"/>
      <c r="H105" s="117"/>
      <c r="I105" s="117"/>
      <c r="J105" s="117"/>
      <c r="K105" s="117"/>
      <c r="L105" s="117"/>
      <c r="M105" s="117"/>
      <c r="N105" s="117"/>
      <c r="O105" s="117"/>
      <c r="P105" s="117"/>
      <c r="Q105" s="117"/>
      <c r="R105" s="117"/>
      <c r="S105" s="117"/>
      <c r="T105" s="117"/>
      <c r="U105" s="117"/>
      <c r="V105" s="117"/>
      <c r="W105" s="117"/>
      <c r="X105" s="117"/>
      <c r="Y105" s="117"/>
      <c r="Z105" s="117"/>
      <c r="AA105" s="117"/>
      <c r="AB105" s="117"/>
      <c r="AC105" s="117"/>
      <c r="AD105" s="117"/>
      <c r="AE105" s="117"/>
      <c r="AF105" s="117"/>
      <c r="AG105" s="117"/>
      <c r="AH105" s="117"/>
      <c r="AI105" s="117"/>
      <c r="AJ105" s="117"/>
      <c r="AK105" s="117"/>
      <c r="AL105" s="117"/>
      <c r="AM105" s="117"/>
      <c r="AN105" s="117"/>
    </row>
    <row r="106" spans="7:80" x14ac:dyDescent="0.3">
      <c r="G106" s="117"/>
      <c r="H106" s="117"/>
      <c r="I106" s="117"/>
      <c r="J106" s="117"/>
      <c r="K106" s="117"/>
      <c r="L106" s="117"/>
      <c r="M106" s="117"/>
      <c r="N106" s="117"/>
      <c r="O106" s="117"/>
      <c r="P106" s="117"/>
      <c r="Q106" s="117"/>
      <c r="R106" s="117"/>
      <c r="S106" s="117"/>
      <c r="T106" s="117"/>
      <c r="U106" s="117"/>
      <c r="V106" s="117"/>
      <c r="W106" s="117"/>
      <c r="X106" s="117"/>
      <c r="Y106" s="117"/>
      <c r="Z106" s="117"/>
      <c r="AA106" s="117"/>
      <c r="AB106" s="117"/>
      <c r="AC106" s="117"/>
      <c r="AD106" s="117"/>
      <c r="AE106" s="117"/>
      <c r="AF106" s="117"/>
      <c r="AG106" s="117"/>
      <c r="AH106" s="117"/>
      <c r="AI106" s="117"/>
      <c r="AJ106" s="117"/>
      <c r="AK106" s="117"/>
      <c r="AL106" s="117"/>
      <c r="AM106" s="117"/>
      <c r="AN106" s="117"/>
    </row>
    <row r="107" spans="7:80" x14ac:dyDescent="0.3">
      <c r="G107" s="117"/>
      <c r="H107" s="117"/>
      <c r="I107" s="117"/>
      <c r="J107" s="117"/>
      <c r="K107" s="117"/>
      <c r="L107" s="117"/>
      <c r="M107" s="117"/>
      <c r="N107" s="117"/>
      <c r="O107" s="117"/>
      <c r="P107" s="117"/>
      <c r="Q107" s="117"/>
      <c r="R107" s="117"/>
      <c r="S107" s="117"/>
      <c r="T107" s="117"/>
      <c r="U107" s="117"/>
      <c r="V107" s="117"/>
      <c r="W107" s="117"/>
      <c r="X107" s="117"/>
      <c r="Y107" s="117"/>
      <c r="Z107" s="117"/>
      <c r="AA107" s="117"/>
      <c r="AB107" s="117"/>
      <c r="AC107" s="117"/>
      <c r="AD107" s="117"/>
      <c r="AE107" s="117"/>
      <c r="AF107" s="117"/>
      <c r="AG107" s="117"/>
      <c r="AH107" s="117"/>
      <c r="AI107" s="117"/>
      <c r="AJ107" s="117"/>
      <c r="AK107" s="117"/>
      <c r="AL107" s="117"/>
      <c r="AM107" s="117"/>
      <c r="AN107" s="117"/>
    </row>
    <row r="108" spans="7:80" x14ac:dyDescent="0.3">
      <c r="G108" s="117"/>
      <c r="H108" s="117"/>
      <c r="I108" s="117"/>
      <c r="J108" s="117"/>
      <c r="K108" s="117"/>
      <c r="L108" s="117"/>
      <c r="M108" s="117"/>
      <c r="N108" s="117"/>
      <c r="O108" s="117"/>
      <c r="P108" s="117"/>
      <c r="Q108" s="117"/>
      <c r="R108" s="117"/>
      <c r="S108" s="117"/>
      <c r="T108" s="117"/>
      <c r="U108" s="117"/>
      <c r="V108" s="117"/>
      <c r="W108" s="117"/>
      <c r="X108" s="117"/>
      <c r="Y108" s="117"/>
      <c r="Z108" s="117"/>
      <c r="AA108" s="117"/>
      <c r="AB108" s="117"/>
      <c r="AC108" s="117"/>
      <c r="AD108" s="117"/>
      <c r="AE108" s="117"/>
      <c r="AF108" s="117"/>
      <c r="AG108" s="117"/>
      <c r="AH108" s="117"/>
      <c r="AI108" s="117"/>
      <c r="AJ108" s="117"/>
      <c r="AK108" s="117"/>
      <c r="AL108" s="117"/>
      <c r="AM108" s="117"/>
      <c r="AN108" s="117"/>
    </row>
    <row r="109" spans="7:80" x14ac:dyDescent="0.3">
      <c r="G109" s="117"/>
      <c r="H109" s="117"/>
      <c r="I109" s="117"/>
      <c r="J109" s="117"/>
      <c r="K109" s="117"/>
      <c r="L109" s="117"/>
      <c r="M109" s="117"/>
      <c r="N109" s="117"/>
      <c r="O109" s="117"/>
      <c r="P109" s="117"/>
      <c r="Q109" s="117"/>
      <c r="R109" s="117"/>
      <c r="S109" s="117"/>
      <c r="T109" s="117"/>
      <c r="U109" s="117"/>
      <c r="V109" s="117"/>
      <c r="W109" s="117"/>
      <c r="X109" s="117"/>
      <c r="Y109" s="117"/>
      <c r="Z109" s="117"/>
      <c r="AA109" s="117"/>
      <c r="AB109" s="117"/>
      <c r="AC109" s="117"/>
      <c r="AD109" s="117"/>
      <c r="AE109" s="117"/>
      <c r="AF109" s="117"/>
      <c r="AG109" s="117"/>
      <c r="AH109" s="117"/>
      <c r="AI109" s="117"/>
      <c r="AJ109" s="117"/>
      <c r="AK109" s="117"/>
      <c r="AL109" s="117"/>
      <c r="AM109" s="117"/>
      <c r="AN109" s="117"/>
    </row>
    <row r="110" spans="7:80" x14ac:dyDescent="0.3">
      <c r="G110" s="117"/>
      <c r="H110" s="117"/>
      <c r="I110" s="117"/>
      <c r="J110" s="117"/>
      <c r="K110" s="117"/>
      <c r="L110" s="117"/>
      <c r="M110" s="117"/>
      <c r="N110" s="117"/>
      <c r="O110" s="117"/>
      <c r="P110" s="117"/>
      <c r="Q110" s="117"/>
      <c r="R110" s="117"/>
      <c r="S110" s="117"/>
      <c r="T110" s="117"/>
      <c r="U110" s="117"/>
      <c r="V110" s="117"/>
      <c r="W110" s="117"/>
      <c r="X110" s="117"/>
      <c r="Y110" s="117"/>
      <c r="Z110" s="117"/>
      <c r="AA110" s="117"/>
      <c r="AB110" s="117"/>
      <c r="AC110" s="117"/>
      <c r="AD110" s="117"/>
      <c r="AE110" s="117"/>
      <c r="AF110" s="117"/>
      <c r="AG110" s="117"/>
      <c r="AH110" s="117"/>
      <c r="AI110" s="117"/>
      <c r="AJ110" s="117"/>
      <c r="AK110" s="117"/>
      <c r="AL110" s="117"/>
      <c r="AM110" s="117"/>
      <c r="AN110" s="117"/>
    </row>
    <row r="111" spans="7:80" x14ac:dyDescent="0.3">
      <c r="G111" s="117"/>
      <c r="H111" s="117"/>
      <c r="I111" s="117"/>
      <c r="J111" s="117"/>
      <c r="K111" s="117"/>
      <c r="L111" s="117"/>
      <c r="M111" s="117"/>
      <c r="N111" s="117"/>
      <c r="O111" s="117"/>
      <c r="P111" s="117"/>
      <c r="Q111" s="117"/>
      <c r="R111" s="117"/>
      <c r="S111" s="117"/>
      <c r="T111" s="117"/>
      <c r="U111" s="117"/>
      <c r="V111" s="117"/>
      <c r="W111" s="117"/>
      <c r="X111" s="117"/>
      <c r="Y111" s="117"/>
      <c r="Z111" s="117"/>
      <c r="AA111" s="117"/>
      <c r="AB111" s="117"/>
      <c r="AC111" s="117"/>
      <c r="AD111" s="117"/>
      <c r="AE111" s="117"/>
      <c r="AF111" s="117"/>
      <c r="AG111" s="117"/>
      <c r="AH111" s="117"/>
      <c r="AI111" s="117"/>
      <c r="AJ111" s="117"/>
      <c r="AK111" s="117"/>
      <c r="AL111" s="117"/>
      <c r="AM111" s="117"/>
      <c r="AN111" s="117"/>
    </row>
    <row r="112" spans="7:80" x14ac:dyDescent="0.3">
      <c r="G112" s="117"/>
      <c r="H112" s="117"/>
      <c r="I112" s="117"/>
      <c r="J112" s="117"/>
      <c r="K112" s="117"/>
      <c r="L112" s="117"/>
      <c r="M112" s="117"/>
      <c r="N112" s="117"/>
      <c r="O112" s="117"/>
      <c r="P112" s="117"/>
      <c r="Q112" s="117"/>
      <c r="R112" s="117"/>
      <c r="S112" s="117"/>
      <c r="T112" s="117"/>
      <c r="U112" s="117"/>
      <c r="V112" s="117"/>
      <c r="W112" s="117"/>
      <c r="X112" s="117"/>
      <c r="Y112" s="117"/>
      <c r="Z112" s="117"/>
      <c r="AA112" s="117"/>
      <c r="AB112" s="117"/>
      <c r="AC112" s="117"/>
      <c r="AD112" s="117"/>
      <c r="AE112" s="117"/>
      <c r="AF112" s="117"/>
      <c r="AG112" s="117"/>
      <c r="AH112" s="117"/>
      <c r="AI112" s="117"/>
      <c r="AJ112" s="117"/>
      <c r="AK112" s="117"/>
      <c r="AL112" s="117"/>
      <c r="AM112" s="117"/>
      <c r="AN112" s="117"/>
    </row>
    <row r="113" spans="7:40" x14ac:dyDescent="0.3">
      <c r="G113" s="117"/>
      <c r="H113" s="117"/>
      <c r="I113" s="117"/>
      <c r="J113" s="117"/>
      <c r="K113" s="117"/>
      <c r="L113" s="117"/>
      <c r="M113" s="117"/>
      <c r="N113" s="117"/>
      <c r="O113" s="117"/>
      <c r="P113" s="117"/>
      <c r="Q113" s="117"/>
      <c r="R113" s="117"/>
      <c r="S113" s="117"/>
      <c r="T113" s="117"/>
      <c r="U113" s="117"/>
      <c r="V113" s="117"/>
      <c r="W113" s="117"/>
      <c r="X113" s="117"/>
      <c r="Y113" s="117"/>
      <c r="Z113" s="117"/>
      <c r="AA113" s="117"/>
      <c r="AB113" s="117"/>
      <c r="AC113" s="117"/>
      <c r="AD113" s="117"/>
      <c r="AE113" s="117"/>
      <c r="AF113" s="117"/>
      <c r="AG113" s="117"/>
      <c r="AH113" s="117"/>
      <c r="AI113" s="117"/>
      <c r="AJ113" s="117"/>
      <c r="AK113" s="117"/>
      <c r="AL113" s="117"/>
      <c r="AM113" s="117"/>
      <c r="AN113" s="117"/>
    </row>
    <row r="114" spans="7:40" x14ac:dyDescent="0.3">
      <c r="G114" s="117"/>
      <c r="H114" s="117"/>
      <c r="I114" s="117"/>
      <c r="J114" s="117"/>
      <c r="K114" s="117"/>
      <c r="L114" s="117"/>
      <c r="M114" s="117"/>
      <c r="N114" s="117"/>
      <c r="O114" s="117"/>
      <c r="P114" s="117"/>
      <c r="Q114" s="117"/>
      <c r="R114" s="117"/>
      <c r="S114" s="117"/>
      <c r="T114" s="117"/>
      <c r="U114" s="117"/>
      <c r="V114" s="117"/>
      <c r="W114" s="117"/>
      <c r="X114" s="117"/>
      <c r="Y114" s="117"/>
      <c r="Z114" s="117"/>
      <c r="AA114" s="117"/>
      <c r="AB114" s="117"/>
      <c r="AC114" s="117"/>
      <c r="AD114" s="117"/>
      <c r="AE114" s="117"/>
      <c r="AF114" s="117"/>
      <c r="AG114" s="117"/>
      <c r="AH114" s="117"/>
      <c r="AI114" s="117"/>
      <c r="AJ114" s="117"/>
      <c r="AK114" s="117"/>
      <c r="AL114" s="117"/>
      <c r="AM114" s="117"/>
      <c r="AN114" s="117"/>
    </row>
    <row r="115" spans="7:40" x14ac:dyDescent="0.3">
      <c r="G115" s="117"/>
      <c r="H115" s="117"/>
      <c r="I115" s="117"/>
      <c r="J115" s="117"/>
      <c r="K115" s="117"/>
      <c r="L115" s="117"/>
      <c r="M115" s="117"/>
      <c r="N115" s="117"/>
      <c r="O115" s="117"/>
      <c r="P115" s="117"/>
      <c r="Q115" s="117"/>
      <c r="R115" s="117"/>
      <c r="S115" s="117"/>
      <c r="T115" s="117"/>
      <c r="U115" s="117"/>
      <c r="V115" s="117"/>
      <c r="W115" s="117"/>
      <c r="X115" s="117"/>
      <c r="Y115" s="117"/>
      <c r="Z115" s="117"/>
      <c r="AA115" s="117"/>
      <c r="AB115" s="117"/>
      <c r="AC115" s="117"/>
      <c r="AD115" s="117"/>
      <c r="AE115" s="117"/>
      <c r="AF115" s="117"/>
      <c r="AG115" s="117"/>
      <c r="AH115" s="117"/>
      <c r="AI115" s="117"/>
      <c r="AJ115" s="117"/>
      <c r="AK115" s="117"/>
      <c r="AL115" s="117"/>
      <c r="AM115" s="117"/>
      <c r="AN115" s="117"/>
    </row>
    <row r="116" spans="7:40" x14ac:dyDescent="0.3">
      <c r="G116" s="117"/>
      <c r="H116" s="117"/>
      <c r="I116" s="117"/>
      <c r="J116" s="117"/>
      <c r="K116" s="117"/>
      <c r="L116" s="117"/>
      <c r="M116" s="117"/>
      <c r="N116" s="117"/>
      <c r="O116" s="117"/>
      <c r="P116" s="117"/>
      <c r="Q116" s="117"/>
      <c r="R116" s="117"/>
      <c r="S116" s="117"/>
      <c r="T116" s="117"/>
      <c r="U116" s="117"/>
      <c r="V116" s="117"/>
      <c r="W116" s="117"/>
      <c r="X116" s="117"/>
      <c r="Y116" s="117"/>
      <c r="Z116" s="117"/>
      <c r="AA116" s="117"/>
      <c r="AB116" s="117"/>
      <c r="AC116" s="117"/>
      <c r="AD116" s="117"/>
      <c r="AE116" s="117"/>
      <c r="AF116" s="117"/>
      <c r="AG116" s="117"/>
      <c r="AH116" s="117"/>
      <c r="AI116" s="117"/>
      <c r="AJ116" s="117"/>
      <c r="AK116" s="117"/>
      <c r="AL116" s="117"/>
      <c r="AM116" s="117"/>
      <c r="AN116" s="117"/>
    </row>
    <row r="117" spans="7:40" x14ac:dyDescent="0.3">
      <c r="G117" s="117"/>
      <c r="H117" s="117"/>
      <c r="I117" s="117"/>
      <c r="J117" s="117"/>
      <c r="K117" s="117"/>
      <c r="L117" s="117"/>
      <c r="M117" s="117"/>
      <c r="N117" s="117"/>
      <c r="O117" s="117"/>
      <c r="P117" s="117"/>
      <c r="Q117" s="117"/>
      <c r="R117" s="117"/>
      <c r="S117" s="117"/>
      <c r="T117" s="117"/>
      <c r="U117" s="117"/>
      <c r="V117" s="117"/>
      <c r="W117" s="117"/>
      <c r="X117" s="117"/>
      <c r="Y117" s="117"/>
      <c r="Z117" s="117"/>
      <c r="AA117" s="117"/>
      <c r="AB117" s="117"/>
      <c r="AC117" s="117"/>
      <c r="AD117" s="117"/>
      <c r="AE117" s="117"/>
      <c r="AF117" s="117"/>
      <c r="AG117" s="117"/>
      <c r="AH117" s="117"/>
      <c r="AI117" s="117"/>
      <c r="AJ117" s="117"/>
      <c r="AK117" s="117"/>
      <c r="AL117" s="117"/>
      <c r="AM117" s="117"/>
      <c r="AN117" s="117"/>
    </row>
    <row r="118" spans="7:40" x14ac:dyDescent="0.3">
      <c r="G118" s="117"/>
      <c r="H118" s="117"/>
      <c r="I118" s="117"/>
      <c r="J118" s="117"/>
      <c r="K118" s="117"/>
      <c r="L118" s="117"/>
      <c r="M118" s="117"/>
      <c r="N118" s="117"/>
      <c r="O118" s="117"/>
      <c r="P118" s="117"/>
      <c r="Q118" s="117"/>
      <c r="R118" s="117"/>
      <c r="S118" s="117"/>
      <c r="T118" s="117"/>
      <c r="U118" s="117"/>
      <c r="V118" s="117"/>
      <c r="W118" s="117"/>
      <c r="X118" s="117"/>
      <c r="Y118" s="117"/>
      <c r="Z118" s="117"/>
      <c r="AA118" s="117"/>
      <c r="AB118" s="117"/>
      <c r="AC118" s="117"/>
      <c r="AD118" s="117"/>
      <c r="AE118" s="117"/>
      <c r="AF118" s="117"/>
      <c r="AG118" s="117"/>
      <c r="AH118" s="117"/>
      <c r="AI118" s="117"/>
      <c r="AJ118" s="117"/>
      <c r="AK118" s="117"/>
      <c r="AL118" s="117"/>
      <c r="AM118" s="117"/>
      <c r="AN118" s="117"/>
    </row>
    <row r="119" spans="7:40" x14ac:dyDescent="0.3">
      <c r="G119" s="117"/>
      <c r="H119" s="117"/>
      <c r="I119" s="117"/>
      <c r="J119" s="117"/>
      <c r="K119" s="117"/>
      <c r="L119" s="117"/>
      <c r="M119" s="117"/>
      <c r="N119" s="117"/>
      <c r="O119" s="117"/>
      <c r="P119" s="117"/>
      <c r="Q119" s="117"/>
      <c r="R119" s="117"/>
      <c r="S119" s="117"/>
      <c r="T119" s="117"/>
      <c r="U119" s="117"/>
      <c r="V119" s="117"/>
      <c r="W119" s="117"/>
      <c r="X119" s="117"/>
      <c r="Y119" s="117"/>
      <c r="Z119" s="117"/>
      <c r="AA119" s="117"/>
      <c r="AB119" s="117"/>
      <c r="AC119" s="117"/>
      <c r="AD119" s="117"/>
      <c r="AE119" s="117"/>
      <c r="AF119" s="117"/>
      <c r="AG119" s="117"/>
      <c r="AH119" s="117"/>
      <c r="AI119" s="117"/>
      <c r="AJ119" s="117"/>
      <c r="AK119" s="117"/>
      <c r="AL119" s="117"/>
      <c r="AM119" s="117"/>
      <c r="AN119" s="117"/>
    </row>
    <row r="120" spans="7:40" x14ac:dyDescent="0.3">
      <c r="G120" s="117"/>
      <c r="H120" s="117"/>
      <c r="I120" s="117"/>
      <c r="J120" s="117"/>
      <c r="K120" s="117"/>
      <c r="L120" s="117"/>
      <c r="M120" s="117"/>
      <c r="N120" s="117"/>
      <c r="O120" s="117"/>
      <c r="P120" s="117"/>
      <c r="Q120" s="117"/>
      <c r="R120" s="117"/>
      <c r="S120" s="117"/>
      <c r="T120" s="117"/>
      <c r="U120" s="117"/>
      <c r="V120" s="117"/>
      <c r="W120" s="117"/>
      <c r="X120" s="117"/>
      <c r="Y120" s="117"/>
      <c r="Z120" s="117"/>
      <c r="AA120" s="117"/>
      <c r="AB120" s="117"/>
      <c r="AC120" s="117"/>
      <c r="AD120" s="117"/>
      <c r="AE120" s="117"/>
      <c r="AF120" s="117"/>
      <c r="AG120" s="117"/>
      <c r="AH120" s="117"/>
      <c r="AI120" s="117"/>
      <c r="AJ120" s="117"/>
      <c r="AK120" s="117"/>
      <c r="AL120" s="117"/>
      <c r="AM120" s="117"/>
      <c r="AN120" s="117"/>
    </row>
    <row r="121" spans="7:40" x14ac:dyDescent="0.3">
      <c r="G121" s="117"/>
      <c r="H121" s="117"/>
      <c r="I121" s="117"/>
      <c r="J121" s="117"/>
      <c r="K121" s="117"/>
      <c r="L121" s="117"/>
      <c r="M121" s="117"/>
      <c r="N121" s="117"/>
      <c r="O121" s="117"/>
      <c r="P121" s="117"/>
      <c r="Q121" s="117"/>
      <c r="R121" s="117"/>
      <c r="S121" s="117"/>
      <c r="T121" s="117"/>
      <c r="U121" s="117"/>
      <c r="V121" s="117"/>
      <c r="W121" s="117"/>
      <c r="X121" s="117"/>
      <c r="Y121" s="117"/>
      <c r="Z121" s="117"/>
      <c r="AA121" s="117"/>
      <c r="AB121" s="117"/>
      <c r="AC121" s="117"/>
      <c r="AD121" s="117"/>
      <c r="AE121" s="117"/>
      <c r="AF121" s="117"/>
      <c r="AG121" s="117"/>
      <c r="AH121" s="117"/>
      <c r="AI121" s="117"/>
      <c r="AJ121" s="117"/>
      <c r="AK121" s="117"/>
      <c r="AL121" s="117"/>
      <c r="AM121" s="117"/>
      <c r="AN121" s="117"/>
    </row>
  </sheetData>
  <mergeCells count="51">
    <mergeCell ref="C5:C8"/>
    <mergeCell ref="D5:BI5"/>
    <mergeCell ref="D6:D8"/>
    <mergeCell ref="E6:E8"/>
    <mergeCell ref="F6:F8"/>
    <mergeCell ref="G6:BI6"/>
    <mergeCell ref="G7:G8"/>
    <mergeCell ref="H7:H8"/>
    <mergeCell ref="B35:B39"/>
    <mergeCell ref="AN7:AN8"/>
    <mergeCell ref="AO7:AO8"/>
    <mergeCell ref="AP7:AP8"/>
    <mergeCell ref="AQ7:BI7"/>
    <mergeCell ref="AH7:AH8"/>
    <mergeCell ref="AI7:AI8"/>
    <mergeCell ref="AJ7:AJ8"/>
    <mergeCell ref="AK7:AK8"/>
    <mergeCell ref="AL7:AL8"/>
    <mergeCell ref="AM7:AM8"/>
    <mergeCell ref="AB7:AB8"/>
    <mergeCell ref="AC7:AC8"/>
    <mergeCell ref="AD7:AD8"/>
    <mergeCell ref="AE7:AE8"/>
    <mergeCell ref="AF7:AF8"/>
    <mergeCell ref="CB7:CC7"/>
    <mergeCell ref="CD7:CE7"/>
    <mergeCell ref="B25:B27"/>
    <mergeCell ref="B28:B31"/>
    <mergeCell ref="A30:A31"/>
    <mergeCell ref="BR7:BS7"/>
    <mergeCell ref="BT7:BU7"/>
    <mergeCell ref="AG7:AG8"/>
    <mergeCell ref="I7:I8"/>
    <mergeCell ref="J7:W7"/>
    <mergeCell ref="X7:X8"/>
    <mergeCell ref="Y7:Y8"/>
    <mergeCell ref="Z7:Z8"/>
    <mergeCell ref="AA7:AA8"/>
    <mergeCell ref="A5:A8"/>
    <mergeCell ref="B5:B8"/>
    <mergeCell ref="B41:B43"/>
    <mergeCell ref="B44:B45"/>
    <mergeCell ref="A51:A54"/>
    <mergeCell ref="C51:C53"/>
    <mergeCell ref="A55:A58"/>
    <mergeCell ref="C55:C57"/>
    <mergeCell ref="A59:A60"/>
    <mergeCell ref="A61:A62"/>
    <mergeCell ref="B61:B62"/>
    <mergeCell ref="A64:A65"/>
    <mergeCell ref="B64:B65"/>
  </mergeCells>
  <pageMargins left="0" right="0" top="0.31496062992125984" bottom="0.15748031496062992" header="0.19685039370078741" footer="0.15748031496062992"/>
  <pageSetup paperSize="8" scale="41" orientation="landscape" r:id="rId1"/>
  <rowBreaks count="1" manualBreakCount="1">
    <brk id="34" max="38" man="1"/>
  </rowBreaks>
  <legacy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33"/>
  <sheetViews>
    <sheetView workbookViewId="0">
      <pane xSplit="2" ySplit="6" topLeftCell="D16" activePane="bottomRight" state="frozen"/>
      <selection pane="topRight" activeCell="C1" sqref="C1"/>
      <selection pane="bottomLeft" activeCell="A7" sqref="A7"/>
      <selection pane="bottomRight" activeCell="H12" sqref="H12"/>
    </sheetView>
  </sheetViews>
  <sheetFormatPr defaultRowHeight="18.75" x14ac:dyDescent="0.3"/>
  <cols>
    <col min="1" max="1" width="11" style="687" customWidth="1"/>
    <col min="2" max="2" width="57.85546875" style="687" customWidth="1"/>
    <col min="3" max="3" width="19.5703125" style="687" customWidth="1"/>
    <col min="4" max="4" width="20" style="687" customWidth="1"/>
    <col min="5" max="6" width="22.5703125" style="687" customWidth="1"/>
    <col min="7" max="7" width="24.140625" style="687" bestFit="1" customWidth="1"/>
    <col min="8" max="8" width="20" style="687" customWidth="1"/>
    <col min="9" max="9" width="20.140625" style="687" customWidth="1"/>
    <col min="10" max="11" width="19" style="687" customWidth="1"/>
    <col min="12" max="12" width="22.42578125" style="687" customWidth="1"/>
    <col min="13" max="13" width="15.5703125" style="687" customWidth="1"/>
    <col min="14" max="14" width="12.42578125" style="687" customWidth="1"/>
    <col min="15" max="256" width="9.140625" style="687"/>
    <col min="257" max="257" width="11" style="687" customWidth="1"/>
    <col min="258" max="258" width="57.85546875" style="687" customWidth="1"/>
    <col min="259" max="259" width="19.5703125" style="687" customWidth="1"/>
    <col min="260" max="260" width="20" style="687" customWidth="1"/>
    <col min="261" max="262" width="22.5703125" style="687" customWidth="1"/>
    <col min="263" max="263" width="24.140625" style="687" bestFit="1" customWidth="1"/>
    <col min="264" max="264" width="20" style="687" customWidth="1"/>
    <col min="265" max="265" width="20.140625" style="687" customWidth="1"/>
    <col min="266" max="267" width="19" style="687" customWidth="1"/>
    <col min="268" max="268" width="22.42578125" style="687" customWidth="1"/>
    <col min="269" max="269" width="15.5703125" style="687" customWidth="1"/>
    <col min="270" max="270" width="12.42578125" style="687" customWidth="1"/>
    <col min="271" max="512" width="9.140625" style="687"/>
    <col min="513" max="513" width="11" style="687" customWidth="1"/>
    <col min="514" max="514" width="57.85546875" style="687" customWidth="1"/>
    <col min="515" max="515" width="19.5703125" style="687" customWidth="1"/>
    <col min="516" max="516" width="20" style="687" customWidth="1"/>
    <col min="517" max="518" width="22.5703125" style="687" customWidth="1"/>
    <col min="519" max="519" width="24.140625" style="687" bestFit="1" customWidth="1"/>
    <col min="520" max="520" width="20" style="687" customWidth="1"/>
    <col min="521" max="521" width="20.140625" style="687" customWidth="1"/>
    <col min="522" max="523" width="19" style="687" customWidth="1"/>
    <col min="524" max="524" width="22.42578125" style="687" customWidth="1"/>
    <col min="525" max="525" width="15.5703125" style="687" customWidth="1"/>
    <col min="526" max="526" width="12.42578125" style="687" customWidth="1"/>
    <col min="527" max="768" width="9.140625" style="687"/>
    <col min="769" max="769" width="11" style="687" customWidth="1"/>
    <col min="770" max="770" width="57.85546875" style="687" customWidth="1"/>
    <col min="771" max="771" width="19.5703125" style="687" customWidth="1"/>
    <col min="772" max="772" width="20" style="687" customWidth="1"/>
    <col min="773" max="774" width="22.5703125" style="687" customWidth="1"/>
    <col min="775" max="775" width="24.140625" style="687" bestFit="1" customWidth="1"/>
    <col min="776" max="776" width="20" style="687" customWidth="1"/>
    <col min="777" max="777" width="20.140625" style="687" customWidth="1"/>
    <col min="778" max="779" width="19" style="687" customWidth="1"/>
    <col min="780" max="780" width="22.42578125" style="687" customWidth="1"/>
    <col min="781" max="781" width="15.5703125" style="687" customWidth="1"/>
    <col min="782" max="782" width="12.42578125" style="687" customWidth="1"/>
    <col min="783" max="1024" width="9.140625" style="687"/>
    <col min="1025" max="1025" width="11" style="687" customWidth="1"/>
    <col min="1026" max="1026" width="57.85546875" style="687" customWidth="1"/>
    <col min="1027" max="1027" width="19.5703125" style="687" customWidth="1"/>
    <col min="1028" max="1028" width="20" style="687" customWidth="1"/>
    <col min="1029" max="1030" width="22.5703125" style="687" customWidth="1"/>
    <col min="1031" max="1031" width="24.140625" style="687" bestFit="1" customWidth="1"/>
    <col min="1032" max="1032" width="20" style="687" customWidth="1"/>
    <col min="1033" max="1033" width="20.140625" style="687" customWidth="1"/>
    <col min="1034" max="1035" width="19" style="687" customWidth="1"/>
    <col min="1036" max="1036" width="22.42578125" style="687" customWidth="1"/>
    <col min="1037" max="1037" width="15.5703125" style="687" customWidth="1"/>
    <col min="1038" max="1038" width="12.42578125" style="687" customWidth="1"/>
    <col min="1039" max="1280" width="9.140625" style="687"/>
    <col min="1281" max="1281" width="11" style="687" customWidth="1"/>
    <col min="1282" max="1282" width="57.85546875" style="687" customWidth="1"/>
    <col min="1283" max="1283" width="19.5703125" style="687" customWidth="1"/>
    <col min="1284" max="1284" width="20" style="687" customWidth="1"/>
    <col min="1285" max="1286" width="22.5703125" style="687" customWidth="1"/>
    <col min="1287" max="1287" width="24.140625" style="687" bestFit="1" customWidth="1"/>
    <col min="1288" max="1288" width="20" style="687" customWidth="1"/>
    <col min="1289" max="1289" width="20.140625" style="687" customWidth="1"/>
    <col min="1290" max="1291" width="19" style="687" customWidth="1"/>
    <col min="1292" max="1292" width="22.42578125" style="687" customWidth="1"/>
    <col min="1293" max="1293" width="15.5703125" style="687" customWidth="1"/>
    <col min="1294" max="1294" width="12.42578125" style="687" customWidth="1"/>
    <col min="1295" max="1536" width="9.140625" style="687"/>
    <col min="1537" max="1537" width="11" style="687" customWidth="1"/>
    <col min="1538" max="1538" width="57.85546875" style="687" customWidth="1"/>
    <col min="1539" max="1539" width="19.5703125" style="687" customWidth="1"/>
    <col min="1540" max="1540" width="20" style="687" customWidth="1"/>
    <col min="1541" max="1542" width="22.5703125" style="687" customWidth="1"/>
    <col min="1543" max="1543" width="24.140625" style="687" bestFit="1" customWidth="1"/>
    <col min="1544" max="1544" width="20" style="687" customWidth="1"/>
    <col min="1545" max="1545" width="20.140625" style="687" customWidth="1"/>
    <col min="1546" max="1547" width="19" style="687" customWidth="1"/>
    <col min="1548" max="1548" width="22.42578125" style="687" customWidth="1"/>
    <col min="1549" max="1549" width="15.5703125" style="687" customWidth="1"/>
    <col min="1550" max="1550" width="12.42578125" style="687" customWidth="1"/>
    <col min="1551" max="1792" width="9.140625" style="687"/>
    <col min="1793" max="1793" width="11" style="687" customWidth="1"/>
    <col min="1794" max="1794" width="57.85546875" style="687" customWidth="1"/>
    <col min="1795" max="1795" width="19.5703125" style="687" customWidth="1"/>
    <col min="1796" max="1796" width="20" style="687" customWidth="1"/>
    <col min="1797" max="1798" width="22.5703125" style="687" customWidth="1"/>
    <col min="1799" max="1799" width="24.140625" style="687" bestFit="1" customWidth="1"/>
    <col min="1800" max="1800" width="20" style="687" customWidth="1"/>
    <col min="1801" max="1801" width="20.140625" style="687" customWidth="1"/>
    <col min="1802" max="1803" width="19" style="687" customWidth="1"/>
    <col min="1804" max="1804" width="22.42578125" style="687" customWidth="1"/>
    <col min="1805" max="1805" width="15.5703125" style="687" customWidth="1"/>
    <col min="1806" max="1806" width="12.42578125" style="687" customWidth="1"/>
    <col min="1807" max="2048" width="9.140625" style="687"/>
    <col min="2049" max="2049" width="11" style="687" customWidth="1"/>
    <col min="2050" max="2050" width="57.85546875" style="687" customWidth="1"/>
    <col min="2051" max="2051" width="19.5703125" style="687" customWidth="1"/>
    <col min="2052" max="2052" width="20" style="687" customWidth="1"/>
    <col min="2053" max="2054" width="22.5703125" style="687" customWidth="1"/>
    <col min="2055" max="2055" width="24.140625" style="687" bestFit="1" customWidth="1"/>
    <col min="2056" max="2056" width="20" style="687" customWidth="1"/>
    <col min="2057" max="2057" width="20.140625" style="687" customWidth="1"/>
    <col min="2058" max="2059" width="19" style="687" customWidth="1"/>
    <col min="2060" max="2060" width="22.42578125" style="687" customWidth="1"/>
    <col min="2061" max="2061" width="15.5703125" style="687" customWidth="1"/>
    <col min="2062" max="2062" width="12.42578125" style="687" customWidth="1"/>
    <col min="2063" max="2304" width="9.140625" style="687"/>
    <col min="2305" max="2305" width="11" style="687" customWidth="1"/>
    <col min="2306" max="2306" width="57.85546875" style="687" customWidth="1"/>
    <col min="2307" max="2307" width="19.5703125" style="687" customWidth="1"/>
    <col min="2308" max="2308" width="20" style="687" customWidth="1"/>
    <col min="2309" max="2310" width="22.5703125" style="687" customWidth="1"/>
    <col min="2311" max="2311" width="24.140625" style="687" bestFit="1" customWidth="1"/>
    <col min="2312" max="2312" width="20" style="687" customWidth="1"/>
    <col min="2313" max="2313" width="20.140625" style="687" customWidth="1"/>
    <col min="2314" max="2315" width="19" style="687" customWidth="1"/>
    <col min="2316" max="2316" width="22.42578125" style="687" customWidth="1"/>
    <col min="2317" max="2317" width="15.5703125" style="687" customWidth="1"/>
    <col min="2318" max="2318" width="12.42578125" style="687" customWidth="1"/>
    <col min="2319" max="2560" width="9.140625" style="687"/>
    <col min="2561" max="2561" width="11" style="687" customWidth="1"/>
    <col min="2562" max="2562" width="57.85546875" style="687" customWidth="1"/>
    <col min="2563" max="2563" width="19.5703125" style="687" customWidth="1"/>
    <col min="2564" max="2564" width="20" style="687" customWidth="1"/>
    <col min="2565" max="2566" width="22.5703125" style="687" customWidth="1"/>
    <col min="2567" max="2567" width="24.140625" style="687" bestFit="1" customWidth="1"/>
    <col min="2568" max="2568" width="20" style="687" customWidth="1"/>
    <col min="2569" max="2569" width="20.140625" style="687" customWidth="1"/>
    <col min="2570" max="2571" width="19" style="687" customWidth="1"/>
    <col min="2572" max="2572" width="22.42578125" style="687" customWidth="1"/>
    <col min="2573" max="2573" width="15.5703125" style="687" customWidth="1"/>
    <col min="2574" max="2574" width="12.42578125" style="687" customWidth="1"/>
    <col min="2575" max="2816" width="9.140625" style="687"/>
    <col min="2817" max="2817" width="11" style="687" customWidth="1"/>
    <col min="2818" max="2818" width="57.85546875" style="687" customWidth="1"/>
    <col min="2819" max="2819" width="19.5703125" style="687" customWidth="1"/>
    <col min="2820" max="2820" width="20" style="687" customWidth="1"/>
    <col min="2821" max="2822" width="22.5703125" style="687" customWidth="1"/>
    <col min="2823" max="2823" width="24.140625" style="687" bestFit="1" customWidth="1"/>
    <col min="2824" max="2824" width="20" style="687" customWidth="1"/>
    <col min="2825" max="2825" width="20.140625" style="687" customWidth="1"/>
    <col min="2826" max="2827" width="19" style="687" customWidth="1"/>
    <col min="2828" max="2828" width="22.42578125" style="687" customWidth="1"/>
    <col min="2829" max="2829" width="15.5703125" style="687" customWidth="1"/>
    <col min="2830" max="2830" width="12.42578125" style="687" customWidth="1"/>
    <col min="2831" max="3072" width="9.140625" style="687"/>
    <col min="3073" max="3073" width="11" style="687" customWidth="1"/>
    <col min="3074" max="3074" width="57.85546875" style="687" customWidth="1"/>
    <col min="3075" max="3075" width="19.5703125" style="687" customWidth="1"/>
    <col min="3076" max="3076" width="20" style="687" customWidth="1"/>
    <col min="3077" max="3078" width="22.5703125" style="687" customWidth="1"/>
    <col min="3079" max="3079" width="24.140625" style="687" bestFit="1" customWidth="1"/>
    <col min="3080" max="3080" width="20" style="687" customWidth="1"/>
    <col min="3081" max="3081" width="20.140625" style="687" customWidth="1"/>
    <col min="3082" max="3083" width="19" style="687" customWidth="1"/>
    <col min="3084" max="3084" width="22.42578125" style="687" customWidth="1"/>
    <col min="3085" max="3085" width="15.5703125" style="687" customWidth="1"/>
    <col min="3086" max="3086" width="12.42578125" style="687" customWidth="1"/>
    <col min="3087" max="3328" width="9.140625" style="687"/>
    <col min="3329" max="3329" width="11" style="687" customWidth="1"/>
    <col min="3330" max="3330" width="57.85546875" style="687" customWidth="1"/>
    <col min="3331" max="3331" width="19.5703125" style="687" customWidth="1"/>
    <col min="3332" max="3332" width="20" style="687" customWidth="1"/>
    <col min="3333" max="3334" width="22.5703125" style="687" customWidth="1"/>
    <col min="3335" max="3335" width="24.140625" style="687" bestFit="1" customWidth="1"/>
    <col min="3336" max="3336" width="20" style="687" customWidth="1"/>
    <col min="3337" max="3337" width="20.140625" style="687" customWidth="1"/>
    <col min="3338" max="3339" width="19" style="687" customWidth="1"/>
    <col min="3340" max="3340" width="22.42578125" style="687" customWidth="1"/>
    <col min="3341" max="3341" width="15.5703125" style="687" customWidth="1"/>
    <col min="3342" max="3342" width="12.42578125" style="687" customWidth="1"/>
    <col min="3343" max="3584" width="9.140625" style="687"/>
    <col min="3585" max="3585" width="11" style="687" customWidth="1"/>
    <col min="3586" max="3586" width="57.85546875" style="687" customWidth="1"/>
    <col min="3587" max="3587" width="19.5703125" style="687" customWidth="1"/>
    <col min="3588" max="3588" width="20" style="687" customWidth="1"/>
    <col min="3589" max="3590" width="22.5703125" style="687" customWidth="1"/>
    <col min="3591" max="3591" width="24.140625" style="687" bestFit="1" customWidth="1"/>
    <col min="3592" max="3592" width="20" style="687" customWidth="1"/>
    <col min="3593" max="3593" width="20.140625" style="687" customWidth="1"/>
    <col min="3594" max="3595" width="19" style="687" customWidth="1"/>
    <col min="3596" max="3596" width="22.42578125" style="687" customWidth="1"/>
    <col min="3597" max="3597" width="15.5703125" style="687" customWidth="1"/>
    <col min="3598" max="3598" width="12.42578125" style="687" customWidth="1"/>
    <col min="3599" max="3840" width="9.140625" style="687"/>
    <col min="3841" max="3841" width="11" style="687" customWidth="1"/>
    <col min="3842" max="3842" width="57.85546875" style="687" customWidth="1"/>
    <col min="3843" max="3843" width="19.5703125" style="687" customWidth="1"/>
    <col min="3844" max="3844" width="20" style="687" customWidth="1"/>
    <col min="3845" max="3846" width="22.5703125" style="687" customWidth="1"/>
    <col min="3847" max="3847" width="24.140625" style="687" bestFit="1" customWidth="1"/>
    <col min="3848" max="3848" width="20" style="687" customWidth="1"/>
    <col min="3849" max="3849" width="20.140625" style="687" customWidth="1"/>
    <col min="3850" max="3851" width="19" style="687" customWidth="1"/>
    <col min="3852" max="3852" width="22.42578125" style="687" customWidth="1"/>
    <col min="3853" max="3853" width="15.5703125" style="687" customWidth="1"/>
    <col min="3854" max="3854" width="12.42578125" style="687" customWidth="1"/>
    <col min="3855" max="4096" width="9.140625" style="687"/>
    <col min="4097" max="4097" width="11" style="687" customWidth="1"/>
    <col min="4098" max="4098" width="57.85546875" style="687" customWidth="1"/>
    <col min="4099" max="4099" width="19.5703125" style="687" customWidth="1"/>
    <col min="4100" max="4100" width="20" style="687" customWidth="1"/>
    <col min="4101" max="4102" width="22.5703125" style="687" customWidth="1"/>
    <col min="4103" max="4103" width="24.140625" style="687" bestFit="1" customWidth="1"/>
    <col min="4104" max="4104" width="20" style="687" customWidth="1"/>
    <col min="4105" max="4105" width="20.140625" style="687" customWidth="1"/>
    <col min="4106" max="4107" width="19" style="687" customWidth="1"/>
    <col min="4108" max="4108" width="22.42578125" style="687" customWidth="1"/>
    <col min="4109" max="4109" width="15.5703125" style="687" customWidth="1"/>
    <col min="4110" max="4110" width="12.42578125" style="687" customWidth="1"/>
    <col min="4111" max="4352" width="9.140625" style="687"/>
    <col min="4353" max="4353" width="11" style="687" customWidth="1"/>
    <col min="4354" max="4354" width="57.85546875" style="687" customWidth="1"/>
    <col min="4355" max="4355" width="19.5703125" style="687" customWidth="1"/>
    <col min="4356" max="4356" width="20" style="687" customWidth="1"/>
    <col min="4357" max="4358" width="22.5703125" style="687" customWidth="1"/>
    <col min="4359" max="4359" width="24.140625" style="687" bestFit="1" customWidth="1"/>
    <col min="4360" max="4360" width="20" style="687" customWidth="1"/>
    <col min="4361" max="4361" width="20.140625" style="687" customWidth="1"/>
    <col min="4362" max="4363" width="19" style="687" customWidth="1"/>
    <col min="4364" max="4364" width="22.42578125" style="687" customWidth="1"/>
    <col min="4365" max="4365" width="15.5703125" style="687" customWidth="1"/>
    <col min="4366" max="4366" width="12.42578125" style="687" customWidth="1"/>
    <col min="4367" max="4608" width="9.140625" style="687"/>
    <col min="4609" max="4609" width="11" style="687" customWidth="1"/>
    <col min="4610" max="4610" width="57.85546875" style="687" customWidth="1"/>
    <col min="4611" max="4611" width="19.5703125" style="687" customWidth="1"/>
    <col min="4612" max="4612" width="20" style="687" customWidth="1"/>
    <col min="4613" max="4614" width="22.5703125" style="687" customWidth="1"/>
    <col min="4615" max="4615" width="24.140625" style="687" bestFit="1" customWidth="1"/>
    <col min="4616" max="4616" width="20" style="687" customWidth="1"/>
    <col min="4617" max="4617" width="20.140625" style="687" customWidth="1"/>
    <col min="4618" max="4619" width="19" style="687" customWidth="1"/>
    <col min="4620" max="4620" width="22.42578125" style="687" customWidth="1"/>
    <col min="4621" max="4621" width="15.5703125" style="687" customWidth="1"/>
    <col min="4622" max="4622" width="12.42578125" style="687" customWidth="1"/>
    <col min="4623" max="4864" width="9.140625" style="687"/>
    <col min="4865" max="4865" width="11" style="687" customWidth="1"/>
    <col min="4866" max="4866" width="57.85546875" style="687" customWidth="1"/>
    <col min="4867" max="4867" width="19.5703125" style="687" customWidth="1"/>
    <col min="4868" max="4868" width="20" style="687" customWidth="1"/>
    <col min="4869" max="4870" width="22.5703125" style="687" customWidth="1"/>
    <col min="4871" max="4871" width="24.140625" style="687" bestFit="1" customWidth="1"/>
    <col min="4872" max="4872" width="20" style="687" customWidth="1"/>
    <col min="4873" max="4873" width="20.140625" style="687" customWidth="1"/>
    <col min="4874" max="4875" width="19" style="687" customWidth="1"/>
    <col min="4876" max="4876" width="22.42578125" style="687" customWidth="1"/>
    <col min="4877" max="4877" width="15.5703125" style="687" customWidth="1"/>
    <col min="4878" max="4878" width="12.42578125" style="687" customWidth="1"/>
    <col min="4879" max="5120" width="9.140625" style="687"/>
    <col min="5121" max="5121" width="11" style="687" customWidth="1"/>
    <col min="5122" max="5122" width="57.85546875" style="687" customWidth="1"/>
    <col min="5123" max="5123" width="19.5703125" style="687" customWidth="1"/>
    <col min="5124" max="5124" width="20" style="687" customWidth="1"/>
    <col min="5125" max="5126" width="22.5703125" style="687" customWidth="1"/>
    <col min="5127" max="5127" width="24.140625" style="687" bestFit="1" customWidth="1"/>
    <col min="5128" max="5128" width="20" style="687" customWidth="1"/>
    <col min="5129" max="5129" width="20.140625" style="687" customWidth="1"/>
    <col min="5130" max="5131" width="19" style="687" customWidth="1"/>
    <col min="5132" max="5132" width="22.42578125" style="687" customWidth="1"/>
    <col min="5133" max="5133" width="15.5703125" style="687" customWidth="1"/>
    <col min="5134" max="5134" width="12.42578125" style="687" customWidth="1"/>
    <col min="5135" max="5376" width="9.140625" style="687"/>
    <col min="5377" max="5377" width="11" style="687" customWidth="1"/>
    <col min="5378" max="5378" width="57.85546875" style="687" customWidth="1"/>
    <col min="5379" max="5379" width="19.5703125" style="687" customWidth="1"/>
    <col min="5380" max="5380" width="20" style="687" customWidth="1"/>
    <col min="5381" max="5382" width="22.5703125" style="687" customWidth="1"/>
    <col min="5383" max="5383" width="24.140625" style="687" bestFit="1" customWidth="1"/>
    <col min="5384" max="5384" width="20" style="687" customWidth="1"/>
    <col min="5385" max="5385" width="20.140625" style="687" customWidth="1"/>
    <col min="5386" max="5387" width="19" style="687" customWidth="1"/>
    <col min="5388" max="5388" width="22.42578125" style="687" customWidth="1"/>
    <col min="5389" max="5389" width="15.5703125" style="687" customWidth="1"/>
    <col min="5390" max="5390" width="12.42578125" style="687" customWidth="1"/>
    <col min="5391" max="5632" width="9.140625" style="687"/>
    <col min="5633" max="5633" width="11" style="687" customWidth="1"/>
    <col min="5634" max="5634" width="57.85546875" style="687" customWidth="1"/>
    <col min="5635" max="5635" width="19.5703125" style="687" customWidth="1"/>
    <col min="5636" max="5636" width="20" style="687" customWidth="1"/>
    <col min="5637" max="5638" width="22.5703125" style="687" customWidth="1"/>
    <col min="5639" max="5639" width="24.140625" style="687" bestFit="1" customWidth="1"/>
    <col min="5640" max="5640" width="20" style="687" customWidth="1"/>
    <col min="5641" max="5641" width="20.140625" style="687" customWidth="1"/>
    <col min="5642" max="5643" width="19" style="687" customWidth="1"/>
    <col min="5644" max="5644" width="22.42578125" style="687" customWidth="1"/>
    <col min="5645" max="5645" width="15.5703125" style="687" customWidth="1"/>
    <col min="5646" max="5646" width="12.42578125" style="687" customWidth="1"/>
    <col min="5647" max="5888" width="9.140625" style="687"/>
    <col min="5889" max="5889" width="11" style="687" customWidth="1"/>
    <col min="5890" max="5890" width="57.85546875" style="687" customWidth="1"/>
    <col min="5891" max="5891" width="19.5703125" style="687" customWidth="1"/>
    <col min="5892" max="5892" width="20" style="687" customWidth="1"/>
    <col min="5893" max="5894" width="22.5703125" style="687" customWidth="1"/>
    <col min="5895" max="5895" width="24.140625" style="687" bestFit="1" customWidth="1"/>
    <col min="5896" max="5896" width="20" style="687" customWidth="1"/>
    <col min="5897" max="5897" width="20.140625" style="687" customWidth="1"/>
    <col min="5898" max="5899" width="19" style="687" customWidth="1"/>
    <col min="5900" max="5900" width="22.42578125" style="687" customWidth="1"/>
    <col min="5901" max="5901" width="15.5703125" style="687" customWidth="1"/>
    <col min="5902" max="5902" width="12.42578125" style="687" customWidth="1"/>
    <col min="5903" max="6144" width="9.140625" style="687"/>
    <col min="6145" max="6145" width="11" style="687" customWidth="1"/>
    <col min="6146" max="6146" width="57.85546875" style="687" customWidth="1"/>
    <col min="6147" max="6147" width="19.5703125" style="687" customWidth="1"/>
    <col min="6148" max="6148" width="20" style="687" customWidth="1"/>
    <col min="6149" max="6150" width="22.5703125" style="687" customWidth="1"/>
    <col min="6151" max="6151" width="24.140625" style="687" bestFit="1" customWidth="1"/>
    <col min="6152" max="6152" width="20" style="687" customWidth="1"/>
    <col min="6153" max="6153" width="20.140625" style="687" customWidth="1"/>
    <col min="6154" max="6155" width="19" style="687" customWidth="1"/>
    <col min="6156" max="6156" width="22.42578125" style="687" customWidth="1"/>
    <col min="6157" max="6157" width="15.5703125" style="687" customWidth="1"/>
    <col min="6158" max="6158" width="12.42578125" style="687" customWidth="1"/>
    <col min="6159" max="6400" width="9.140625" style="687"/>
    <col min="6401" max="6401" width="11" style="687" customWidth="1"/>
    <col min="6402" max="6402" width="57.85546875" style="687" customWidth="1"/>
    <col min="6403" max="6403" width="19.5703125" style="687" customWidth="1"/>
    <col min="6404" max="6404" width="20" style="687" customWidth="1"/>
    <col min="6405" max="6406" width="22.5703125" style="687" customWidth="1"/>
    <col min="6407" max="6407" width="24.140625" style="687" bestFit="1" customWidth="1"/>
    <col min="6408" max="6408" width="20" style="687" customWidth="1"/>
    <col min="6409" max="6409" width="20.140625" style="687" customWidth="1"/>
    <col min="6410" max="6411" width="19" style="687" customWidth="1"/>
    <col min="6412" max="6412" width="22.42578125" style="687" customWidth="1"/>
    <col min="6413" max="6413" width="15.5703125" style="687" customWidth="1"/>
    <col min="6414" max="6414" width="12.42578125" style="687" customWidth="1"/>
    <col min="6415" max="6656" width="9.140625" style="687"/>
    <col min="6657" max="6657" width="11" style="687" customWidth="1"/>
    <col min="6658" max="6658" width="57.85546875" style="687" customWidth="1"/>
    <col min="6659" max="6659" width="19.5703125" style="687" customWidth="1"/>
    <col min="6660" max="6660" width="20" style="687" customWidth="1"/>
    <col min="6661" max="6662" width="22.5703125" style="687" customWidth="1"/>
    <col min="6663" max="6663" width="24.140625" style="687" bestFit="1" customWidth="1"/>
    <col min="6664" max="6664" width="20" style="687" customWidth="1"/>
    <col min="6665" max="6665" width="20.140625" style="687" customWidth="1"/>
    <col min="6666" max="6667" width="19" style="687" customWidth="1"/>
    <col min="6668" max="6668" width="22.42578125" style="687" customWidth="1"/>
    <col min="6669" max="6669" width="15.5703125" style="687" customWidth="1"/>
    <col min="6670" max="6670" width="12.42578125" style="687" customWidth="1"/>
    <col min="6671" max="6912" width="9.140625" style="687"/>
    <col min="6913" max="6913" width="11" style="687" customWidth="1"/>
    <col min="6914" max="6914" width="57.85546875" style="687" customWidth="1"/>
    <col min="6915" max="6915" width="19.5703125" style="687" customWidth="1"/>
    <col min="6916" max="6916" width="20" style="687" customWidth="1"/>
    <col min="6917" max="6918" width="22.5703125" style="687" customWidth="1"/>
    <col min="6919" max="6919" width="24.140625" style="687" bestFit="1" customWidth="1"/>
    <col min="6920" max="6920" width="20" style="687" customWidth="1"/>
    <col min="6921" max="6921" width="20.140625" style="687" customWidth="1"/>
    <col min="6922" max="6923" width="19" style="687" customWidth="1"/>
    <col min="6924" max="6924" width="22.42578125" style="687" customWidth="1"/>
    <col min="6925" max="6925" width="15.5703125" style="687" customWidth="1"/>
    <col min="6926" max="6926" width="12.42578125" style="687" customWidth="1"/>
    <col min="6927" max="7168" width="9.140625" style="687"/>
    <col min="7169" max="7169" width="11" style="687" customWidth="1"/>
    <col min="7170" max="7170" width="57.85546875" style="687" customWidth="1"/>
    <col min="7171" max="7171" width="19.5703125" style="687" customWidth="1"/>
    <col min="7172" max="7172" width="20" style="687" customWidth="1"/>
    <col min="7173" max="7174" width="22.5703125" style="687" customWidth="1"/>
    <col min="7175" max="7175" width="24.140625" style="687" bestFit="1" customWidth="1"/>
    <col min="7176" max="7176" width="20" style="687" customWidth="1"/>
    <col min="7177" max="7177" width="20.140625" style="687" customWidth="1"/>
    <col min="7178" max="7179" width="19" style="687" customWidth="1"/>
    <col min="7180" max="7180" width="22.42578125" style="687" customWidth="1"/>
    <col min="7181" max="7181" width="15.5703125" style="687" customWidth="1"/>
    <col min="7182" max="7182" width="12.42578125" style="687" customWidth="1"/>
    <col min="7183" max="7424" width="9.140625" style="687"/>
    <col min="7425" max="7425" width="11" style="687" customWidth="1"/>
    <col min="7426" max="7426" width="57.85546875" style="687" customWidth="1"/>
    <col min="7427" max="7427" width="19.5703125" style="687" customWidth="1"/>
    <col min="7428" max="7428" width="20" style="687" customWidth="1"/>
    <col min="7429" max="7430" width="22.5703125" style="687" customWidth="1"/>
    <col min="7431" max="7431" width="24.140625" style="687" bestFit="1" customWidth="1"/>
    <col min="7432" max="7432" width="20" style="687" customWidth="1"/>
    <col min="7433" max="7433" width="20.140625" style="687" customWidth="1"/>
    <col min="7434" max="7435" width="19" style="687" customWidth="1"/>
    <col min="7436" max="7436" width="22.42578125" style="687" customWidth="1"/>
    <col min="7437" max="7437" width="15.5703125" style="687" customWidth="1"/>
    <col min="7438" max="7438" width="12.42578125" style="687" customWidth="1"/>
    <col min="7439" max="7680" width="9.140625" style="687"/>
    <col min="7681" max="7681" width="11" style="687" customWidth="1"/>
    <col min="7682" max="7682" width="57.85546875" style="687" customWidth="1"/>
    <col min="7683" max="7683" width="19.5703125" style="687" customWidth="1"/>
    <col min="7684" max="7684" width="20" style="687" customWidth="1"/>
    <col min="7685" max="7686" width="22.5703125" style="687" customWidth="1"/>
    <col min="7687" max="7687" width="24.140625" style="687" bestFit="1" customWidth="1"/>
    <col min="7688" max="7688" width="20" style="687" customWidth="1"/>
    <col min="7689" max="7689" width="20.140625" style="687" customWidth="1"/>
    <col min="7690" max="7691" width="19" style="687" customWidth="1"/>
    <col min="7692" max="7692" width="22.42578125" style="687" customWidth="1"/>
    <col min="7693" max="7693" width="15.5703125" style="687" customWidth="1"/>
    <col min="7694" max="7694" width="12.42578125" style="687" customWidth="1"/>
    <col min="7695" max="7936" width="9.140625" style="687"/>
    <col min="7937" max="7937" width="11" style="687" customWidth="1"/>
    <col min="7938" max="7938" width="57.85546875" style="687" customWidth="1"/>
    <col min="7939" max="7939" width="19.5703125" style="687" customWidth="1"/>
    <col min="7940" max="7940" width="20" style="687" customWidth="1"/>
    <col min="7941" max="7942" width="22.5703125" style="687" customWidth="1"/>
    <col min="7943" max="7943" width="24.140625" style="687" bestFit="1" customWidth="1"/>
    <col min="7944" max="7944" width="20" style="687" customWidth="1"/>
    <col min="7945" max="7945" width="20.140625" style="687" customWidth="1"/>
    <col min="7946" max="7947" width="19" style="687" customWidth="1"/>
    <col min="7948" max="7948" width="22.42578125" style="687" customWidth="1"/>
    <col min="7949" max="7949" width="15.5703125" style="687" customWidth="1"/>
    <col min="7950" max="7950" width="12.42578125" style="687" customWidth="1"/>
    <col min="7951" max="8192" width="9.140625" style="687"/>
    <col min="8193" max="8193" width="11" style="687" customWidth="1"/>
    <col min="8194" max="8194" width="57.85546875" style="687" customWidth="1"/>
    <col min="8195" max="8195" width="19.5703125" style="687" customWidth="1"/>
    <col min="8196" max="8196" width="20" style="687" customWidth="1"/>
    <col min="8197" max="8198" width="22.5703125" style="687" customWidth="1"/>
    <col min="8199" max="8199" width="24.140625" style="687" bestFit="1" customWidth="1"/>
    <col min="8200" max="8200" width="20" style="687" customWidth="1"/>
    <col min="8201" max="8201" width="20.140625" style="687" customWidth="1"/>
    <col min="8202" max="8203" width="19" style="687" customWidth="1"/>
    <col min="8204" max="8204" width="22.42578125" style="687" customWidth="1"/>
    <col min="8205" max="8205" width="15.5703125" style="687" customWidth="1"/>
    <col min="8206" max="8206" width="12.42578125" style="687" customWidth="1"/>
    <col min="8207" max="8448" width="9.140625" style="687"/>
    <col min="8449" max="8449" width="11" style="687" customWidth="1"/>
    <col min="8450" max="8450" width="57.85546875" style="687" customWidth="1"/>
    <col min="8451" max="8451" width="19.5703125" style="687" customWidth="1"/>
    <col min="8452" max="8452" width="20" style="687" customWidth="1"/>
    <col min="8453" max="8454" width="22.5703125" style="687" customWidth="1"/>
    <col min="8455" max="8455" width="24.140625" style="687" bestFit="1" customWidth="1"/>
    <col min="8456" max="8456" width="20" style="687" customWidth="1"/>
    <col min="8457" max="8457" width="20.140625" style="687" customWidth="1"/>
    <col min="8458" max="8459" width="19" style="687" customWidth="1"/>
    <col min="8460" max="8460" width="22.42578125" style="687" customWidth="1"/>
    <col min="8461" max="8461" width="15.5703125" style="687" customWidth="1"/>
    <col min="8462" max="8462" width="12.42578125" style="687" customWidth="1"/>
    <col min="8463" max="8704" width="9.140625" style="687"/>
    <col min="8705" max="8705" width="11" style="687" customWidth="1"/>
    <col min="8706" max="8706" width="57.85546875" style="687" customWidth="1"/>
    <col min="8707" max="8707" width="19.5703125" style="687" customWidth="1"/>
    <col min="8708" max="8708" width="20" style="687" customWidth="1"/>
    <col min="8709" max="8710" width="22.5703125" style="687" customWidth="1"/>
    <col min="8711" max="8711" width="24.140625" style="687" bestFit="1" customWidth="1"/>
    <col min="8712" max="8712" width="20" style="687" customWidth="1"/>
    <col min="8713" max="8713" width="20.140625" style="687" customWidth="1"/>
    <col min="8714" max="8715" width="19" style="687" customWidth="1"/>
    <col min="8716" max="8716" width="22.42578125" style="687" customWidth="1"/>
    <col min="8717" max="8717" width="15.5703125" style="687" customWidth="1"/>
    <col min="8718" max="8718" width="12.42578125" style="687" customWidth="1"/>
    <col min="8719" max="8960" width="9.140625" style="687"/>
    <col min="8961" max="8961" width="11" style="687" customWidth="1"/>
    <col min="8962" max="8962" width="57.85546875" style="687" customWidth="1"/>
    <col min="8963" max="8963" width="19.5703125" style="687" customWidth="1"/>
    <col min="8964" max="8964" width="20" style="687" customWidth="1"/>
    <col min="8965" max="8966" width="22.5703125" style="687" customWidth="1"/>
    <col min="8967" max="8967" width="24.140625" style="687" bestFit="1" customWidth="1"/>
    <col min="8968" max="8968" width="20" style="687" customWidth="1"/>
    <col min="8969" max="8969" width="20.140625" style="687" customWidth="1"/>
    <col min="8970" max="8971" width="19" style="687" customWidth="1"/>
    <col min="8972" max="8972" width="22.42578125" style="687" customWidth="1"/>
    <col min="8973" max="8973" width="15.5703125" style="687" customWidth="1"/>
    <col min="8974" max="8974" width="12.42578125" style="687" customWidth="1"/>
    <col min="8975" max="9216" width="9.140625" style="687"/>
    <col min="9217" max="9217" width="11" style="687" customWidth="1"/>
    <col min="9218" max="9218" width="57.85546875" style="687" customWidth="1"/>
    <col min="9219" max="9219" width="19.5703125" style="687" customWidth="1"/>
    <col min="9220" max="9220" width="20" style="687" customWidth="1"/>
    <col min="9221" max="9222" width="22.5703125" style="687" customWidth="1"/>
    <col min="9223" max="9223" width="24.140625" style="687" bestFit="1" customWidth="1"/>
    <col min="9224" max="9224" width="20" style="687" customWidth="1"/>
    <col min="9225" max="9225" width="20.140625" style="687" customWidth="1"/>
    <col min="9226" max="9227" width="19" style="687" customWidth="1"/>
    <col min="9228" max="9228" width="22.42578125" style="687" customWidth="1"/>
    <col min="9229" max="9229" width="15.5703125" style="687" customWidth="1"/>
    <col min="9230" max="9230" width="12.42578125" style="687" customWidth="1"/>
    <col min="9231" max="9472" width="9.140625" style="687"/>
    <col min="9473" max="9473" width="11" style="687" customWidth="1"/>
    <col min="9474" max="9474" width="57.85546875" style="687" customWidth="1"/>
    <col min="9475" max="9475" width="19.5703125" style="687" customWidth="1"/>
    <col min="9476" max="9476" width="20" style="687" customWidth="1"/>
    <col min="9477" max="9478" width="22.5703125" style="687" customWidth="1"/>
    <col min="9479" max="9479" width="24.140625" style="687" bestFit="1" customWidth="1"/>
    <col min="9480" max="9480" width="20" style="687" customWidth="1"/>
    <col min="9481" max="9481" width="20.140625" style="687" customWidth="1"/>
    <col min="9482" max="9483" width="19" style="687" customWidth="1"/>
    <col min="9484" max="9484" width="22.42578125" style="687" customWidth="1"/>
    <col min="9485" max="9485" width="15.5703125" style="687" customWidth="1"/>
    <col min="9486" max="9486" width="12.42578125" style="687" customWidth="1"/>
    <col min="9487" max="9728" width="9.140625" style="687"/>
    <col min="9729" max="9729" width="11" style="687" customWidth="1"/>
    <col min="9730" max="9730" width="57.85546875" style="687" customWidth="1"/>
    <col min="9731" max="9731" width="19.5703125" style="687" customWidth="1"/>
    <col min="9732" max="9732" width="20" style="687" customWidth="1"/>
    <col min="9733" max="9734" width="22.5703125" style="687" customWidth="1"/>
    <col min="9735" max="9735" width="24.140625" style="687" bestFit="1" customWidth="1"/>
    <col min="9736" max="9736" width="20" style="687" customWidth="1"/>
    <col min="9737" max="9737" width="20.140625" style="687" customWidth="1"/>
    <col min="9738" max="9739" width="19" style="687" customWidth="1"/>
    <col min="9740" max="9740" width="22.42578125" style="687" customWidth="1"/>
    <col min="9741" max="9741" width="15.5703125" style="687" customWidth="1"/>
    <col min="9742" max="9742" width="12.42578125" style="687" customWidth="1"/>
    <col min="9743" max="9984" width="9.140625" style="687"/>
    <col min="9985" max="9985" width="11" style="687" customWidth="1"/>
    <col min="9986" max="9986" width="57.85546875" style="687" customWidth="1"/>
    <col min="9987" max="9987" width="19.5703125" style="687" customWidth="1"/>
    <col min="9988" max="9988" width="20" style="687" customWidth="1"/>
    <col min="9989" max="9990" width="22.5703125" style="687" customWidth="1"/>
    <col min="9991" max="9991" width="24.140625" style="687" bestFit="1" customWidth="1"/>
    <col min="9992" max="9992" width="20" style="687" customWidth="1"/>
    <col min="9993" max="9993" width="20.140625" style="687" customWidth="1"/>
    <col min="9994" max="9995" width="19" style="687" customWidth="1"/>
    <col min="9996" max="9996" width="22.42578125" style="687" customWidth="1"/>
    <col min="9997" max="9997" width="15.5703125" style="687" customWidth="1"/>
    <col min="9998" max="9998" width="12.42578125" style="687" customWidth="1"/>
    <col min="9999" max="10240" width="9.140625" style="687"/>
    <col min="10241" max="10241" width="11" style="687" customWidth="1"/>
    <col min="10242" max="10242" width="57.85546875" style="687" customWidth="1"/>
    <col min="10243" max="10243" width="19.5703125" style="687" customWidth="1"/>
    <col min="10244" max="10244" width="20" style="687" customWidth="1"/>
    <col min="10245" max="10246" width="22.5703125" style="687" customWidth="1"/>
    <col min="10247" max="10247" width="24.140625" style="687" bestFit="1" customWidth="1"/>
    <col min="10248" max="10248" width="20" style="687" customWidth="1"/>
    <col min="10249" max="10249" width="20.140625" style="687" customWidth="1"/>
    <col min="10250" max="10251" width="19" style="687" customWidth="1"/>
    <col min="10252" max="10252" width="22.42578125" style="687" customWidth="1"/>
    <col min="10253" max="10253" width="15.5703125" style="687" customWidth="1"/>
    <col min="10254" max="10254" width="12.42578125" style="687" customWidth="1"/>
    <col min="10255" max="10496" width="9.140625" style="687"/>
    <col min="10497" max="10497" width="11" style="687" customWidth="1"/>
    <col min="10498" max="10498" width="57.85546875" style="687" customWidth="1"/>
    <col min="10499" max="10499" width="19.5703125" style="687" customWidth="1"/>
    <col min="10500" max="10500" width="20" style="687" customWidth="1"/>
    <col min="10501" max="10502" width="22.5703125" style="687" customWidth="1"/>
    <col min="10503" max="10503" width="24.140625" style="687" bestFit="1" customWidth="1"/>
    <col min="10504" max="10504" width="20" style="687" customWidth="1"/>
    <col min="10505" max="10505" width="20.140625" style="687" customWidth="1"/>
    <col min="10506" max="10507" width="19" style="687" customWidth="1"/>
    <col min="10508" max="10508" width="22.42578125" style="687" customWidth="1"/>
    <col min="10509" max="10509" width="15.5703125" style="687" customWidth="1"/>
    <col min="10510" max="10510" width="12.42578125" style="687" customWidth="1"/>
    <col min="10511" max="10752" width="9.140625" style="687"/>
    <col min="10753" max="10753" width="11" style="687" customWidth="1"/>
    <col min="10754" max="10754" width="57.85546875" style="687" customWidth="1"/>
    <col min="10755" max="10755" width="19.5703125" style="687" customWidth="1"/>
    <col min="10756" max="10756" width="20" style="687" customWidth="1"/>
    <col min="10757" max="10758" width="22.5703125" style="687" customWidth="1"/>
    <col min="10759" max="10759" width="24.140625" style="687" bestFit="1" customWidth="1"/>
    <col min="10760" max="10760" width="20" style="687" customWidth="1"/>
    <col min="10761" max="10761" width="20.140625" style="687" customWidth="1"/>
    <col min="10762" max="10763" width="19" style="687" customWidth="1"/>
    <col min="10764" max="10764" width="22.42578125" style="687" customWidth="1"/>
    <col min="10765" max="10765" width="15.5703125" style="687" customWidth="1"/>
    <col min="10766" max="10766" width="12.42578125" style="687" customWidth="1"/>
    <col min="10767" max="11008" width="9.140625" style="687"/>
    <col min="11009" max="11009" width="11" style="687" customWidth="1"/>
    <col min="11010" max="11010" width="57.85546875" style="687" customWidth="1"/>
    <col min="11011" max="11011" width="19.5703125" style="687" customWidth="1"/>
    <col min="11012" max="11012" width="20" style="687" customWidth="1"/>
    <col min="11013" max="11014" width="22.5703125" style="687" customWidth="1"/>
    <col min="11015" max="11015" width="24.140625" style="687" bestFit="1" customWidth="1"/>
    <col min="11016" max="11016" width="20" style="687" customWidth="1"/>
    <col min="11017" max="11017" width="20.140625" style="687" customWidth="1"/>
    <col min="11018" max="11019" width="19" style="687" customWidth="1"/>
    <col min="11020" max="11020" width="22.42578125" style="687" customWidth="1"/>
    <col min="11021" max="11021" width="15.5703125" style="687" customWidth="1"/>
    <col min="11022" max="11022" width="12.42578125" style="687" customWidth="1"/>
    <col min="11023" max="11264" width="9.140625" style="687"/>
    <col min="11265" max="11265" width="11" style="687" customWidth="1"/>
    <col min="11266" max="11266" width="57.85546875" style="687" customWidth="1"/>
    <col min="11267" max="11267" width="19.5703125" style="687" customWidth="1"/>
    <col min="11268" max="11268" width="20" style="687" customWidth="1"/>
    <col min="11269" max="11270" width="22.5703125" style="687" customWidth="1"/>
    <col min="11271" max="11271" width="24.140625" style="687" bestFit="1" customWidth="1"/>
    <col min="11272" max="11272" width="20" style="687" customWidth="1"/>
    <col min="11273" max="11273" width="20.140625" style="687" customWidth="1"/>
    <col min="11274" max="11275" width="19" style="687" customWidth="1"/>
    <col min="11276" max="11276" width="22.42578125" style="687" customWidth="1"/>
    <col min="11277" max="11277" width="15.5703125" style="687" customWidth="1"/>
    <col min="11278" max="11278" width="12.42578125" style="687" customWidth="1"/>
    <col min="11279" max="11520" width="9.140625" style="687"/>
    <col min="11521" max="11521" width="11" style="687" customWidth="1"/>
    <col min="11522" max="11522" width="57.85546875" style="687" customWidth="1"/>
    <col min="11523" max="11523" width="19.5703125" style="687" customWidth="1"/>
    <col min="11524" max="11524" width="20" style="687" customWidth="1"/>
    <col min="11525" max="11526" width="22.5703125" style="687" customWidth="1"/>
    <col min="11527" max="11527" width="24.140625" style="687" bestFit="1" customWidth="1"/>
    <col min="11528" max="11528" width="20" style="687" customWidth="1"/>
    <col min="11529" max="11529" width="20.140625" style="687" customWidth="1"/>
    <col min="11530" max="11531" width="19" style="687" customWidth="1"/>
    <col min="11532" max="11532" width="22.42578125" style="687" customWidth="1"/>
    <col min="11533" max="11533" width="15.5703125" style="687" customWidth="1"/>
    <col min="11534" max="11534" width="12.42578125" style="687" customWidth="1"/>
    <col min="11535" max="11776" width="9.140625" style="687"/>
    <col min="11777" max="11777" width="11" style="687" customWidth="1"/>
    <col min="11778" max="11778" width="57.85546875" style="687" customWidth="1"/>
    <col min="11779" max="11779" width="19.5703125" style="687" customWidth="1"/>
    <col min="11780" max="11780" width="20" style="687" customWidth="1"/>
    <col min="11781" max="11782" width="22.5703125" style="687" customWidth="1"/>
    <col min="11783" max="11783" width="24.140625" style="687" bestFit="1" customWidth="1"/>
    <col min="11784" max="11784" width="20" style="687" customWidth="1"/>
    <col min="11785" max="11785" width="20.140625" style="687" customWidth="1"/>
    <col min="11786" max="11787" width="19" style="687" customWidth="1"/>
    <col min="11788" max="11788" width="22.42578125" style="687" customWidth="1"/>
    <col min="11789" max="11789" width="15.5703125" style="687" customWidth="1"/>
    <col min="11790" max="11790" width="12.42578125" style="687" customWidth="1"/>
    <col min="11791" max="12032" width="9.140625" style="687"/>
    <col min="12033" max="12033" width="11" style="687" customWidth="1"/>
    <col min="12034" max="12034" width="57.85546875" style="687" customWidth="1"/>
    <col min="12035" max="12035" width="19.5703125" style="687" customWidth="1"/>
    <col min="12036" max="12036" width="20" style="687" customWidth="1"/>
    <col min="12037" max="12038" width="22.5703125" style="687" customWidth="1"/>
    <col min="12039" max="12039" width="24.140625" style="687" bestFit="1" customWidth="1"/>
    <col min="12040" max="12040" width="20" style="687" customWidth="1"/>
    <col min="12041" max="12041" width="20.140625" style="687" customWidth="1"/>
    <col min="12042" max="12043" width="19" style="687" customWidth="1"/>
    <col min="12044" max="12044" width="22.42578125" style="687" customWidth="1"/>
    <col min="12045" max="12045" width="15.5703125" style="687" customWidth="1"/>
    <col min="12046" max="12046" width="12.42578125" style="687" customWidth="1"/>
    <col min="12047" max="12288" width="9.140625" style="687"/>
    <col min="12289" max="12289" width="11" style="687" customWidth="1"/>
    <col min="12290" max="12290" width="57.85546875" style="687" customWidth="1"/>
    <col min="12291" max="12291" width="19.5703125" style="687" customWidth="1"/>
    <col min="12292" max="12292" width="20" style="687" customWidth="1"/>
    <col min="12293" max="12294" width="22.5703125" style="687" customWidth="1"/>
    <col min="12295" max="12295" width="24.140625" style="687" bestFit="1" customWidth="1"/>
    <col min="12296" max="12296" width="20" style="687" customWidth="1"/>
    <col min="12297" max="12297" width="20.140625" style="687" customWidth="1"/>
    <col min="12298" max="12299" width="19" style="687" customWidth="1"/>
    <col min="12300" max="12300" width="22.42578125" style="687" customWidth="1"/>
    <col min="12301" max="12301" width="15.5703125" style="687" customWidth="1"/>
    <col min="12302" max="12302" width="12.42578125" style="687" customWidth="1"/>
    <col min="12303" max="12544" width="9.140625" style="687"/>
    <col min="12545" max="12545" width="11" style="687" customWidth="1"/>
    <col min="12546" max="12546" width="57.85546875" style="687" customWidth="1"/>
    <col min="12547" max="12547" width="19.5703125" style="687" customWidth="1"/>
    <col min="12548" max="12548" width="20" style="687" customWidth="1"/>
    <col min="12549" max="12550" width="22.5703125" style="687" customWidth="1"/>
    <col min="12551" max="12551" width="24.140625" style="687" bestFit="1" customWidth="1"/>
    <col min="12552" max="12552" width="20" style="687" customWidth="1"/>
    <col min="12553" max="12553" width="20.140625" style="687" customWidth="1"/>
    <col min="12554" max="12555" width="19" style="687" customWidth="1"/>
    <col min="12556" max="12556" width="22.42578125" style="687" customWidth="1"/>
    <col min="12557" max="12557" width="15.5703125" style="687" customWidth="1"/>
    <col min="12558" max="12558" width="12.42578125" style="687" customWidth="1"/>
    <col min="12559" max="12800" width="9.140625" style="687"/>
    <col min="12801" max="12801" width="11" style="687" customWidth="1"/>
    <col min="12802" max="12802" width="57.85546875" style="687" customWidth="1"/>
    <col min="12803" max="12803" width="19.5703125" style="687" customWidth="1"/>
    <col min="12804" max="12804" width="20" style="687" customWidth="1"/>
    <col min="12805" max="12806" width="22.5703125" style="687" customWidth="1"/>
    <col min="12807" max="12807" width="24.140625" style="687" bestFit="1" customWidth="1"/>
    <col min="12808" max="12808" width="20" style="687" customWidth="1"/>
    <col min="12809" max="12809" width="20.140625" style="687" customWidth="1"/>
    <col min="12810" max="12811" width="19" style="687" customWidth="1"/>
    <col min="12812" max="12812" width="22.42578125" style="687" customWidth="1"/>
    <col min="12813" max="12813" width="15.5703125" style="687" customWidth="1"/>
    <col min="12814" max="12814" width="12.42578125" style="687" customWidth="1"/>
    <col min="12815" max="13056" width="9.140625" style="687"/>
    <col min="13057" max="13057" width="11" style="687" customWidth="1"/>
    <col min="13058" max="13058" width="57.85546875" style="687" customWidth="1"/>
    <col min="13059" max="13059" width="19.5703125" style="687" customWidth="1"/>
    <col min="13060" max="13060" width="20" style="687" customWidth="1"/>
    <col min="13061" max="13062" width="22.5703125" style="687" customWidth="1"/>
    <col min="13063" max="13063" width="24.140625" style="687" bestFit="1" customWidth="1"/>
    <col min="13064" max="13064" width="20" style="687" customWidth="1"/>
    <col min="13065" max="13065" width="20.140625" style="687" customWidth="1"/>
    <col min="13066" max="13067" width="19" style="687" customWidth="1"/>
    <col min="13068" max="13068" width="22.42578125" style="687" customWidth="1"/>
    <col min="13069" max="13069" width="15.5703125" style="687" customWidth="1"/>
    <col min="13070" max="13070" width="12.42578125" style="687" customWidth="1"/>
    <col min="13071" max="13312" width="9.140625" style="687"/>
    <col min="13313" max="13313" width="11" style="687" customWidth="1"/>
    <col min="13314" max="13314" width="57.85546875" style="687" customWidth="1"/>
    <col min="13315" max="13315" width="19.5703125" style="687" customWidth="1"/>
    <col min="13316" max="13316" width="20" style="687" customWidth="1"/>
    <col min="13317" max="13318" width="22.5703125" style="687" customWidth="1"/>
    <col min="13319" max="13319" width="24.140625" style="687" bestFit="1" customWidth="1"/>
    <col min="13320" max="13320" width="20" style="687" customWidth="1"/>
    <col min="13321" max="13321" width="20.140625" style="687" customWidth="1"/>
    <col min="13322" max="13323" width="19" style="687" customWidth="1"/>
    <col min="13324" max="13324" width="22.42578125" style="687" customWidth="1"/>
    <col min="13325" max="13325" width="15.5703125" style="687" customWidth="1"/>
    <col min="13326" max="13326" width="12.42578125" style="687" customWidth="1"/>
    <col min="13327" max="13568" width="9.140625" style="687"/>
    <col min="13569" max="13569" width="11" style="687" customWidth="1"/>
    <col min="13570" max="13570" width="57.85546875" style="687" customWidth="1"/>
    <col min="13571" max="13571" width="19.5703125" style="687" customWidth="1"/>
    <col min="13572" max="13572" width="20" style="687" customWidth="1"/>
    <col min="13573" max="13574" width="22.5703125" style="687" customWidth="1"/>
    <col min="13575" max="13575" width="24.140625" style="687" bestFit="1" customWidth="1"/>
    <col min="13576" max="13576" width="20" style="687" customWidth="1"/>
    <col min="13577" max="13577" width="20.140625" style="687" customWidth="1"/>
    <col min="13578" max="13579" width="19" style="687" customWidth="1"/>
    <col min="13580" max="13580" width="22.42578125" style="687" customWidth="1"/>
    <col min="13581" max="13581" width="15.5703125" style="687" customWidth="1"/>
    <col min="13582" max="13582" width="12.42578125" style="687" customWidth="1"/>
    <col min="13583" max="13824" width="9.140625" style="687"/>
    <col min="13825" max="13825" width="11" style="687" customWidth="1"/>
    <col min="13826" max="13826" width="57.85546875" style="687" customWidth="1"/>
    <col min="13827" max="13827" width="19.5703125" style="687" customWidth="1"/>
    <col min="13828" max="13828" width="20" style="687" customWidth="1"/>
    <col min="13829" max="13830" width="22.5703125" style="687" customWidth="1"/>
    <col min="13831" max="13831" width="24.140625" style="687" bestFit="1" customWidth="1"/>
    <col min="13832" max="13832" width="20" style="687" customWidth="1"/>
    <col min="13833" max="13833" width="20.140625" style="687" customWidth="1"/>
    <col min="13834" max="13835" width="19" style="687" customWidth="1"/>
    <col min="13836" max="13836" width="22.42578125" style="687" customWidth="1"/>
    <col min="13837" max="13837" width="15.5703125" style="687" customWidth="1"/>
    <col min="13838" max="13838" width="12.42578125" style="687" customWidth="1"/>
    <col min="13839" max="14080" width="9.140625" style="687"/>
    <col min="14081" max="14081" width="11" style="687" customWidth="1"/>
    <col min="14082" max="14082" width="57.85546875" style="687" customWidth="1"/>
    <col min="14083" max="14083" width="19.5703125" style="687" customWidth="1"/>
    <col min="14084" max="14084" width="20" style="687" customWidth="1"/>
    <col min="14085" max="14086" width="22.5703125" style="687" customWidth="1"/>
    <col min="14087" max="14087" width="24.140625" style="687" bestFit="1" customWidth="1"/>
    <col min="14088" max="14088" width="20" style="687" customWidth="1"/>
    <col min="14089" max="14089" width="20.140625" style="687" customWidth="1"/>
    <col min="14090" max="14091" width="19" style="687" customWidth="1"/>
    <col min="14092" max="14092" width="22.42578125" style="687" customWidth="1"/>
    <col min="14093" max="14093" width="15.5703125" style="687" customWidth="1"/>
    <col min="14094" max="14094" width="12.42578125" style="687" customWidth="1"/>
    <col min="14095" max="14336" width="9.140625" style="687"/>
    <col min="14337" max="14337" width="11" style="687" customWidth="1"/>
    <col min="14338" max="14338" width="57.85546875" style="687" customWidth="1"/>
    <col min="14339" max="14339" width="19.5703125" style="687" customWidth="1"/>
    <col min="14340" max="14340" width="20" style="687" customWidth="1"/>
    <col min="14341" max="14342" width="22.5703125" style="687" customWidth="1"/>
    <col min="14343" max="14343" width="24.140625" style="687" bestFit="1" customWidth="1"/>
    <col min="14344" max="14344" width="20" style="687" customWidth="1"/>
    <col min="14345" max="14345" width="20.140625" style="687" customWidth="1"/>
    <col min="14346" max="14347" width="19" style="687" customWidth="1"/>
    <col min="14348" max="14348" width="22.42578125" style="687" customWidth="1"/>
    <col min="14349" max="14349" width="15.5703125" style="687" customWidth="1"/>
    <col min="14350" max="14350" width="12.42578125" style="687" customWidth="1"/>
    <col min="14351" max="14592" width="9.140625" style="687"/>
    <col min="14593" max="14593" width="11" style="687" customWidth="1"/>
    <col min="14594" max="14594" width="57.85546875" style="687" customWidth="1"/>
    <col min="14595" max="14595" width="19.5703125" style="687" customWidth="1"/>
    <col min="14596" max="14596" width="20" style="687" customWidth="1"/>
    <col min="14597" max="14598" width="22.5703125" style="687" customWidth="1"/>
    <col min="14599" max="14599" width="24.140625" style="687" bestFit="1" customWidth="1"/>
    <col min="14600" max="14600" width="20" style="687" customWidth="1"/>
    <col min="14601" max="14601" width="20.140625" style="687" customWidth="1"/>
    <col min="14602" max="14603" width="19" style="687" customWidth="1"/>
    <col min="14604" max="14604" width="22.42578125" style="687" customWidth="1"/>
    <col min="14605" max="14605" width="15.5703125" style="687" customWidth="1"/>
    <col min="14606" max="14606" width="12.42578125" style="687" customWidth="1"/>
    <col min="14607" max="14848" width="9.140625" style="687"/>
    <col min="14849" max="14849" width="11" style="687" customWidth="1"/>
    <col min="14850" max="14850" width="57.85546875" style="687" customWidth="1"/>
    <col min="14851" max="14851" width="19.5703125" style="687" customWidth="1"/>
    <col min="14852" max="14852" width="20" style="687" customWidth="1"/>
    <col min="14853" max="14854" width="22.5703125" style="687" customWidth="1"/>
    <col min="14855" max="14855" width="24.140625" style="687" bestFit="1" customWidth="1"/>
    <col min="14856" max="14856" width="20" style="687" customWidth="1"/>
    <col min="14857" max="14857" width="20.140625" style="687" customWidth="1"/>
    <col min="14858" max="14859" width="19" style="687" customWidth="1"/>
    <col min="14860" max="14860" width="22.42578125" style="687" customWidth="1"/>
    <col min="14861" max="14861" width="15.5703125" style="687" customWidth="1"/>
    <col min="14862" max="14862" width="12.42578125" style="687" customWidth="1"/>
    <col min="14863" max="15104" width="9.140625" style="687"/>
    <col min="15105" max="15105" width="11" style="687" customWidth="1"/>
    <col min="15106" max="15106" width="57.85546875" style="687" customWidth="1"/>
    <col min="15107" max="15107" width="19.5703125" style="687" customWidth="1"/>
    <col min="15108" max="15108" width="20" style="687" customWidth="1"/>
    <col min="15109" max="15110" width="22.5703125" style="687" customWidth="1"/>
    <col min="15111" max="15111" width="24.140625" style="687" bestFit="1" customWidth="1"/>
    <col min="15112" max="15112" width="20" style="687" customWidth="1"/>
    <col min="15113" max="15113" width="20.140625" style="687" customWidth="1"/>
    <col min="15114" max="15115" width="19" style="687" customWidth="1"/>
    <col min="15116" max="15116" width="22.42578125" style="687" customWidth="1"/>
    <col min="15117" max="15117" width="15.5703125" style="687" customWidth="1"/>
    <col min="15118" max="15118" width="12.42578125" style="687" customWidth="1"/>
    <col min="15119" max="15360" width="9.140625" style="687"/>
    <col min="15361" max="15361" width="11" style="687" customWidth="1"/>
    <col min="15362" max="15362" width="57.85546875" style="687" customWidth="1"/>
    <col min="15363" max="15363" width="19.5703125" style="687" customWidth="1"/>
    <col min="15364" max="15364" width="20" style="687" customWidth="1"/>
    <col min="15365" max="15366" width="22.5703125" style="687" customWidth="1"/>
    <col min="15367" max="15367" width="24.140625" style="687" bestFit="1" customWidth="1"/>
    <col min="15368" max="15368" width="20" style="687" customWidth="1"/>
    <col min="15369" max="15369" width="20.140625" style="687" customWidth="1"/>
    <col min="15370" max="15371" width="19" style="687" customWidth="1"/>
    <col min="15372" max="15372" width="22.42578125" style="687" customWidth="1"/>
    <col min="15373" max="15373" width="15.5703125" style="687" customWidth="1"/>
    <col min="15374" max="15374" width="12.42578125" style="687" customWidth="1"/>
    <col min="15375" max="15616" width="9.140625" style="687"/>
    <col min="15617" max="15617" width="11" style="687" customWidth="1"/>
    <col min="15618" max="15618" width="57.85546875" style="687" customWidth="1"/>
    <col min="15619" max="15619" width="19.5703125" style="687" customWidth="1"/>
    <col min="15620" max="15620" width="20" style="687" customWidth="1"/>
    <col min="15621" max="15622" width="22.5703125" style="687" customWidth="1"/>
    <col min="15623" max="15623" width="24.140625" style="687" bestFit="1" customWidth="1"/>
    <col min="15624" max="15624" width="20" style="687" customWidth="1"/>
    <col min="15625" max="15625" width="20.140625" style="687" customWidth="1"/>
    <col min="15626" max="15627" width="19" style="687" customWidth="1"/>
    <col min="15628" max="15628" width="22.42578125" style="687" customWidth="1"/>
    <col min="15629" max="15629" width="15.5703125" style="687" customWidth="1"/>
    <col min="15630" max="15630" width="12.42578125" style="687" customWidth="1"/>
    <col min="15631" max="15872" width="9.140625" style="687"/>
    <col min="15873" max="15873" width="11" style="687" customWidth="1"/>
    <col min="15874" max="15874" width="57.85546875" style="687" customWidth="1"/>
    <col min="15875" max="15875" width="19.5703125" style="687" customWidth="1"/>
    <col min="15876" max="15876" width="20" style="687" customWidth="1"/>
    <col min="15877" max="15878" width="22.5703125" style="687" customWidth="1"/>
    <col min="15879" max="15879" width="24.140625" style="687" bestFit="1" customWidth="1"/>
    <col min="15880" max="15880" width="20" style="687" customWidth="1"/>
    <col min="15881" max="15881" width="20.140625" style="687" customWidth="1"/>
    <col min="15882" max="15883" width="19" style="687" customWidth="1"/>
    <col min="15884" max="15884" width="22.42578125" style="687" customWidth="1"/>
    <col min="15885" max="15885" width="15.5703125" style="687" customWidth="1"/>
    <col min="15886" max="15886" width="12.42578125" style="687" customWidth="1"/>
    <col min="15887" max="16128" width="9.140625" style="687"/>
    <col min="16129" max="16129" width="11" style="687" customWidth="1"/>
    <col min="16130" max="16130" width="57.85546875" style="687" customWidth="1"/>
    <col min="16131" max="16131" width="19.5703125" style="687" customWidth="1"/>
    <col min="16132" max="16132" width="20" style="687" customWidth="1"/>
    <col min="16133" max="16134" width="22.5703125" style="687" customWidth="1"/>
    <col min="16135" max="16135" width="24.140625" style="687" bestFit="1" customWidth="1"/>
    <col min="16136" max="16136" width="20" style="687" customWidth="1"/>
    <col min="16137" max="16137" width="20.140625" style="687" customWidth="1"/>
    <col min="16138" max="16139" width="19" style="687" customWidth="1"/>
    <col min="16140" max="16140" width="22.42578125" style="687" customWidth="1"/>
    <col min="16141" max="16141" width="15.5703125" style="687" customWidth="1"/>
    <col min="16142" max="16142" width="12.42578125" style="687" customWidth="1"/>
    <col min="16143" max="16384" width="9.140625" style="687"/>
  </cols>
  <sheetData>
    <row r="1" spans="1:12" x14ac:dyDescent="0.3">
      <c r="B1" s="688" t="s">
        <v>555</v>
      </c>
    </row>
    <row r="2" spans="1:12" x14ac:dyDescent="0.3">
      <c r="B2" s="688"/>
    </row>
    <row r="3" spans="1:12" x14ac:dyDescent="0.3">
      <c r="B3" s="688"/>
    </row>
    <row r="4" spans="1:12" ht="36.75" customHeight="1" x14ac:dyDescent="0.3">
      <c r="C4" s="1578" t="s">
        <v>556</v>
      </c>
      <c r="D4" s="1578"/>
      <c r="E4" s="1578"/>
      <c r="F4" s="1578"/>
    </row>
    <row r="5" spans="1:12" ht="18.75" customHeight="1" x14ac:dyDescent="0.3">
      <c r="A5" s="1579"/>
      <c r="B5" s="1580" t="s">
        <v>557</v>
      </c>
      <c r="C5" s="1578" t="s">
        <v>558</v>
      </c>
      <c r="D5" s="1578" t="s">
        <v>559</v>
      </c>
      <c r="E5" s="1576" t="s">
        <v>560</v>
      </c>
      <c r="F5" s="1576" t="s">
        <v>561</v>
      </c>
      <c r="G5" s="1576" t="s">
        <v>562</v>
      </c>
      <c r="H5" s="1576" t="s">
        <v>563</v>
      </c>
      <c r="I5" s="1576" t="s">
        <v>564</v>
      </c>
      <c r="J5" s="1576" t="s">
        <v>565</v>
      </c>
      <c r="K5" s="1576"/>
      <c r="L5" s="1576" t="s">
        <v>566</v>
      </c>
    </row>
    <row r="6" spans="1:12" ht="81" customHeight="1" x14ac:dyDescent="0.3">
      <c r="A6" s="1579"/>
      <c r="B6" s="1580"/>
      <c r="C6" s="1578"/>
      <c r="D6" s="1578"/>
      <c r="E6" s="1577"/>
      <c r="F6" s="1577"/>
      <c r="G6" s="1577"/>
      <c r="H6" s="1577"/>
      <c r="I6" s="1577"/>
      <c r="J6" s="1577"/>
      <c r="K6" s="1577"/>
      <c r="L6" s="1577"/>
    </row>
    <row r="7" spans="1:12" ht="21.75" customHeight="1" x14ac:dyDescent="0.3">
      <c r="A7" s="689"/>
      <c r="B7" s="690"/>
      <c r="C7" s="691">
        <v>1</v>
      </c>
      <c r="D7" s="691">
        <v>2</v>
      </c>
      <c r="E7" s="692">
        <v>3</v>
      </c>
      <c r="F7" s="692" t="s">
        <v>567</v>
      </c>
      <c r="G7" s="692">
        <v>5</v>
      </c>
      <c r="H7" s="692">
        <v>6</v>
      </c>
      <c r="I7" s="692" t="s">
        <v>568</v>
      </c>
      <c r="J7" s="692">
        <v>8</v>
      </c>
      <c r="K7" s="692"/>
      <c r="L7" s="692" t="s">
        <v>569</v>
      </c>
    </row>
    <row r="8" spans="1:12" x14ac:dyDescent="0.3">
      <c r="A8" s="693">
        <v>1</v>
      </c>
      <c r="B8" s="694" t="s">
        <v>570</v>
      </c>
      <c r="C8" s="695">
        <f>C9</f>
        <v>95338300</v>
      </c>
      <c r="D8" s="695">
        <f>D9</f>
        <v>95338300</v>
      </c>
      <c r="E8" s="695">
        <f>E9</f>
        <v>95338300</v>
      </c>
      <c r="F8" s="695"/>
      <c r="G8" s="696">
        <f>G9</f>
        <v>130670428.48999999</v>
      </c>
      <c r="H8" s="696">
        <f>H9</f>
        <v>130670428.48999999</v>
      </c>
      <c r="I8" s="696"/>
      <c r="J8" s="696"/>
      <c r="K8" s="696"/>
      <c r="L8" s="696"/>
    </row>
    <row r="9" spans="1:12" x14ac:dyDescent="0.3">
      <c r="A9" s="697"/>
      <c r="B9" s="698" t="s">
        <v>571</v>
      </c>
      <c r="C9" s="699">
        <v>95338300</v>
      </c>
      <c r="D9" s="699">
        <f>C9</f>
        <v>95338300</v>
      </c>
      <c r="E9" s="699">
        <f>C9</f>
        <v>95338300</v>
      </c>
      <c r="F9" s="699"/>
      <c r="G9" s="700">
        <f>130176630.6+493797.89</f>
        <v>130670428.48999999</v>
      </c>
      <c r="H9" s="700">
        <f>G9</f>
        <v>130670428.48999999</v>
      </c>
      <c r="I9" s="700"/>
      <c r="J9" s="700"/>
      <c r="K9" s="700"/>
      <c r="L9" s="700"/>
    </row>
    <row r="10" spans="1:12" x14ac:dyDescent="0.3">
      <c r="A10" s="701">
        <v>2</v>
      </c>
      <c r="B10" s="702" t="s">
        <v>572</v>
      </c>
      <c r="C10" s="703">
        <f>C11+C13</f>
        <v>95338300</v>
      </c>
      <c r="D10" s="703">
        <f>D11+D13</f>
        <v>71050183.460000008</v>
      </c>
      <c r="E10" s="703">
        <f>E11+E13</f>
        <v>7758964.6399999997</v>
      </c>
      <c r="F10" s="703">
        <f>F11+F13</f>
        <v>16529151.900000002</v>
      </c>
      <c r="G10" s="703">
        <f>G11+G12+G13+G14+G15+G16+G17+G18+G19+G20+G21</f>
        <v>130670428.49000001</v>
      </c>
      <c r="H10" s="703">
        <f>SUM(H11:H21)</f>
        <v>120965080.25999999</v>
      </c>
      <c r="I10" s="703">
        <f>I11+I12+I13+I14+I15+I16+I17+I18+I19+I20+I21</f>
        <v>9705348.2299999986</v>
      </c>
      <c r="J10" s="703">
        <f>J11+J12+J13+J14+J15+J16+J17+J18+J19+J20+J21</f>
        <v>3329964.34</v>
      </c>
      <c r="K10" s="703">
        <f>K11+K12+K13+K14+K15+K16+K17+K18+K19+K20+K21</f>
        <v>5715008.7599999988</v>
      </c>
      <c r="L10" s="703">
        <f>SUM(L11:L21)</f>
        <v>-6042408.9699999951</v>
      </c>
    </row>
    <row r="11" spans="1:12" x14ac:dyDescent="0.3">
      <c r="A11" s="704">
        <v>211</v>
      </c>
      <c r="B11" s="698" t="s">
        <v>573</v>
      </c>
      <c r="C11" s="705">
        <v>73224455.730000004</v>
      </c>
      <c r="D11" s="705">
        <f>[4]бюджет!L22</f>
        <v>54570040</v>
      </c>
      <c r="E11" s="705">
        <v>5936469</v>
      </c>
      <c r="F11" s="705">
        <f>C11-D11-E11</f>
        <v>12717946.730000004</v>
      </c>
      <c r="G11" s="706">
        <v>62112196.57</v>
      </c>
      <c r="H11" s="705">
        <f>116377432.27-D11-E11+5936469+3677624.06</f>
        <v>65485016.329999998</v>
      </c>
      <c r="I11" s="705">
        <f>G11-H11</f>
        <v>-3372819.7599999979</v>
      </c>
      <c r="J11" s="705">
        <v>3329964.34</v>
      </c>
      <c r="K11" s="705"/>
      <c r="L11" s="705">
        <f>I11-J11</f>
        <v>-6702784.0999999978</v>
      </c>
    </row>
    <row r="12" spans="1:12" x14ac:dyDescent="0.3">
      <c r="A12" s="704">
        <v>212</v>
      </c>
      <c r="B12" s="698" t="s">
        <v>574</v>
      </c>
      <c r="C12" s="707"/>
      <c r="E12" s="707"/>
      <c r="F12" s="707"/>
      <c r="G12" s="706">
        <v>122448.57</v>
      </c>
      <c r="H12" s="705">
        <v>302362.46999999997</v>
      </c>
      <c r="I12" s="705">
        <f t="shared" ref="I12:I21" si="0">G12-H12</f>
        <v>-179913.89999999997</v>
      </c>
      <c r="J12" s="705"/>
      <c r="K12" s="705"/>
      <c r="L12" s="705"/>
    </row>
    <row r="13" spans="1:12" x14ac:dyDescent="0.3">
      <c r="A13" s="704">
        <v>213</v>
      </c>
      <c r="B13" s="698" t="s">
        <v>575</v>
      </c>
      <c r="C13" s="705">
        <v>22113844.27</v>
      </c>
      <c r="D13" s="705">
        <f>[4]бюджет!L23</f>
        <v>16480143.460000001</v>
      </c>
      <c r="E13" s="705">
        <v>1822495.64</v>
      </c>
      <c r="F13" s="705">
        <f>C13-D13-E13</f>
        <v>3811205.169999999</v>
      </c>
      <c r="G13" s="706">
        <v>18709426.219999999</v>
      </c>
      <c r="H13" s="705">
        <f>32642779.71-D13-E13+1822495.64+1129030.59</f>
        <v>17291666.84</v>
      </c>
      <c r="I13" s="705">
        <f t="shared" si="0"/>
        <v>1417759.379999999</v>
      </c>
      <c r="J13" s="705"/>
      <c r="K13" s="705">
        <v>200000</v>
      </c>
      <c r="L13" s="705">
        <f>I13-J13+I12+L11-K13</f>
        <v>-5664938.6199999992</v>
      </c>
    </row>
    <row r="14" spans="1:12" x14ac:dyDescent="0.3">
      <c r="A14" s="704">
        <v>221</v>
      </c>
      <c r="B14" s="698" t="s">
        <v>419</v>
      </c>
      <c r="C14" s="698"/>
      <c r="D14" s="705"/>
      <c r="E14" s="705"/>
      <c r="F14" s="705"/>
      <c r="G14" s="706">
        <v>677714.64</v>
      </c>
      <c r="H14" s="705">
        <f>[4]бюджет!H25</f>
        <v>387645.85</v>
      </c>
      <c r="I14" s="705">
        <f t="shared" si="0"/>
        <v>290068.79000000004</v>
      </c>
      <c r="J14" s="705"/>
      <c r="K14" s="705"/>
      <c r="L14" s="705">
        <f>I14-J14-K14</f>
        <v>290068.79000000004</v>
      </c>
    </row>
    <row r="15" spans="1:12" x14ac:dyDescent="0.3">
      <c r="A15" s="704">
        <v>223</v>
      </c>
      <c r="B15" s="698" t="s">
        <v>420</v>
      </c>
      <c r="C15" s="698"/>
      <c r="D15" s="705"/>
      <c r="E15" s="705"/>
      <c r="F15" s="705"/>
      <c r="G15" s="706">
        <v>12397327.449999999</v>
      </c>
      <c r="H15" s="705">
        <f>[4]бюджет!H43</f>
        <v>8030386.3200000003</v>
      </c>
      <c r="I15" s="705">
        <f t="shared" si="0"/>
        <v>4366941.129999999</v>
      </c>
      <c r="J15" s="705"/>
      <c r="K15" s="705">
        <f>371899.16+599427.88</f>
        <v>971327.04</v>
      </c>
      <c r="L15" s="705">
        <f>I15-J15-K15</f>
        <v>3395614.0899999989</v>
      </c>
    </row>
    <row r="16" spans="1:12" x14ac:dyDescent="0.3">
      <c r="A16" s="704">
        <v>225</v>
      </c>
      <c r="B16" s="698" t="s">
        <v>576</v>
      </c>
      <c r="C16" s="698"/>
      <c r="D16" s="705"/>
      <c r="E16" s="705"/>
      <c r="F16" s="705"/>
      <c r="G16" s="706">
        <v>6092876.3700000001</v>
      </c>
      <c r="H16" s="705">
        <f>[4]бюджет!H56</f>
        <v>5754113.2999999998</v>
      </c>
      <c r="I16" s="705">
        <f t="shared" si="0"/>
        <v>338763.0700000003</v>
      </c>
      <c r="J16" s="705"/>
      <c r="K16" s="705"/>
      <c r="L16" s="705">
        <f t="shared" ref="L16:L21" si="1">I16-J16-K16</f>
        <v>338763.0700000003</v>
      </c>
    </row>
    <row r="17" spans="1:12" x14ac:dyDescent="0.3">
      <c r="A17" s="704">
        <v>226</v>
      </c>
      <c r="B17" s="698" t="s">
        <v>577</v>
      </c>
      <c r="C17" s="698"/>
      <c r="D17" s="705"/>
      <c r="E17" s="705"/>
      <c r="F17" s="705"/>
      <c r="G17" s="706">
        <v>3440483.31</v>
      </c>
      <c r="H17" s="705">
        <f>[4]бюджет!H181</f>
        <v>1954353.99</v>
      </c>
      <c r="I17" s="705">
        <f t="shared" si="0"/>
        <v>1486129.32</v>
      </c>
      <c r="J17" s="705"/>
      <c r="K17" s="705"/>
      <c r="L17" s="705">
        <f t="shared" si="1"/>
        <v>1486129.32</v>
      </c>
    </row>
    <row r="18" spans="1:12" x14ac:dyDescent="0.3">
      <c r="A18" s="704">
        <v>290</v>
      </c>
      <c r="B18" s="698" t="s">
        <v>184</v>
      </c>
      <c r="C18" s="698"/>
      <c r="D18" s="705"/>
      <c r="E18" s="705"/>
      <c r="F18" s="705"/>
      <c r="G18" s="706">
        <v>7336</v>
      </c>
      <c r="H18" s="705">
        <v>7418.84</v>
      </c>
      <c r="I18" s="705">
        <f t="shared" si="0"/>
        <v>-82.840000000000146</v>
      </c>
      <c r="J18" s="705"/>
      <c r="K18" s="705"/>
      <c r="L18" s="705">
        <f t="shared" si="1"/>
        <v>-82.840000000000146</v>
      </c>
    </row>
    <row r="19" spans="1:12" x14ac:dyDescent="0.3">
      <c r="A19" s="704">
        <v>310</v>
      </c>
      <c r="B19" s="698" t="s">
        <v>578</v>
      </c>
      <c r="C19" s="698"/>
      <c r="D19" s="705"/>
      <c r="E19" s="705"/>
      <c r="F19" s="705"/>
      <c r="G19" s="706">
        <v>1178179.43</v>
      </c>
      <c r="H19" s="705">
        <f>[4]бюджет!H286</f>
        <v>516742.56</v>
      </c>
      <c r="I19" s="705">
        <f t="shared" si="0"/>
        <v>661436.86999999988</v>
      </c>
      <c r="J19" s="705"/>
      <c r="K19" s="705"/>
      <c r="L19" s="705">
        <f t="shared" si="1"/>
        <v>661436.86999999988</v>
      </c>
    </row>
    <row r="20" spans="1:12" x14ac:dyDescent="0.3">
      <c r="A20" s="704">
        <v>340</v>
      </c>
      <c r="B20" s="698" t="s">
        <v>579</v>
      </c>
      <c r="C20" s="698"/>
      <c r="D20" s="705"/>
      <c r="E20" s="705"/>
      <c r="F20" s="705"/>
      <c r="G20" s="706">
        <v>22153731.129999999</v>
      </c>
      <c r="H20" s="705">
        <f>[4]бюджет!H312</f>
        <v>17610049.41</v>
      </c>
      <c r="I20" s="705">
        <f t="shared" si="0"/>
        <v>4543681.7199999988</v>
      </c>
      <c r="J20" s="705"/>
      <c r="K20" s="705">
        <f>I20</f>
        <v>4543681.7199999988</v>
      </c>
      <c r="L20" s="705">
        <f t="shared" si="1"/>
        <v>0</v>
      </c>
    </row>
    <row r="21" spans="1:12" ht="19.5" x14ac:dyDescent="0.3">
      <c r="A21" s="708">
        <v>850</v>
      </c>
      <c r="B21" s="709" t="s">
        <v>580</v>
      </c>
      <c r="C21" s="709"/>
      <c r="D21" s="705"/>
      <c r="E21" s="705"/>
      <c r="F21" s="705"/>
      <c r="G21" s="706">
        <f>3435410.92+235990.26+107307.62</f>
        <v>3778708.8</v>
      </c>
      <c r="H21" s="705">
        <f>3625324.35</f>
        <v>3625324.35</v>
      </c>
      <c r="I21" s="705">
        <f t="shared" si="0"/>
        <v>153384.44999999972</v>
      </c>
      <c r="J21" s="705"/>
      <c r="K21" s="705"/>
      <c r="L21" s="705">
        <f t="shared" si="1"/>
        <v>153384.44999999972</v>
      </c>
    </row>
    <row r="22" spans="1:12" ht="37.5" x14ac:dyDescent="0.3">
      <c r="A22" s="710">
        <v>4</v>
      </c>
      <c r="B22" s="711" t="s">
        <v>581</v>
      </c>
      <c r="C22" s="712">
        <f>C8-C10</f>
        <v>0</v>
      </c>
      <c r="D22" s="713">
        <f>D8-D10</f>
        <v>24288116.539999992</v>
      </c>
      <c r="E22" s="713">
        <f>E8-E10-D10</f>
        <v>16529151.899999991</v>
      </c>
      <c r="F22" s="713">
        <f>C10-D10-E10</f>
        <v>16529151.899999991</v>
      </c>
      <c r="G22" s="712">
        <f>G8-G10</f>
        <v>0</v>
      </c>
      <c r="H22" s="712">
        <f>H8-H10</f>
        <v>9705348.2300000042</v>
      </c>
      <c r="I22" s="712">
        <f>I10</f>
        <v>9705348.2299999986</v>
      </c>
      <c r="J22" s="712">
        <f>J10</f>
        <v>3329964.34</v>
      </c>
      <c r="K22" s="712">
        <f>K10</f>
        <v>5715008.7599999988</v>
      </c>
      <c r="L22" s="712">
        <f>L10</f>
        <v>-6042408.9699999951</v>
      </c>
    </row>
    <row r="24" spans="1:12" x14ac:dyDescent="0.3">
      <c r="E24" s="714">
        <f>E11+E13</f>
        <v>7758964.6399999997</v>
      </c>
      <c r="H24" s="714">
        <f>H11+H13</f>
        <v>82776683.170000002</v>
      </c>
    </row>
    <row r="25" spans="1:12" x14ac:dyDescent="0.3">
      <c r="C25" s="715"/>
      <c r="E25" s="687">
        <f>E13/E24</f>
        <v>0.23488902509033729</v>
      </c>
      <c r="H25" s="687">
        <f>H13/H24</f>
        <v>0.20889538186119133</v>
      </c>
    </row>
    <row r="27" spans="1:12" x14ac:dyDescent="0.3">
      <c r="F27" s="705">
        <v>15287973.579999998</v>
      </c>
      <c r="G27" s="705">
        <v>3333800</v>
      </c>
    </row>
    <row r="28" spans="1:12" x14ac:dyDescent="0.3">
      <c r="F28" s="705">
        <f>F27-G28</f>
        <v>12727451.306574499</v>
      </c>
      <c r="G28" s="705">
        <f>G27/1.302</f>
        <v>2560522.273425499</v>
      </c>
      <c r="H28" s="714">
        <f>G27-G28</f>
        <v>773277.72657450102</v>
      </c>
    </row>
    <row r="29" spans="1:12" x14ac:dyDescent="0.3">
      <c r="F29" s="714">
        <f>F11-F28</f>
        <v>-9504.5765744950622</v>
      </c>
    </row>
    <row r="30" spans="1:12" x14ac:dyDescent="0.3">
      <c r="F30" s="687">
        <v>5084313.4699999988</v>
      </c>
    </row>
    <row r="31" spans="1:12" x14ac:dyDescent="0.3">
      <c r="F31" s="714">
        <f>F30-H28</f>
        <v>4311035.7434254978</v>
      </c>
    </row>
    <row r="32" spans="1:12" x14ac:dyDescent="0.3">
      <c r="D32" s="714">
        <f>D11+E11</f>
        <v>60506509</v>
      </c>
    </row>
    <row r="33" spans="4:4" x14ac:dyDescent="0.3">
      <c r="D33" s="714">
        <f>D32*0.302</f>
        <v>18272965.717999998</v>
      </c>
    </row>
  </sheetData>
  <mergeCells count="13">
    <mergeCell ref="L5:L6"/>
    <mergeCell ref="C4:F4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</mergeCells>
  <pageMargins left="0.7" right="0.7" top="0.75" bottom="0.75" header="0.3" footer="0.3"/>
  <pageSetup paperSize="8" scale="75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Q14"/>
  <sheetViews>
    <sheetView workbookViewId="0">
      <selection activeCell="J25" sqref="J25"/>
    </sheetView>
  </sheetViews>
  <sheetFormatPr defaultRowHeight="12.75" x14ac:dyDescent="0.2"/>
  <cols>
    <col min="1" max="6" width="9.140625" style="21"/>
    <col min="7" max="7" width="12.5703125" style="21" customWidth="1"/>
    <col min="8" max="8" width="17.7109375" style="38" hidden="1" customWidth="1"/>
    <col min="9" max="9" width="19.85546875" style="21" customWidth="1"/>
    <col min="10" max="10" width="18.7109375" style="21" customWidth="1"/>
    <col min="11" max="262" width="9.140625" style="21"/>
    <col min="263" max="263" width="12.5703125" style="21" customWidth="1"/>
    <col min="264" max="264" width="0" style="21" hidden="1" customWidth="1"/>
    <col min="265" max="265" width="19.85546875" style="21" customWidth="1"/>
    <col min="266" max="266" width="18.7109375" style="21" customWidth="1"/>
    <col min="267" max="518" width="9.140625" style="21"/>
    <col min="519" max="519" width="12.5703125" style="21" customWidth="1"/>
    <col min="520" max="520" width="0" style="21" hidden="1" customWidth="1"/>
    <col min="521" max="521" width="19.85546875" style="21" customWidth="1"/>
    <col min="522" max="522" width="18.7109375" style="21" customWidth="1"/>
    <col min="523" max="774" width="9.140625" style="21"/>
    <col min="775" max="775" width="12.5703125" style="21" customWidth="1"/>
    <col min="776" max="776" width="0" style="21" hidden="1" customWidth="1"/>
    <col min="777" max="777" width="19.85546875" style="21" customWidth="1"/>
    <col min="778" max="778" width="18.7109375" style="21" customWidth="1"/>
    <col min="779" max="1030" width="9.140625" style="21"/>
    <col min="1031" max="1031" width="12.5703125" style="21" customWidth="1"/>
    <col min="1032" max="1032" width="0" style="21" hidden="1" customWidth="1"/>
    <col min="1033" max="1033" width="19.85546875" style="21" customWidth="1"/>
    <col min="1034" max="1034" width="18.7109375" style="21" customWidth="1"/>
    <col min="1035" max="1286" width="9.140625" style="21"/>
    <col min="1287" max="1287" width="12.5703125" style="21" customWidth="1"/>
    <col min="1288" max="1288" width="0" style="21" hidden="1" customWidth="1"/>
    <col min="1289" max="1289" width="19.85546875" style="21" customWidth="1"/>
    <col min="1290" max="1290" width="18.7109375" style="21" customWidth="1"/>
    <col min="1291" max="1542" width="9.140625" style="21"/>
    <col min="1543" max="1543" width="12.5703125" style="21" customWidth="1"/>
    <col min="1544" max="1544" width="0" style="21" hidden="1" customWidth="1"/>
    <col min="1545" max="1545" width="19.85546875" style="21" customWidth="1"/>
    <col min="1546" max="1546" width="18.7109375" style="21" customWidth="1"/>
    <col min="1547" max="1798" width="9.140625" style="21"/>
    <col min="1799" max="1799" width="12.5703125" style="21" customWidth="1"/>
    <col min="1800" max="1800" width="0" style="21" hidden="1" customWidth="1"/>
    <col min="1801" max="1801" width="19.85546875" style="21" customWidth="1"/>
    <col min="1802" max="1802" width="18.7109375" style="21" customWidth="1"/>
    <col min="1803" max="2054" width="9.140625" style="21"/>
    <col min="2055" max="2055" width="12.5703125" style="21" customWidth="1"/>
    <col min="2056" max="2056" width="0" style="21" hidden="1" customWidth="1"/>
    <col min="2057" max="2057" width="19.85546875" style="21" customWidth="1"/>
    <col min="2058" max="2058" width="18.7109375" style="21" customWidth="1"/>
    <col min="2059" max="2310" width="9.140625" style="21"/>
    <col min="2311" max="2311" width="12.5703125" style="21" customWidth="1"/>
    <col min="2312" max="2312" width="0" style="21" hidden="1" customWidth="1"/>
    <col min="2313" max="2313" width="19.85546875" style="21" customWidth="1"/>
    <col min="2314" max="2314" width="18.7109375" style="21" customWidth="1"/>
    <col min="2315" max="2566" width="9.140625" style="21"/>
    <col min="2567" max="2567" width="12.5703125" style="21" customWidth="1"/>
    <col min="2568" max="2568" width="0" style="21" hidden="1" customWidth="1"/>
    <col min="2569" max="2569" width="19.85546875" style="21" customWidth="1"/>
    <col min="2570" max="2570" width="18.7109375" style="21" customWidth="1"/>
    <col min="2571" max="2822" width="9.140625" style="21"/>
    <col min="2823" max="2823" width="12.5703125" style="21" customWidth="1"/>
    <col min="2824" max="2824" width="0" style="21" hidden="1" customWidth="1"/>
    <col min="2825" max="2825" width="19.85546875" style="21" customWidth="1"/>
    <col min="2826" max="2826" width="18.7109375" style="21" customWidth="1"/>
    <col min="2827" max="3078" width="9.140625" style="21"/>
    <col min="3079" max="3079" width="12.5703125" style="21" customWidth="1"/>
    <col min="3080" max="3080" width="0" style="21" hidden="1" customWidth="1"/>
    <col min="3081" max="3081" width="19.85546875" style="21" customWidth="1"/>
    <col min="3082" max="3082" width="18.7109375" style="21" customWidth="1"/>
    <col min="3083" max="3334" width="9.140625" style="21"/>
    <col min="3335" max="3335" width="12.5703125" style="21" customWidth="1"/>
    <col min="3336" max="3336" width="0" style="21" hidden="1" customWidth="1"/>
    <col min="3337" max="3337" width="19.85546875" style="21" customWidth="1"/>
    <col min="3338" max="3338" width="18.7109375" style="21" customWidth="1"/>
    <col min="3339" max="3590" width="9.140625" style="21"/>
    <col min="3591" max="3591" width="12.5703125" style="21" customWidth="1"/>
    <col min="3592" max="3592" width="0" style="21" hidden="1" customWidth="1"/>
    <col min="3593" max="3593" width="19.85546875" style="21" customWidth="1"/>
    <col min="3594" max="3594" width="18.7109375" style="21" customWidth="1"/>
    <col min="3595" max="3846" width="9.140625" style="21"/>
    <col min="3847" max="3847" width="12.5703125" style="21" customWidth="1"/>
    <col min="3848" max="3848" width="0" style="21" hidden="1" customWidth="1"/>
    <col min="3849" max="3849" width="19.85546875" style="21" customWidth="1"/>
    <col min="3850" max="3850" width="18.7109375" style="21" customWidth="1"/>
    <col min="3851" max="4102" width="9.140625" style="21"/>
    <col min="4103" max="4103" width="12.5703125" style="21" customWidth="1"/>
    <col min="4104" max="4104" width="0" style="21" hidden="1" customWidth="1"/>
    <col min="4105" max="4105" width="19.85546875" style="21" customWidth="1"/>
    <col min="4106" max="4106" width="18.7109375" style="21" customWidth="1"/>
    <col min="4107" max="4358" width="9.140625" style="21"/>
    <col min="4359" max="4359" width="12.5703125" style="21" customWidth="1"/>
    <col min="4360" max="4360" width="0" style="21" hidden="1" customWidth="1"/>
    <col min="4361" max="4361" width="19.85546875" style="21" customWidth="1"/>
    <col min="4362" max="4362" width="18.7109375" style="21" customWidth="1"/>
    <col min="4363" max="4614" width="9.140625" style="21"/>
    <col min="4615" max="4615" width="12.5703125" style="21" customWidth="1"/>
    <col min="4616" max="4616" width="0" style="21" hidden="1" customWidth="1"/>
    <col min="4617" max="4617" width="19.85546875" style="21" customWidth="1"/>
    <col min="4618" max="4618" width="18.7109375" style="21" customWidth="1"/>
    <col min="4619" max="4870" width="9.140625" style="21"/>
    <col min="4871" max="4871" width="12.5703125" style="21" customWidth="1"/>
    <col min="4872" max="4872" width="0" style="21" hidden="1" customWidth="1"/>
    <col min="4873" max="4873" width="19.85546875" style="21" customWidth="1"/>
    <col min="4874" max="4874" width="18.7109375" style="21" customWidth="1"/>
    <col min="4875" max="5126" width="9.140625" style="21"/>
    <col min="5127" max="5127" width="12.5703125" style="21" customWidth="1"/>
    <col min="5128" max="5128" width="0" style="21" hidden="1" customWidth="1"/>
    <col min="5129" max="5129" width="19.85546875" style="21" customWidth="1"/>
    <col min="5130" max="5130" width="18.7109375" style="21" customWidth="1"/>
    <col min="5131" max="5382" width="9.140625" style="21"/>
    <col min="5383" max="5383" width="12.5703125" style="21" customWidth="1"/>
    <col min="5384" max="5384" width="0" style="21" hidden="1" customWidth="1"/>
    <col min="5385" max="5385" width="19.85546875" style="21" customWidth="1"/>
    <col min="5386" max="5386" width="18.7109375" style="21" customWidth="1"/>
    <col min="5387" max="5638" width="9.140625" style="21"/>
    <col min="5639" max="5639" width="12.5703125" style="21" customWidth="1"/>
    <col min="5640" max="5640" width="0" style="21" hidden="1" customWidth="1"/>
    <col min="5641" max="5641" width="19.85546875" style="21" customWidth="1"/>
    <col min="5642" max="5642" width="18.7109375" style="21" customWidth="1"/>
    <col min="5643" max="5894" width="9.140625" style="21"/>
    <col min="5895" max="5895" width="12.5703125" style="21" customWidth="1"/>
    <col min="5896" max="5896" width="0" style="21" hidden="1" customWidth="1"/>
    <col min="5897" max="5897" width="19.85546875" style="21" customWidth="1"/>
    <col min="5898" max="5898" width="18.7109375" style="21" customWidth="1"/>
    <col min="5899" max="6150" width="9.140625" style="21"/>
    <col min="6151" max="6151" width="12.5703125" style="21" customWidth="1"/>
    <col min="6152" max="6152" width="0" style="21" hidden="1" customWidth="1"/>
    <col min="6153" max="6153" width="19.85546875" style="21" customWidth="1"/>
    <col min="6154" max="6154" width="18.7109375" style="21" customWidth="1"/>
    <col min="6155" max="6406" width="9.140625" style="21"/>
    <col min="6407" max="6407" width="12.5703125" style="21" customWidth="1"/>
    <col min="6408" max="6408" width="0" style="21" hidden="1" customWidth="1"/>
    <col min="6409" max="6409" width="19.85546875" style="21" customWidth="1"/>
    <col min="6410" max="6410" width="18.7109375" style="21" customWidth="1"/>
    <col min="6411" max="6662" width="9.140625" style="21"/>
    <col min="6663" max="6663" width="12.5703125" style="21" customWidth="1"/>
    <col min="6664" max="6664" width="0" style="21" hidden="1" customWidth="1"/>
    <col min="6665" max="6665" width="19.85546875" style="21" customWidth="1"/>
    <col min="6666" max="6666" width="18.7109375" style="21" customWidth="1"/>
    <col min="6667" max="6918" width="9.140625" style="21"/>
    <col min="6919" max="6919" width="12.5703125" style="21" customWidth="1"/>
    <col min="6920" max="6920" width="0" style="21" hidden="1" customWidth="1"/>
    <col min="6921" max="6921" width="19.85546875" style="21" customWidth="1"/>
    <col min="6922" max="6922" width="18.7109375" style="21" customWidth="1"/>
    <col min="6923" max="7174" width="9.140625" style="21"/>
    <col min="7175" max="7175" width="12.5703125" style="21" customWidth="1"/>
    <col min="7176" max="7176" width="0" style="21" hidden="1" customWidth="1"/>
    <col min="7177" max="7177" width="19.85546875" style="21" customWidth="1"/>
    <col min="7178" max="7178" width="18.7109375" style="21" customWidth="1"/>
    <col min="7179" max="7430" width="9.140625" style="21"/>
    <col min="7431" max="7431" width="12.5703125" style="21" customWidth="1"/>
    <col min="7432" max="7432" width="0" style="21" hidden="1" customWidth="1"/>
    <col min="7433" max="7433" width="19.85546875" style="21" customWidth="1"/>
    <col min="7434" max="7434" width="18.7109375" style="21" customWidth="1"/>
    <col min="7435" max="7686" width="9.140625" style="21"/>
    <col min="7687" max="7687" width="12.5703125" style="21" customWidth="1"/>
    <col min="7688" max="7688" width="0" style="21" hidden="1" customWidth="1"/>
    <col min="7689" max="7689" width="19.85546875" style="21" customWidth="1"/>
    <col min="7690" max="7690" width="18.7109375" style="21" customWidth="1"/>
    <col min="7691" max="7942" width="9.140625" style="21"/>
    <col min="7943" max="7943" width="12.5703125" style="21" customWidth="1"/>
    <col min="7944" max="7944" width="0" style="21" hidden="1" customWidth="1"/>
    <col min="7945" max="7945" width="19.85546875" style="21" customWidth="1"/>
    <col min="7946" max="7946" width="18.7109375" style="21" customWidth="1"/>
    <col min="7947" max="8198" width="9.140625" style="21"/>
    <col min="8199" max="8199" width="12.5703125" style="21" customWidth="1"/>
    <col min="8200" max="8200" width="0" style="21" hidden="1" customWidth="1"/>
    <col min="8201" max="8201" width="19.85546875" style="21" customWidth="1"/>
    <col min="8202" max="8202" width="18.7109375" style="21" customWidth="1"/>
    <col min="8203" max="8454" width="9.140625" style="21"/>
    <col min="8455" max="8455" width="12.5703125" style="21" customWidth="1"/>
    <col min="8456" max="8456" width="0" style="21" hidden="1" customWidth="1"/>
    <col min="8457" max="8457" width="19.85546875" style="21" customWidth="1"/>
    <col min="8458" max="8458" width="18.7109375" style="21" customWidth="1"/>
    <col min="8459" max="8710" width="9.140625" style="21"/>
    <col min="8711" max="8711" width="12.5703125" style="21" customWidth="1"/>
    <col min="8712" max="8712" width="0" style="21" hidden="1" customWidth="1"/>
    <col min="8713" max="8713" width="19.85546875" style="21" customWidth="1"/>
    <col min="8714" max="8714" width="18.7109375" style="21" customWidth="1"/>
    <col min="8715" max="8966" width="9.140625" style="21"/>
    <col min="8967" max="8967" width="12.5703125" style="21" customWidth="1"/>
    <col min="8968" max="8968" width="0" style="21" hidden="1" customWidth="1"/>
    <col min="8969" max="8969" width="19.85546875" style="21" customWidth="1"/>
    <col min="8970" max="8970" width="18.7109375" style="21" customWidth="1"/>
    <col min="8971" max="9222" width="9.140625" style="21"/>
    <col min="9223" max="9223" width="12.5703125" style="21" customWidth="1"/>
    <col min="9224" max="9224" width="0" style="21" hidden="1" customWidth="1"/>
    <col min="9225" max="9225" width="19.85546875" style="21" customWidth="1"/>
    <col min="9226" max="9226" width="18.7109375" style="21" customWidth="1"/>
    <col min="9227" max="9478" width="9.140625" style="21"/>
    <col min="9479" max="9479" width="12.5703125" style="21" customWidth="1"/>
    <col min="9480" max="9480" width="0" style="21" hidden="1" customWidth="1"/>
    <col min="9481" max="9481" width="19.85546875" style="21" customWidth="1"/>
    <col min="9482" max="9482" width="18.7109375" style="21" customWidth="1"/>
    <col min="9483" max="9734" width="9.140625" style="21"/>
    <col min="9735" max="9735" width="12.5703125" style="21" customWidth="1"/>
    <col min="9736" max="9736" width="0" style="21" hidden="1" customWidth="1"/>
    <col min="9737" max="9737" width="19.85546875" style="21" customWidth="1"/>
    <col min="9738" max="9738" width="18.7109375" style="21" customWidth="1"/>
    <col min="9739" max="9990" width="9.140625" style="21"/>
    <col min="9991" max="9991" width="12.5703125" style="21" customWidth="1"/>
    <col min="9992" max="9992" width="0" style="21" hidden="1" customWidth="1"/>
    <col min="9993" max="9993" width="19.85546875" style="21" customWidth="1"/>
    <col min="9994" max="9994" width="18.7109375" style="21" customWidth="1"/>
    <col min="9995" max="10246" width="9.140625" style="21"/>
    <col min="10247" max="10247" width="12.5703125" style="21" customWidth="1"/>
    <col min="10248" max="10248" width="0" style="21" hidden="1" customWidth="1"/>
    <col min="10249" max="10249" width="19.85546875" style="21" customWidth="1"/>
    <col min="10250" max="10250" width="18.7109375" style="21" customWidth="1"/>
    <col min="10251" max="10502" width="9.140625" style="21"/>
    <col min="10503" max="10503" width="12.5703125" style="21" customWidth="1"/>
    <col min="10504" max="10504" width="0" style="21" hidden="1" customWidth="1"/>
    <col min="10505" max="10505" width="19.85546875" style="21" customWidth="1"/>
    <col min="10506" max="10506" width="18.7109375" style="21" customWidth="1"/>
    <col min="10507" max="10758" width="9.140625" style="21"/>
    <col min="10759" max="10759" width="12.5703125" style="21" customWidth="1"/>
    <col min="10760" max="10760" width="0" style="21" hidden="1" customWidth="1"/>
    <col min="10761" max="10761" width="19.85546875" style="21" customWidth="1"/>
    <col min="10762" max="10762" width="18.7109375" style="21" customWidth="1"/>
    <col min="10763" max="11014" width="9.140625" style="21"/>
    <col min="11015" max="11015" width="12.5703125" style="21" customWidth="1"/>
    <col min="11016" max="11016" width="0" style="21" hidden="1" customWidth="1"/>
    <col min="11017" max="11017" width="19.85546875" style="21" customWidth="1"/>
    <col min="11018" max="11018" width="18.7109375" style="21" customWidth="1"/>
    <col min="11019" max="11270" width="9.140625" style="21"/>
    <col min="11271" max="11271" width="12.5703125" style="21" customWidth="1"/>
    <col min="11272" max="11272" width="0" style="21" hidden="1" customWidth="1"/>
    <col min="11273" max="11273" width="19.85546875" style="21" customWidth="1"/>
    <col min="11274" max="11274" width="18.7109375" style="21" customWidth="1"/>
    <col min="11275" max="11526" width="9.140625" style="21"/>
    <col min="11527" max="11527" width="12.5703125" style="21" customWidth="1"/>
    <col min="11528" max="11528" width="0" style="21" hidden="1" customWidth="1"/>
    <col min="11529" max="11529" width="19.85546875" style="21" customWidth="1"/>
    <col min="11530" max="11530" width="18.7109375" style="21" customWidth="1"/>
    <col min="11531" max="11782" width="9.140625" style="21"/>
    <col min="11783" max="11783" width="12.5703125" style="21" customWidth="1"/>
    <col min="11784" max="11784" width="0" style="21" hidden="1" customWidth="1"/>
    <col min="11785" max="11785" width="19.85546875" style="21" customWidth="1"/>
    <col min="11786" max="11786" width="18.7109375" style="21" customWidth="1"/>
    <col min="11787" max="12038" width="9.140625" style="21"/>
    <col min="12039" max="12039" width="12.5703125" style="21" customWidth="1"/>
    <col min="12040" max="12040" width="0" style="21" hidden="1" customWidth="1"/>
    <col min="12041" max="12041" width="19.85546875" style="21" customWidth="1"/>
    <col min="12042" max="12042" width="18.7109375" style="21" customWidth="1"/>
    <col min="12043" max="12294" width="9.140625" style="21"/>
    <col min="12295" max="12295" width="12.5703125" style="21" customWidth="1"/>
    <col min="12296" max="12296" width="0" style="21" hidden="1" customWidth="1"/>
    <col min="12297" max="12297" width="19.85546875" style="21" customWidth="1"/>
    <col min="12298" max="12298" width="18.7109375" style="21" customWidth="1"/>
    <col min="12299" max="12550" width="9.140625" style="21"/>
    <col min="12551" max="12551" width="12.5703125" style="21" customWidth="1"/>
    <col min="12552" max="12552" width="0" style="21" hidden="1" customWidth="1"/>
    <col min="12553" max="12553" width="19.85546875" style="21" customWidth="1"/>
    <col min="12554" max="12554" width="18.7109375" style="21" customWidth="1"/>
    <col min="12555" max="12806" width="9.140625" style="21"/>
    <col min="12807" max="12807" width="12.5703125" style="21" customWidth="1"/>
    <col min="12808" max="12808" width="0" style="21" hidden="1" customWidth="1"/>
    <col min="12809" max="12809" width="19.85546875" style="21" customWidth="1"/>
    <col min="12810" max="12810" width="18.7109375" style="21" customWidth="1"/>
    <col min="12811" max="13062" width="9.140625" style="21"/>
    <col min="13063" max="13063" width="12.5703125" style="21" customWidth="1"/>
    <col min="13064" max="13064" width="0" style="21" hidden="1" customWidth="1"/>
    <col min="13065" max="13065" width="19.85546875" style="21" customWidth="1"/>
    <col min="13066" max="13066" width="18.7109375" style="21" customWidth="1"/>
    <col min="13067" max="13318" width="9.140625" style="21"/>
    <col min="13319" max="13319" width="12.5703125" style="21" customWidth="1"/>
    <col min="13320" max="13320" width="0" style="21" hidden="1" customWidth="1"/>
    <col min="13321" max="13321" width="19.85546875" style="21" customWidth="1"/>
    <col min="13322" max="13322" width="18.7109375" style="21" customWidth="1"/>
    <col min="13323" max="13574" width="9.140625" style="21"/>
    <col min="13575" max="13575" width="12.5703125" style="21" customWidth="1"/>
    <col min="13576" max="13576" width="0" style="21" hidden="1" customWidth="1"/>
    <col min="13577" max="13577" width="19.85546875" style="21" customWidth="1"/>
    <col min="13578" max="13578" width="18.7109375" style="21" customWidth="1"/>
    <col min="13579" max="13830" width="9.140625" style="21"/>
    <col min="13831" max="13831" width="12.5703125" style="21" customWidth="1"/>
    <col min="13832" max="13832" width="0" style="21" hidden="1" customWidth="1"/>
    <col min="13833" max="13833" width="19.85546875" style="21" customWidth="1"/>
    <col min="13834" max="13834" width="18.7109375" style="21" customWidth="1"/>
    <col min="13835" max="14086" width="9.140625" style="21"/>
    <col min="14087" max="14087" width="12.5703125" style="21" customWidth="1"/>
    <col min="14088" max="14088" width="0" style="21" hidden="1" customWidth="1"/>
    <col min="14089" max="14089" width="19.85546875" style="21" customWidth="1"/>
    <col min="14090" max="14090" width="18.7109375" style="21" customWidth="1"/>
    <col min="14091" max="14342" width="9.140625" style="21"/>
    <col min="14343" max="14343" width="12.5703125" style="21" customWidth="1"/>
    <col min="14344" max="14344" width="0" style="21" hidden="1" customWidth="1"/>
    <col min="14345" max="14345" width="19.85546875" style="21" customWidth="1"/>
    <col min="14346" max="14346" width="18.7109375" style="21" customWidth="1"/>
    <col min="14347" max="14598" width="9.140625" style="21"/>
    <col min="14599" max="14599" width="12.5703125" style="21" customWidth="1"/>
    <col min="14600" max="14600" width="0" style="21" hidden="1" customWidth="1"/>
    <col min="14601" max="14601" width="19.85546875" style="21" customWidth="1"/>
    <col min="14602" max="14602" width="18.7109375" style="21" customWidth="1"/>
    <col min="14603" max="14854" width="9.140625" style="21"/>
    <col min="14855" max="14855" width="12.5703125" style="21" customWidth="1"/>
    <col min="14856" max="14856" width="0" style="21" hidden="1" customWidth="1"/>
    <col min="14857" max="14857" width="19.85546875" style="21" customWidth="1"/>
    <col min="14858" max="14858" width="18.7109375" style="21" customWidth="1"/>
    <col min="14859" max="15110" width="9.140625" style="21"/>
    <col min="15111" max="15111" width="12.5703125" style="21" customWidth="1"/>
    <col min="15112" max="15112" width="0" style="21" hidden="1" customWidth="1"/>
    <col min="15113" max="15113" width="19.85546875" style="21" customWidth="1"/>
    <col min="15114" max="15114" width="18.7109375" style="21" customWidth="1"/>
    <col min="15115" max="15366" width="9.140625" style="21"/>
    <col min="15367" max="15367" width="12.5703125" style="21" customWidth="1"/>
    <col min="15368" max="15368" width="0" style="21" hidden="1" customWidth="1"/>
    <col min="15369" max="15369" width="19.85546875" style="21" customWidth="1"/>
    <col min="15370" max="15370" width="18.7109375" style="21" customWidth="1"/>
    <col min="15371" max="15622" width="9.140625" style="21"/>
    <col min="15623" max="15623" width="12.5703125" style="21" customWidth="1"/>
    <col min="15624" max="15624" width="0" style="21" hidden="1" customWidth="1"/>
    <col min="15625" max="15625" width="19.85546875" style="21" customWidth="1"/>
    <col min="15626" max="15626" width="18.7109375" style="21" customWidth="1"/>
    <col min="15627" max="15878" width="9.140625" style="21"/>
    <col min="15879" max="15879" width="12.5703125" style="21" customWidth="1"/>
    <col min="15880" max="15880" width="0" style="21" hidden="1" customWidth="1"/>
    <col min="15881" max="15881" width="19.85546875" style="21" customWidth="1"/>
    <col min="15882" max="15882" width="18.7109375" style="21" customWidth="1"/>
    <col min="15883" max="16134" width="9.140625" style="21"/>
    <col min="16135" max="16135" width="12.5703125" style="21" customWidth="1"/>
    <col min="16136" max="16136" width="0" style="21" hidden="1" customWidth="1"/>
    <col min="16137" max="16137" width="19.85546875" style="21" customWidth="1"/>
    <col min="16138" max="16138" width="18.7109375" style="21" customWidth="1"/>
    <col min="16139" max="16384" width="9.140625" style="21"/>
  </cols>
  <sheetData>
    <row r="1" spans="1:17" x14ac:dyDescent="0.2">
      <c r="A1" s="1343"/>
      <c r="B1" s="1344"/>
      <c r="C1" s="1344"/>
      <c r="D1" s="1344"/>
      <c r="E1" s="1344"/>
      <c r="F1" s="1344"/>
      <c r="G1" s="1344"/>
      <c r="H1" s="1344"/>
      <c r="I1" s="22"/>
      <c r="J1" s="23"/>
      <c r="K1" s="23"/>
      <c r="L1" s="23"/>
      <c r="M1" s="23"/>
      <c r="N1" s="23"/>
      <c r="O1" s="23"/>
      <c r="P1" s="23"/>
      <c r="Q1" s="23"/>
    </row>
    <row r="3" spans="1:17" ht="17.25" customHeight="1" x14ac:dyDescent="0.2">
      <c r="A3" s="1345" t="s">
        <v>88</v>
      </c>
      <c r="B3" s="1346"/>
      <c r="C3" s="1346"/>
      <c r="D3" s="1346"/>
      <c r="E3" s="1346"/>
      <c r="F3" s="1346"/>
      <c r="G3" s="1347"/>
      <c r="H3" s="24" t="s">
        <v>89</v>
      </c>
      <c r="I3" s="25" t="s">
        <v>90</v>
      </c>
    </row>
    <row r="4" spans="1:17" ht="25.5" customHeight="1" x14ac:dyDescent="0.2">
      <c r="A4" s="1340" t="s">
        <v>968</v>
      </c>
      <c r="B4" s="1341"/>
      <c r="C4" s="1341"/>
      <c r="D4" s="1341"/>
      <c r="E4" s="1341"/>
      <c r="F4" s="1341"/>
      <c r="G4" s="1342"/>
      <c r="H4" s="32">
        <v>112475732.87</v>
      </c>
      <c r="I4" s="33">
        <f>SUM(I8+I6)</f>
        <v>708026452.25</v>
      </c>
    </row>
    <row r="5" spans="1:17" x14ac:dyDescent="0.2">
      <c r="A5" s="30" t="s">
        <v>94</v>
      </c>
      <c r="B5" s="27"/>
      <c r="C5" s="27"/>
      <c r="D5" s="27"/>
      <c r="E5" s="27"/>
      <c r="F5" s="27"/>
      <c r="G5" s="31"/>
      <c r="H5" s="32"/>
      <c r="I5" s="32"/>
    </row>
    <row r="6" spans="1:17" ht="42" customHeight="1" x14ac:dyDescent="0.2">
      <c r="A6" s="1340" t="s">
        <v>969</v>
      </c>
      <c r="B6" s="1341"/>
      <c r="C6" s="1341"/>
      <c r="D6" s="1341"/>
      <c r="E6" s="1341"/>
      <c r="F6" s="1341"/>
      <c r="G6" s="1342"/>
      <c r="H6" s="32">
        <v>111280904.23999999</v>
      </c>
      <c r="I6" s="34">
        <v>702600436.98000002</v>
      </c>
    </row>
    <row r="7" spans="1:17" ht="42.75" customHeight="1" x14ac:dyDescent="0.2">
      <c r="A7" s="1340" t="s">
        <v>970</v>
      </c>
      <c r="B7" s="1341"/>
      <c r="C7" s="1341"/>
      <c r="D7" s="1341"/>
      <c r="E7" s="1341"/>
      <c r="F7" s="1341"/>
      <c r="G7" s="1342"/>
      <c r="H7" s="35"/>
      <c r="I7" s="34"/>
    </row>
    <row r="8" spans="1:17" ht="40.5" customHeight="1" x14ac:dyDescent="0.2">
      <c r="A8" s="1340" t="s">
        <v>971</v>
      </c>
      <c r="B8" s="1341"/>
      <c r="C8" s="1341"/>
      <c r="D8" s="1341"/>
      <c r="E8" s="1341"/>
      <c r="F8" s="1341"/>
      <c r="G8" s="1342"/>
      <c r="H8" s="37">
        <v>1194828.6299999999</v>
      </c>
      <c r="I8" s="36">
        <v>5426015.2699999996</v>
      </c>
    </row>
    <row r="9" spans="1:17" ht="30" customHeight="1" x14ac:dyDescent="0.2">
      <c r="A9" s="1340" t="s">
        <v>972</v>
      </c>
      <c r="B9" s="1341"/>
      <c r="C9" s="1341"/>
      <c r="D9" s="1341"/>
      <c r="E9" s="1341"/>
      <c r="F9" s="1341"/>
      <c r="G9" s="1342"/>
      <c r="H9" s="32">
        <v>274028013.33999997</v>
      </c>
      <c r="I9" s="33">
        <v>1111114232.1800001</v>
      </c>
      <c r="J9" s="38"/>
    </row>
    <row r="10" spans="1:17" x14ac:dyDescent="0.2">
      <c r="A10" s="30" t="s">
        <v>94</v>
      </c>
      <c r="B10" s="27"/>
      <c r="C10" s="27"/>
      <c r="D10" s="27"/>
      <c r="E10" s="27"/>
      <c r="F10" s="27"/>
      <c r="G10" s="31"/>
      <c r="H10" s="32"/>
      <c r="I10" s="32"/>
      <c r="J10" s="38"/>
    </row>
    <row r="11" spans="1:17" ht="15.75" customHeight="1" x14ac:dyDescent="0.2">
      <c r="A11" s="39" t="s">
        <v>973</v>
      </c>
      <c r="B11" s="40"/>
      <c r="C11" s="40"/>
      <c r="D11" s="40"/>
      <c r="E11" s="40"/>
      <c r="F11" s="40"/>
      <c r="G11" s="41"/>
      <c r="H11" s="42">
        <v>211117694.49000001</v>
      </c>
      <c r="I11" s="32">
        <v>736402067.55999994</v>
      </c>
      <c r="J11" s="43"/>
    </row>
    <row r="12" spans="1:17" x14ac:dyDescent="0.2">
      <c r="I12" s="38"/>
      <c r="J12" s="44"/>
    </row>
    <row r="14" spans="1:17" x14ac:dyDescent="0.2">
      <c r="A14" s="54"/>
    </row>
  </sheetData>
  <mergeCells count="7">
    <mergeCell ref="A9:G9"/>
    <mergeCell ref="A1:H1"/>
    <mergeCell ref="A3:G3"/>
    <mergeCell ref="A4:G4"/>
    <mergeCell ref="A6:G6"/>
    <mergeCell ref="A7:G7"/>
    <mergeCell ref="A8:G8"/>
  </mergeCells>
  <pageMargins left="0.47244094488188981" right="0.27559055118110237" top="0.74803149606299213" bottom="0.74803149606299213" header="0.31496062992125984" footer="0.31496062992125984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  <pageSetUpPr fitToPage="1"/>
  </sheetPr>
  <dimension ref="A1:BB36"/>
  <sheetViews>
    <sheetView topLeftCell="B1" workbookViewId="0">
      <selection activeCell="AA12" sqref="AA12"/>
    </sheetView>
  </sheetViews>
  <sheetFormatPr defaultRowHeight="15" x14ac:dyDescent="0.25"/>
  <cols>
    <col min="1" max="1" width="51.42578125" style="719" customWidth="1"/>
    <col min="2" max="2" width="11.28515625" style="729" customWidth="1"/>
    <col min="3" max="3" width="21" style="777" hidden="1" customWidth="1"/>
    <col min="4" max="4" width="21" style="777" customWidth="1"/>
    <col min="5" max="5" width="19.140625" style="777" hidden="1" customWidth="1"/>
    <col min="6" max="6" width="18.140625" style="777" hidden="1" customWidth="1"/>
    <col min="7" max="9" width="20.7109375" style="777" hidden="1" customWidth="1"/>
    <col min="10" max="10" width="20.7109375" style="777" customWidth="1"/>
    <col min="11" max="11" width="25.140625" style="777" hidden="1" customWidth="1"/>
    <col min="12" max="12" width="18.42578125" style="718" hidden="1" customWidth="1"/>
    <col min="13" max="13" width="12.140625" style="719" hidden="1" customWidth="1"/>
    <col min="14" max="16" width="15.42578125" style="719" hidden="1" customWidth="1"/>
    <col min="17" max="17" width="13.42578125" style="719" hidden="1" customWidth="1"/>
    <col min="18" max="18" width="11.42578125" style="719" hidden="1" customWidth="1"/>
    <col min="19" max="19" width="12.140625" style="719" hidden="1" customWidth="1"/>
    <col min="20" max="20" width="14.28515625" style="719" hidden="1" customWidth="1"/>
    <col min="21" max="25" width="9.140625" style="719" hidden="1" customWidth="1"/>
    <col min="26" max="26" width="21.28515625" style="719" customWidth="1"/>
    <col min="27" max="27" width="20.5703125" style="719" customWidth="1"/>
    <col min="28" max="29" width="17.28515625" style="719" customWidth="1"/>
    <col min="30" max="31" width="17.28515625" style="719" hidden="1" customWidth="1"/>
    <col min="32" max="32" width="17.28515625" style="719" customWidth="1"/>
    <col min="33" max="33" width="18.28515625" style="719" customWidth="1"/>
    <col min="34" max="34" width="19.85546875" style="719" customWidth="1"/>
    <col min="35" max="35" width="15.28515625" style="719" customWidth="1"/>
    <col min="36" max="36" width="14.85546875" style="719" customWidth="1"/>
    <col min="37" max="37" width="9.140625" style="719" customWidth="1"/>
    <col min="38" max="38" width="14.42578125" style="719" hidden="1" customWidth="1"/>
    <col min="39" max="39" width="9.140625" style="719" customWidth="1"/>
    <col min="40" max="40" width="12.5703125" style="719" customWidth="1"/>
    <col min="41" max="41" width="15.42578125" style="719" customWidth="1"/>
    <col min="42" max="43" width="9.140625" style="719" customWidth="1"/>
    <col min="44" max="44" width="9.140625" style="719"/>
    <col min="45" max="45" width="11.5703125" style="719" hidden="1" customWidth="1"/>
    <col min="46" max="46" width="11" style="719" hidden="1" customWidth="1"/>
    <col min="47" max="47" width="0" style="719" hidden="1" customWidth="1"/>
    <col min="48" max="203" width="9.140625" style="719"/>
    <col min="204" max="204" width="10.7109375" style="719" customWidth="1"/>
    <col min="205" max="205" width="13.140625" style="719" customWidth="1"/>
    <col min="206" max="206" width="22.42578125" style="719" customWidth="1"/>
    <col min="207" max="207" width="16.85546875" style="719" customWidth="1"/>
    <col min="208" max="208" width="15" style="719" customWidth="1"/>
    <col min="209" max="209" width="15.140625" style="719" customWidth="1"/>
    <col min="210" max="210" width="16" style="719" customWidth="1"/>
    <col min="211" max="214" width="14.42578125" style="719" bestFit="1" customWidth="1"/>
    <col min="215" max="459" width="9.140625" style="719"/>
    <col min="460" max="460" width="10.7109375" style="719" customWidth="1"/>
    <col min="461" max="461" width="13.140625" style="719" customWidth="1"/>
    <col min="462" max="462" width="22.42578125" style="719" customWidth="1"/>
    <col min="463" max="463" width="16.85546875" style="719" customWidth="1"/>
    <col min="464" max="464" width="15" style="719" customWidth="1"/>
    <col min="465" max="465" width="15.140625" style="719" customWidth="1"/>
    <col min="466" max="466" width="16" style="719" customWidth="1"/>
    <col min="467" max="470" width="14.42578125" style="719" bestFit="1" customWidth="1"/>
    <col min="471" max="715" width="9.140625" style="719"/>
    <col min="716" max="716" width="10.7109375" style="719" customWidth="1"/>
    <col min="717" max="717" width="13.140625" style="719" customWidth="1"/>
    <col min="718" max="718" width="22.42578125" style="719" customWidth="1"/>
    <col min="719" max="719" width="16.85546875" style="719" customWidth="1"/>
    <col min="720" max="720" width="15" style="719" customWidth="1"/>
    <col min="721" max="721" width="15.140625" style="719" customWidth="1"/>
    <col min="722" max="722" width="16" style="719" customWidth="1"/>
    <col min="723" max="726" width="14.42578125" style="719" bestFit="1" customWidth="1"/>
    <col min="727" max="971" width="9.140625" style="719"/>
    <col min="972" max="972" width="10.7109375" style="719" customWidth="1"/>
    <col min="973" max="973" width="13.140625" style="719" customWidth="1"/>
    <col min="974" max="974" width="22.42578125" style="719" customWidth="1"/>
    <col min="975" max="975" width="16.85546875" style="719" customWidth="1"/>
    <col min="976" max="976" width="15" style="719" customWidth="1"/>
    <col min="977" max="977" width="15.140625" style="719" customWidth="1"/>
    <col min="978" max="978" width="16" style="719" customWidth="1"/>
    <col min="979" max="982" width="14.42578125" style="719" bestFit="1" customWidth="1"/>
    <col min="983" max="1227" width="9.140625" style="719"/>
    <col min="1228" max="1228" width="10.7109375" style="719" customWidth="1"/>
    <col min="1229" max="1229" width="13.140625" style="719" customWidth="1"/>
    <col min="1230" max="1230" width="22.42578125" style="719" customWidth="1"/>
    <col min="1231" max="1231" width="16.85546875" style="719" customWidth="1"/>
    <col min="1232" max="1232" width="15" style="719" customWidth="1"/>
    <col min="1233" max="1233" width="15.140625" style="719" customWidth="1"/>
    <col min="1234" max="1234" width="16" style="719" customWidth="1"/>
    <col min="1235" max="1238" width="14.42578125" style="719" bestFit="1" customWidth="1"/>
    <col min="1239" max="1483" width="9.140625" style="719"/>
    <col min="1484" max="1484" width="10.7109375" style="719" customWidth="1"/>
    <col min="1485" max="1485" width="13.140625" style="719" customWidth="1"/>
    <col min="1486" max="1486" width="22.42578125" style="719" customWidth="1"/>
    <col min="1487" max="1487" width="16.85546875" style="719" customWidth="1"/>
    <col min="1488" max="1488" width="15" style="719" customWidth="1"/>
    <col min="1489" max="1489" width="15.140625" style="719" customWidth="1"/>
    <col min="1490" max="1490" width="16" style="719" customWidth="1"/>
    <col min="1491" max="1494" width="14.42578125" style="719" bestFit="1" customWidth="1"/>
    <col min="1495" max="1739" width="9.140625" style="719"/>
    <col min="1740" max="1740" width="10.7109375" style="719" customWidth="1"/>
    <col min="1741" max="1741" width="13.140625" style="719" customWidth="1"/>
    <col min="1742" max="1742" width="22.42578125" style="719" customWidth="1"/>
    <col min="1743" max="1743" width="16.85546875" style="719" customWidth="1"/>
    <col min="1744" max="1744" width="15" style="719" customWidth="1"/>
    <col min="1745" max="1745" width="15.140625" style="719" customWidth="1"/>
    <col min="1746" max="1746" width="16" style="719" customWidth="1"/>
    <col min="1747" max="1750" width="14.42578125" style="719" bestFit="1" customWidth="1"/>
    <col min="1751" max="1995" width="9.140625" style="719"/>
    <col min="1996" max="1996" width="10.7109375" style="719" customWidth="1"/>
    <col min="1997" max="1997" width="13.140625" style="719" customWidth="1"/>
    <col min="1998" max="1998" width="22.42578125" style="719" customWidth="1"/>
    <col min="1999" max="1999" width="16.85546875" style="719" customWidth="1"/>
    <col min="2000" max="2000" width="15" style="719" customWidth="1"/>
    <col min="2001" max="2001" width="15.140625" style="719" customWidth="1"/>
    <col min="2002" max="2002" width="16" style="719" customWidth="1"/>
    <col min="2003" max="2006" width="14.42578125" style="719" bestFit="1" customWidth="1"/>
    <col min="2007" max="2251" width="9.140625" style="719"/>
    <col min="2252" max="2252" width="10.7109375" style="719" customWidth="1"/>
    <col min="2253" max="2253" width="13.140625" style="719" customWidth="1"/>
    <col min="2254" max="2254" width="22.42578125" style="719" customWidth="1"/>
    <col min="2255" max="2255" width="16.85546875" style="719" customWidth="1"/>
    <col min="2256" max="2256" width="15" style="719" customWidth="1"/>
    <col min="2257" max="2257" width="15.140625" style="719" customWidth="1"/>
    <col min="2258" max="2258" width="16" style="719" customWidth="1"/>
    <col min="2259" max="2262" width="14.42578125" style="719" bestFit="1" customWidth="1"/>
    <col min="2263" max="2507" width="9.140625" style="719"/>
    <col min="2508" max="2508" width="10.7109375" style="719" customWidth="1"/>
    <col min="2509" max="2509" width="13.140625" style="719" customWidth="1"/>
    <col min="2510" max="2510" width="22.42578125" style="719" customWidth="1"/>
    <col min="2511" max="2511" width="16.85546875" style="719" customWidth="1"/>
    <col min="2512" max="2512" width="15" style="719" customWidth="1"/>
    <col min="2513" max="2513" width="15.140625" style="719" customWidth="1"/>
    <col min="2514" max="2514" width="16" style="719" customWidth="1"/>
    <col min="2515" max="2518" width="14.42578125" style="719" bestFit="1" customWidth="1"/>
    <col min="2519" max="2763" width="9.140625" style="719"/>
    <col min="2764" max="2764" width="10.7109375" style="719" customWidth="1"/>
    <col min="2765" max="2765" width="13.140625" style="719" customWidth="1"/>
    <col min="2766" max="2766" width="22.42578125" style="719" customWidth="1"/>
    <col min="2767" max="2767" width="16.85546875" style="719" customWidth="1"/>
    <col min="2768" max="2768" width="15" style="719" customWidth="1"/>
    <col min="2769" max="2769" width="15.140625" style="719" customWidth="1"/>
    <col min="2770" max="2770" width="16" style="719" customWidth="1"/>
    <col min="2771" max="2774" width="14.42578125" style="719" bestFit="1" customWidth="1"/>
    <col min="2775" max="3019" width="9.140625" style="719"/>
    <col min="3020" max="3020" width="10.7109375" style="719" customWidth="1"/>
    <col min="3021" max="3021" width="13.140625" style="719" customWidth="1"/>
    <col min="3022" max="3022" width="22.42578125" style="719" customWidth="1"/>
    <col min="3023" max="3023" width="16.85546875" style="719" customWidth="1"/>
    <col min="3024" max="3024" width="15" style="719" customWidth="1"/>
    <col min="3025" max="3025" width="15.140625" style="719" customWidth="1"/>
    <col min="3026" max="3026" width="16" style="719" customWidth="1"/>
    <col min="3027" max="3030" width="14.42578125" style="719" bestFit="1" customWidth="1"/>
    <col min="3031" max="3275" width="9.140625" style="719"/>
    <col min="3276" max="3276" width="10.7109375" style="719" customWidth="1"/>
    <col min="3277" max="3277" width="13.140625" style="719" customWidth="1"/>
    <col min="3278" max="3278" width="22.42578125" style="719" customWidth="1"/>
    <col min="3279" max="3279" width="16.85546875" style="719" customWidth="1"/>
    <col min="3280" max="3280" width="15" style="719" customWidth="1"/>
    <col min="3281" max="3281" width="15.140625" style="719" customWidth="1"/>
    <col min="3282" max="3282" width="16" style="719" customWidth="1"/>
    <col min="3283" max="3286" width="14.42578125" style="719" bestFit="1" customWidth="1"/>
    <col min="3287" max="3531" width="9.140625" style="719"/>
    <col min="3532" max="3532" width="10.7109375" style="719" customWidth="1"/>
    <col min="3533" max="3533" width="13.140625" style="719" customWidth="1"/>
    <col min="3534" max="3534" width="22.42578125" style="719" customWidth="1"/>
    <col min="3535" max="3535" width="16.85546875" style="719" customWidth="1"/>
    <col min="3536" max="3536" width="15" style="719" customWidth="1"/>
    <col min="3537" max="3537" width="15.140625" style="719" customWidth="1"/>
    <col min="3538" max="3538" width="16" style="719" customWidth="1"/>
    <col min="3539" max="3542" width="14.42578125" style="719" bestFit="1" customWidth="1"/>
    <col min="3543" max="3787" width="9.140625" style="719"/>
    <col min="3788" max="3788" width="10.7109375" style="719" customWidth="1"/>
    <col min="3789" max="3789" width="13.140625" style="719" customWidth="1"/>
    <col min="3790" max="3790" width="22.42578125" style="719" customWidth="1"/>
    <col min="3791" max="3791" width="16.85546875" style="719" customWidth="1"/>
    <col min="3792" max="3792" width="15" style="719" customWidth="1"/>
    <col min="3793" max="3793" width="15.140625" style="719" customWidth="1"/>
    <col min="3794" max="3794" width="16" style="719" customWidth="1"/>
    <col min="3795" max="3798" width="14.42578125" style="719" bestFit="1" customWidth="1"/>
    <col min="3799" max="4043" width="9.140625" style="719"/>
    <col min="4044" max="4044" width="10.7109375" style="719" customWidth="1"/>
    <col min="4045" max="4045" width="13.140625" style="719" customWidth="1"/>
    <col min="4046" max="4046" width="22.42578125" style="719" customWidth="1"/>
    <col min="4047" max="4047" width="16.85546875" style="719" customWidth="1"/>
    <col min="4048" max="4048" width="15" style="719" customWidth="1"/>
    <col min="4049" max="4049" width="15.140625" style="719" customWidth="1"/>
    <col min="4050" max="4050" width="16" style="719" customWidth="1"/>
    <col min="4051" max="4054" width="14.42578125" style="719" bestFit="1" customWidth="1"/>
    <col min="4055" max="4299" width="9.140625" style="719"/>
    <col min="4300" max="4300" width="10.7109375" style="719" customWidth="1"/>
    <col min="4301" max="4301" width="13.140625" style="719" customWidth="1"/>
    <col min="4302" max="4302" width="22.42578125" style="719" customWidth="1"/>
    <col min="4303" max="4303" width="16.85546875" style="719" customWidth="1"/>
    <col min="4304" max="4304" width="15" style="719" customWidth="1"/>
    <col min="4305" max="4305" width="15.140625" style="719" customWidth="1"/>
    <col min="4306" max="4306" width="16" style="719" customWidth="1"/>
    <col min="4307" max="4310" width="14.42578125" style="719" bestFit="1" customWidth="1"/>
    <col min="4311" max="4555" width="9.140625" style="719"/>
    <col min="4556" max="4556" width="10.7109375" style="719" customWidth="1"/>
    <col min="4557" max="4557" width="13.140625" style="719" customWidth="1"/>
    <col min="4558" max="4558" width="22.42578125" style="719" customWidth="1"/>
    <col min="4559" max="4559" width="16.85546875" style="719" customWidth="1"/>
    <col min="4560" max="4560" width="15" style="719" customWidth="1"/>
    <col min="4561" max="4561" width="15.140625" style="719" customWidth="1"/>
    <col min="4562" max="4562" width="16" style="719" customWidth="1"/>
    <col min="4563" max="4566" width="14.42578125" style="719" bestFit="1" customWidth="1"/>
    <col min="4567" max="4811" width="9.140625" style="719"/>
    <col min="4812" max="4812" width="10.7109375" style="719" customWidth="1"/>
    <col min="4813" max="4813" width="13.140625" style="719" customWidth="1"/>
    <col min="4814" max="4814" width="22.42578125" style="719" customWidth="1"/>
    <col min="4815" max="4815" width="16.85546875" style="719" customWidth="1"/>
    <col min="4816" max="4816" width="15" style="719" customWidth="1"/>
    <col min="4817" max="4817" width="15.140625" style="719" customWidth="1"/>
    <col min="4818" max="4818" width="16" style="719" customWidth="1"/>
    <col min="4819" max="4822" width="14.42578125" style="719" bestFit="1" customWidth="1"/>
    <col min="4823" max="5067" width="9.140625" style="719"/>
    <col min="5068" max="5068" width="10.7109375" style="719" customWidth="1"/>
    <col min="5069" max="5069" width="13.140625" style="719" customWidth="1"/>
    <col min="5070" max="5070" width="22.42578125" style="719" customWidth="1"/>
    <col min="5071" max="5071" width="16.85546875" style="719" customWidth="1"/>
    <col min="5072" max="5072" width="15" style="719" customWidth="1"/>
    <col min="5073" max="5073" width="15.140625" style="719" customWidth="1"/>
    <col min="5074" max="5074" width="16" style="719" customWidth="1"/>
    <col min="5075" max="5078" width="14.42578125" style="719" bestFit="1" customWidth="1"/>
    <col min="5079" max="5323" width="9.140625" style="719"/>
    <col min="5324" max="5324" width="10.7109375" style="719" customWidth="1"/>
    <col min="5325" max="5325" width="13.140625" style="719" customWidth="1"/>
    <col min="5326" max="5326" width="22.42578125" style="719" customWidth="1"/>
    <col min="5327" max="5327" width="16.85546875" style="719" customWidth="1"/>
    <col min="5328" max="5328" width="15" style="719" customWidth="1"/>
    <col min="5329" max="5329" width="15.140625" style="719" customWidth="1"/>
    <col min="5330" max="5330" width="16" style="719" customWidth="1"/>
    <col min="5331" max="5334" width="14.42578125" style="719" bestFit="1" customWidth="1"/>
    <col min="5335" max="5579" width="9.140625" style="719"/>
    <col min="5580" max="5580" width="10.7109375" style="719" customWidth="1"/>
    <col min="5581" max="5581" width="13.140625" style="719" customWidth="1"/>
    <col min="5582" max="5582" width="22.42578125" style="719" customWidth="1"/>
    <col min="5583" max="5583" width="16.85546875" style="719" customWidth="1"/>
    <col min="5584" max="5584" width="15" style="719" customWidth="1"/>
    <col min="5585" max="5585" width="15.140625" style="719" customWidth="1"/>
    <col min="5586" max="5586" width="16" style="719" customWidth="1"/>
    <col min="5587" max="5590" width="14.42578125" style="719" bestFit="1" customWidth="1"/>
    <col min="5591" max="5835" width="9.140625" style="719"/>
    <col min="5836" max="5836" width="10.7109375" style="719" customWidth="1"/>
    <col min="5837" max="5837" width="13.140625" style="719" customWidth="1"/>
    <col min="5838" max="5838" width="22.42578125" style="719" customWidth="1"/>
    <col min="5839" max="5839" width="16.85546875" style="719" customWidth="1"/>
    <col min="5840" max="5840" width="15" style="719" customWidth="1"/>
    <col min="5841" max="5841" width="15.140625" style="719" customWidth="1"/>
    <col min="5842" max="5842" width="16" style="719" customWidth="1"/>
    <col min="5843" max="5846" width="14.42578125" style="719" bestFit="1" customWidth="1"/>
    <col min="5847" max="6091" width="9.140625" style="719"/>
    <col min="6092" max="6092" width="10.7109375" style="719" customWidth="1"/>
    <col min="6093" max="6093" width="13.140625" style="719" customWidth="1"/>
    <col min="6094" max="6094" width="22.42578125" style="719" customWidth="1"/>
    <col min="6095" max="6095" width="16.85546875" style="719" customWidth="1"/>
    <col min="6096" max="6096" width="15" style="719" customWidth="1"/>
    <col min="6097" max="6097" width="15.140625" style="719" customWidth="1"/>
    <col min="6098" max="6098" width="16" style="719" customWidth="1"/>
    <col min="6099" max="6102" width="14.42578125" style="719" bestFit="1" customWidth="1"/>
    <col min="6103" max="6347" width="9.140625" style="719"/>
    <col min="6348" max="6348" width="10.7109375" style="719" customWidth="1"/>
    <col min="6349" max="6349" width="13.140625" style="719" customWidth="1"/>
    <col min="6350" max="6350" width="22.42578125" style="719" customWidth="1"/>
    <col min="6351" max="6351" width="16.85546875" style="719" customWidth="1"/>
    <col min="6352" max="6352" width="15" style="719" customWidth="1"/>
    <col min="6353" max="6353" width="15.140625" style="719" customWidth="1"/>
    <col min="6354" max="6354" width="16" style="719" customWidth="1"/>
    <col min="6355" max="6358" width="14.42578125" style="719" bestFit="1" customWidth="1"/>
    <col min="6359" max="6603" width="9.140625" style="719"/>
    <col min="6604" max="6604" width="10.7109375" style="719" customWidth="1"/>
    <col min="6605" max="6605" width="13.140625" style="719" customWidth="1"/>
    <col min="6606" max="6606" width="22.42578125" style="719" customWidth="1"/>
    <col min="6607" max="6607" width="16.85546875" style="719" customWidth="1"/>
    <col min="6608" max="6608" width="15" style="719" customWidth="1"/>
    <col min="6609" max="6609" width="15.140625" style="719" customWidth="1"/>
    <col min="6610" max="6610" width="16" style="719" customWidth="1"/>
    <col min="6611" max="6614" width="14.42578125" style="719" bestFit="1" customWidth="1"/>
    <col min="6615" max="6859" width="9.140625" style="719"/>
    <col min="6860" max="6860" width="10.7109375" style="719" customWidth="1"/>
    <col min="6861" max="6861" width="13.140625" style="719" customWidth="1"/>
    <col min="6862" max="6862" width="22.42578125" style="719" customWidth="1"/>
    <col min="6863" max="6863" width="16.85546875" style="719" customWidth="1"/>
    <col min="6864" max="6864" width="15" style="719" customWidth="1"/>
    <col min="6865" max="6865" width="15.140625" style="719" customWidth="1"/>
    <col min="6866" max="6866" width="16" style="719" customWidth="1"/>
    <col min="6867" max="6870" width="14.42578125" style="719" bestFit="1" customWidth="1"/>
    <col min="6871" max="7115" width="9.140625" style="719"/>
    <col min="7116" max="7116" width="10.7109375" style="719" customWidth="1"/>
    <col min="7117" max="7117" width="13.140625" style="719" customWidth="1"/>
    <col min="7118" max="7118" width="22.42578125" style="719" customWidth="1"/>
    <col min="7119" max="7119" width="16.85546875" style="719" customWidth="1"/>
    <col min="7120" max="7120" width="15" style="719" customWidth="1"/>
    <col min="7121" max="7121" width="15.140625" style="719" customWidth="1"/>
    <col min="7122" max="7122" width="16" style="719" customWidth="1"/>
    <col min="7123" max="7126" width="14.42578125" style="719" bestFit="1" customWidth="1"/>
    <col min="7127" max="7371" width="9.140625" style="719"/>
    <col min="7372" max="7372" width="10.7109375" style="719" customWidth="1"/>
    <col min="7373" max="7373" width="13.140625" style="719" customWidth="1"/>
    <col min="7374" max="7374" width="22.42578125" style="719" customWidth="1"/>
    <col min="7375" max="7375" width="16.85546875" style="719" customWidth="1"/>
    <col min="7376" max="7376" width="15" style="719" customWidth="1"/>
    <col min="7377" max="7377" width="15.140625" style="719" customWidth="1"/>
    <col min="7378" max="7378" width="16" style="719" customWidth="1"/>
    <col min="7379" max="7382" width="14.42578125" style="719" bestFit="1" customWidth="1"/>
    <col min="7383" max="7627" width="9.140625" style="719"/>
    <col min="7628" max="7628" width="10.7109375" style="719" customWidth="1"/>
    <col min="7629" max="7629" width="13.140625" style="719" customWidth="1"/>
    <col min="7630" max="7630" width="22.42578125" style="719" customWidth="1"/>
    <col min="7631" max="7631" width="16.85546875" style="719" customWidth="1"/>
    <col min="7632" max="7632" width="15" style="719" customWidth="1"/>
    <col min="7633" max="7633" width="15.140625" style="719" customWidth="1"/>
    <col min="7634" max="7634" width="16" style="719" customWidth="1"/>
    <col min="7635" max="7638" width="14.42578125" style="719" bestFit="1" customWidth="1"/>
    <col min="7639" max="7883" width="9.140625" style="719"/>
    <col min="7884" max="7884" width="10.7109375" style="719" customWidth="1"/>
    <col min="7885" max="7885" width="13.140625" style="719" customWidth="1"/>
    <col min="7886" max="7886" width="22.42578125" style="719" customWidth="1"/>
    <col min="7887" max="7887" width="16.85546875" style="719" customWidth="1"/>
    <col min="7888" max="7888" width="15" style="719" customWidth="1"/>
    <col min="7889" max="7889" width="15.140625" style="719" customWidth="1"/>
    <col min="7890" max="7890" width="16" style="719" customWidth="1"/>
    <col min="7891" max="7894" width="14.42578125" style="719" bestFit="1" customWidth="1"/>
    <col min="7895" max="8139" width="9.140625" style="719"/>
    <col min="8140" max="8140" width="10.7109375" style="719" customWidth="1"/>
    <col min="8141" max="8141" width="13.140625" style="719" customWidth="1"/>
    <col min="8142" max="8142" width="22.42578125" style="719" customWidth="1"/>
    <col min="8143" max="8143" width="16.85546875" style="719" customWidth="1"/>
    <col min="8144" max="8144" width="15" style="719" customWidth="1"/>
    <col min="8145" max="8145" width="15.140625" style="719" customWidth="1"/>
    <col min="8146" max="8146" width="16" style="719" customWidth="1"/>
    <col min="8147" max="8150" width="14.42578125" style="719" bestFit="1" customWidth="1"/>
    <col min="8151" max="8395" width="9.140625" style="719"/>
    <col min="8396" max="8396" width="10.7109375" style="719" customWidth="1"/>
    <col min="8397" max="8397" width="13.140625" style="719" customWidth="1"/>
    <col min="8398" max="8398" width="22.42578125" style="719" customWidth="1"/>
    <col min="8399" max="8399" width="16.85546875" style="719" customWidth="1"/>
    <col min="8400" max="8400" width="15" style="719" customWidth="1"/>
    <col min="8401" max="8401" width="15.140625" style="719" customWidth="1"/>
    <col min="8402" max="8402" width="16" style="719" customWidth="1"/>
    <col min="8403" max="8406" width="14.42578125" style="719" bestFit="1" customWidth="1"/>
    <col min="8407" max="8651" width="9.140625" style="719"/>
    <col min="8652" max="8652" width="10.7109375" style="719" customWidth="1"/>
    <col min="8653" max="8653" width="13.140625" style="719" customWidth="1"/>
    <col min="8654" max="8654" width="22.42578125" style="719" customWidth="1"/>
    <col min="8655" max="8655" width="16.85546875" style="719" customWidth="1"/>
    <col min="8656" max="8656" width="15" style="719" customWidth="1"/>
    <col min="8657" max="8657" width="15.140625" style="719" customWidth="1"/>
    <col min="8658" max="8658" width="16" style="719" customWidth="1"/>
    <col min="8659" max="8662" width="14.42578125" style="719" bestFit="1" customWidth="1"/>
    <col min="8663" max="8907" width="9.140625" style="719"/>
    <col min="8908" max="8908" width="10.7109375" style="719" customWidth="1"/>
    <col min="8909" max="8909" width="13.140625" style="719" customWidth="1"/>
    <col min="8910" max="8910" width="22.42578125" style="719" customWidth="1"/>
    <col min="8911" max="8911" width="16.85546875" style="719" customWidth="1"/>
    <col min="8912" max="8912" width="15" style="719" customWidth="1"/>
    <col min="8913" max="8913" width="15.140625" style="719" customWidth="1"/>
    <col min="8914" max="8914" width="16" style="719" customWidth="1"/>
    <col min="8915" max="8918" width="14.42578125" style="719" bestFit="1" customWidth="1"/>
    <col min="8919" max="9163" width="9.140625" style="719"/>
    <col min="9164" max="9164" width="10.7109375" style="719" customWidth="1"/>
    <col min="9165" max="9165" width="13.140625" style="719" customWidth="1"/>
    <col min="9166" max="9166" width="22.42578125" style="719" customWidth="1"/>
    <col min="9167" max="9167" width="16.85546875" style="719" customWidth="1"/>
    <col min="9168" max="9168" width="15" style="719" customWidth="1"/>
    <col min="9169" max="9169" width="15.140625" style="719" customWidth="1"/>
    <col min="9170" max="9170" width="16" style="719" customWidth="1"/>
    <col min="9171" max="9174" width="14.42578125" style="719" bestFit="1" customWidth="1"/>
    <col min="9175" max="9419" width="9.140625" style="719"/>
    <col min="9420" max="9420" width="10.7109375" style="719" customWidth="1"/>
    <col min="9421" max="9421" width="13.140625" style="719" customWidth="1"/>
    <col min="9422" max="9422" width="22.42578125" style="719" customWidth="1"/>
    <col min="9423" max="9423" width="16.85546875" style="719" customWidth="1"/>
    <col min="9424" max="9424" width="15" style="719" customWidth="1"/>
    <col min="9425" max="9425" width="15.140625" style="719" customWidth="1"/>
    <col min="9426" max="9426" width="16" style="719" customWidth="1"/>
    <col min="9427" max="9430" width="14.42578125" style="719" bestFit="1" customWidth="1"/>
    <col min="9431" max="9675" width="9.140625" style="719"/>
    <col min="9676" max="9676" width="10.7109375" style="719" customWidth="1"/>
    <col min="9677" max="9677" width="13.140625" style="719" customWidth="1"/>
    <col min="9678" max="9678" width="22.42578125" style="719" customWidth="1"/>
    <col min="9679" max="9679" width="16.85546875" style="719" customWidth="1"/>
    <col min="9680" max="9680" width="15" style="719" customWidth="1"/>
    <col min="9681" max="9681" width="15.140625" style="719" customWidth="1"/>
    <col min="9682" max="9682" width="16" style="719" customWidth="1"/>
    <col min="9683" max="9686" width="14.42578125" style="719" bestFit="1" customWidth="1"/>
    <col min="9687" max="9931" width="9.140625" style="719"/>
    <col min="9932" max="9932" width="10.7109375" style="719" customWidth="1"/>
    <col min="9933" max="9933" width="13.140625" style="719" customWidth="1"/>
    <col min="9934" max="9934" width="22.42578125" style="719" customWidth="1"/>
    <col min="9935" max="9935" width="16.85546875" style="719" customWidth="1"/>
    <col min="9936" max="9936" width="15" style="719" customWidth="1"/>
    <col min="9937" max="9937" width="15.140625" style="719" customWidth="1"/>
    <col min="9938" max="9938" width="16" style="719" customWidth="1"/>
    <col min="9939" max="9942" width="14.42578125" style="719" bestFit="1" customWidth="1"/>
    <col min="9943" max="10187" width="9.140625" style="719"/>
    <col min="10188" max="10188" width="10.7109375" style="719" customWidth="1"/>
    <col min="10189" max="10189" width="13.140625" style="719" customWidth="1"/>
    <col min="10190" max="10190" width="22.42578125" style="719" customWidth="1"/>
    <col min="10191" max="10191" width="16.85546875" style="719" customWidth="1"/>
    <col min="10192" max="10192" width="15" style="719" customWidth="1"/>
    <col min="10193" max="10193" width="15.140625" style="719" customWidth="1"/>
    <col min="10194" max="10194" width="16" style="719" customWidth="1"/>
    <col min="10195" max="10198" width="14.42578125" style="719" bestFit="1" customWidth="1"/>
    <col min="10199" max="10443" width="9.140625" style="719"/>
    <col min="10444" max="10444" width="10.7109375" style="719" customWidth="1"/>
    <col min="10445" max="10445" width="13.140625" style="719" customWidth="1"/>
    <col min="10446" max="10446" width="22.42578125" style="719" customWidth="1"/>
    <col min="10447" max="10447" width="16.85546875" style="719" customWidth="1"/>
    <col min="10448" max="10448" width="15" style="719" customWidth="1"/>
    <col min="10449" max="10449" width="15.140625" style="719" customWidth="1"/>
    <col min="10450" max="10450" width="16" style="719" customWidth="1"/>
    <col min="10451" max="10454" width="14.42578125" style="719" bestFit="1" customWidth="1"/>
    <col min="10455" max="10699" width="9.140625" style="719"/>
    <col min="10700" max="10700" width="10.7109375" style="719" customWidth="1"/>
    <col min="10701" max="10701" width="13.140625" style="719" customWidth="1"/>
    <col min="10702" max="10702" width="22.42578125" style="719" customWidth="1"/>
    <col min="10703" max="10703" width="16.85546875" style="719" customWidth="1"/>
    <col min="10704" max="10704" width="15" style="719" customWidth="1"/>
    <col min="10705" max="10705" width="15.140625" style="719" customWidth="1"/>
    <col min="10706" max="10706" width="16" style="719" customWidth="1"/>
    <col min="10707" max="10710" width="14.42578125" style="719" bestFit="1" customWidth="1"/>
    <col min="10711" max="10955" width="9.140625" style="719"/>
    <col min="10956" max="10956" width="10.7109375" style="719" customWidth="1"/>
    <col min="10957" max="10957" width="13.140625" style="719" customWidth="1"/>
    <col min="10958" max="10958" width="22.42578125" style="719" customWidth="1"/>
    <col min="10959" max="10959" width="16.85546875" style="719" customWidth="1"/>
    <col min="10960" max="10960" width="15" style="719" customWidth="1"/>
    <col min="10961" max="10961" width="15.140625" style="719" customWidth="1"/>
    <col min="10962" max="10962" width="16" style="719" customWidth="1"/>
    <col min="10963" max="10966" width="14.42578125" style="719" bestFit="1" customWidth="1"/>
    <col min="10967" max="11211" width="9.140625" style="719"/>
    <col min="11212" max="11212" width="10.7109375" style="719" customWidth="1"/>
    <col min="11213" max="11213" width="13.140625" style="719" customWidth="1"/>
    <col min="11214" max="11214" width="22.42578125" style="719" customWidth="1"/>
    <col min="11215" max="11215" width="16.85546875" style="719" customWidth="1"/>
    <col min="11216" max="11216" width="15" style="719" customWidth="1"/>
    <col min="11217" max="11217" width="15.140625" style="719" customWidth="1"/>
    <col min="11218" max="11218" width="16" style="719" customWidth="1"/>
    <col min="11219" max="11222" width="14.42578125" style="719" bestFit="1" customWidth="1"/>
    <col min="11223" max="11467" width="9.140625" style="719"/>
    <col min="11468" max="11468" width="10.7109375" style="719" customWidth="1"/>
    <col min="11469" max="11469" width="13.140625" style="719" customWidth="1"/>
    <col min="11470" max="11470" width="22.42578125" style="719" customWidth="1"/>
    <col min="11471" max="11471" width="16.85546875" style="719" customWidth="1"/>
    <col min="11472" max="11472" width="15" style="719" customWidth="1"/>
    <col min="11473" max="11473" width="15.140625" style="719" customWidth="1"/>
    <col min="11474" max="11474" width="16" style="719" customWidth="1"/>
    <col min="11475" max="11478" width="14.42578125" style="719" bestFit="1" customWidth="1"/>
    <col min="11479" max="11723" width="9.140625" style="719"/>
    <col min="11724" max="11724" width="10.7109375" style="719" customWidth="1"/>
    <col min="11725" max="11725" width="13.140625" style="719" customWidth="1"/>
    <col min="11726" max="11726" width="22.42578125" style="719" customWidth="1"/>
    <col min="11727" max="11727" width="16.85546875" style="719" customWidth="1"/>
    <col min="11728" max="11728" width="15" style="719" customWidth="1"/>
    <col min="11729" max="11729" width="15.140625" style="719" customWidth="1"/>
    <col min="11730" max="11730" width="16" style="719" customWidth="1"/>
    <col min="11731" max="11734" width="14.42578125" style="719" bestFit="1" customWidth="1"/>
    <col min="11735" max="11979" width="9.140625" style="719"/>
    <col min="11980" max="11980" width="10.7109375" style="719" customWidth="1"/>
    <col min="11981" max="11981" width="13.140625" style="719" customWidth="1"/>
    <col min="11982" max="11982" width="22.42578125" style="719" customWidth="1"/>
    <col min="11983" max="11983" width="16.85546875" style="719" customWidth="1"/>
    <col min="11984" max="11984" width="15" style="719" customWidth="1"/>
    <col min="11985" max="11985" width="15.140625" style="719" customWidth="1"/>
    <col min="11986" max="11986" width="16" style="719" customWidth="1"/>
    <col min="11987" max="11990" width="14.42578125" style="719" bestFit="1" customWidth="1"/>
    <col min="11991" max="12235" width="9.140625" style="719"/>
    <col min="12236" max="12236" width="10.7109375" style="719" customWidth="1"/>
    <col min="12237" max="12237" width="13.140625" style="719" customWidth="1"/>
    <col min="12238" max="12238" width="22.42578125" style="719" customWidth="1"/>
    <col min="12239" max="12239" width="16.85546875" style="719" customWidth="1"/>
    <col min="12240" max="12240" width="15" style="719" customWidth="1"/>
    <col min="12241" max="12241" width="15.140625" style="719" customWidth="1"/>
    <col min="12242" max="12242" width="16" style="719" customWidth="1"/>
    <col min="12243" max="12246" width="14.42578125" style="719" bestFit="1" customWidth="1"/>
    <col min="12247" max="12491" width="9.140625" style="719"/>
    <col min="12492" max="12492" width="10.7109375" style="719" customWidth="1"/>
    <col min="12493" max="12493" width="13.140625" style="719" customWidth="1"/>
    <col min="12494" max="12494" width="22.42578125" style="719" customWidth="1"/>
    <col min="12495" max="12495" width="16.85546875" style="719" customWidth="1"/>
    <col min="12496" max="12496" width="15" style="719" customWidth="1"/>
    <col min="12497" max="12497" width="15.140625" style="719" customWidth="1"/>
    <col min="12498" max="12498" width="16" style="719" customWidth="1"/>
    <col min="12499" max="12502" width="14.42578125" style="719" bestFit="1" customWidth="1"/>
    <col min="12503" max="12747" width="9.140625" style="719"/>
    <col min="12748" max="12748" width="10.7109375" style="719" customWidth="1"/>
    <col min="12749" max="12749" width="13.140625" style="719" customWidth="1"/>
    <col min="12750" max="12750" width="22.42578125" style="719" customWidth="1"/>
    <col min="12751" max="12751" width="16.85546875" style="719" customWidth="1"/>
    <col min="12752" max="12752" width="15" style="719" customWidth="1"/>
    <col min="12753" max="12753" width="15.140625" style="719" customWidth="1"/>
    <col min="12754" max="12754" width="16" style="719" customWidth="1"/>
    <col min="12755" max="12758" width="14.42578125" style="719" bestFit="1" customWidth="1"/>
    <col min="12759" max="13003" width="9.140625" style="719"/>
    <col min="13004" max="13004" width="10.7109375" style="719" customWidth="1"/>
    <col min="13005" max="13005" width="13.140625" style="719" customWidth="1"/>
    <col min="13006" max="13006" width="22.42578125" style="719" customWidth="1"/>
    <col min="13007" max="13007" width="16.85546875" style="719" customWidth="1"/>
    <col min="13008" max="13008" width="15" style="719" customWidth="1"/>
    <col min="13009" max="13009" width="15.140625" style="719" customWidth="1"/>
    <col min="13010" max="13010" width="16" style="719" customWidth="1"/>
    <col min="13011" max="13014" width="14.42578125" style="719" bestFit="1" customWidth="1"/>
    <col min="13015" max="13259" width="9.140625" style="719"/>
    <col min="13260" max="13260" width="10.7109375" style="719" customWidth="1"/>
    <col min="13261" max="13261" width="13.140625" style="719" customWidth="1"/>
    <col min="13262" max="13262" width="22.42578125" style="719" customWidth="1"/>
    <col min="13263" max="13263" width="16.85546875" style="719" customWidth="1"/>
    <col min="13264" max="13264" width="15" style="719" customWidth="1"/>
    <col min="13265" max="13265" width="15.140625" style="719" customWidth="1"/>
    <col min="13266" max="13266" width="16" style="719" customWidth="1"/>
    <col min="13267" max="13270" width="14.42578125" style="719" bestFit="1" customWidth="1"/>
    <col min="13271" max="13515" width="9.140625" style="719"/>
    <col min="13516" max="13516" width="10.7109375" style="719" customWidth="1"/>
    <col min="13517" max="13517" width="13.140625" style="719" customWidth="1"/>
    <col min="13518" max="13518" width="22.42578125" style="719" customWidth="1"/>
    <col min="13519" max="13519" width="16.85546875" style="719" customWidth="1"/>
    <col min="13520" max="13520" width="15" style="719" customWidth="1"/>
    <col min="13521" max="13521" width="15.140625" style="719" customWidth="1"/>
    <col min="13522" max="13522" width="16" style="719" customWidth="1"/>
    <col min="13523" max="13526" width="14.42578125" style="719" bestFit="1" customWidth="1"/>
    <col min="13527" max="13771" width="9.140625" style="719"/>
    <col min="13772" max="13772" width="10.7109375" style="719" customWidth="1"/>
    <col min="13773" max="13773" width="13.140625" style="719" customWidth="1"/>
    <col min="13774" max="13774" width="22.42578125" style="719" customWidth="1"/>
    <col min="13775" max="13775" width="16.85546875" style="719" customWidth="1"/>
    <col min="13776" max="13776" width="15" style="719" customWidth="1"/>
    <col min="13777" max="13777" width="15.140625" style="719" customWidth="1"/>
    <col min="13778" max="13778" width="16" style="719" customWidth="1"/>
    <col min="13779" max="13782" width="14.42578125" style="719" bestFit="1" customWidth="1"/>
    <col min="13783" max="14027" width="9.140625" style="719"/>
    <col min="14028" max="14028" width="10.7109375" style="719" customWidth="1"/>
    <col min="14029" max="14029" width="13.140625" style="719" customWidth="1"/>
    <col min="14030" max="14030" width="22.42578125" style="719" customWidth="1"/>
    <col min="14031" max="14031" width="16.85546875" style="719" customWidth="1"/>
    <col min="14032" max="14032" width="15" style="719" customWidth="1"/>
    <col min="14033" max="14033" width="15.140625" style="719" customWidth="1"/>
    <col min="14034" max="14034" width="16" style="719" customWidth="1"/>
    <col min="14035" max="14038" width="14.42578125" style="719" bestFit="1" customWidth="1"/>
    <col min="14039" max="14283" width="9.140625" style="719"/>
    <col min="14284" max="14284" width="10.7109375" style="719" customWidth="1"/>
    <col min="14285" max="14285" width="13.140625" style="719" customWidth="1"/>
    <col min="14286" max="14286" width="22.42578125" style="719" customWidth="1"/>
    <col min="14287" max="14287" width="16.85546875" style="719" customWidth="1"/>
    <col min="14288" max="14288" width="15" style="719" customWidth="1"/>
    <col min="14289" max="14289" width="15.140625" style="719" customWidth="1"/>
    <col min="14290" max="14290" width="16" style="719" customWidth="1"/>
    <col min="14291" max="14294" width="14.42578125" style="719" bestFit="1" customWidth="1"/>
    <col min="14295" max="14539" width="9.140625" style="719"/>
    <col min="14540" max="14540" width="10.7109375" style="719" customWidth="1"/>
    <col min="14541" max="14541" width="13.140625" style="719" customWidth="1"/>
    <col min="14542" max="14542" width="22.42578125" style="719" customWidth="1"/>
    <col min="14543" max="14543" width="16.85546875" style="719" customWidth="1"/>
    <col min="14544" max="14544" width="15" style="719" customWidth="1"/>
    <col min="14545" max="14545" width="15.140625" style="719" customWidth="1"/>
    <col min="14546" max="14546" width="16" style="719" customWidth="1"/>
    <col min="14547" max="14550" width="14.42578125" style="719" bestFit="1" customWidth="1"/>
    <col min="14551" max="14795" width="9.140625" style="719"/>
    <col min="14796" max="14796" width="10.7109375" style="719" customWidth="1"/>
    <col min="14797" max="14797" width="13.140625" style="719" customWidth="1"/>
    <col min="14798" max="14798" width="22.42578125" style="719" customWidth="1"/>
    <col min="14799" max="14799" width="16.85546875" style="719" customWidth="1"/>
    <col min="14800" max="14800" width="15" style="719" customWidth="1"/>
    <col min="14801" max="14801" width="15.140625" style="719" customWidth="1"/>
    <col min="14802" max="14802" width="16" style="719" customWidth="1"/>
    <col min="14803" max="14806" width="14.42578125" style="719" bestFit="1" customWidth="1"/>
    <col min="14807" max="15051" width="9.140625" style="719"/>
    <col min="15052" max="15052" width="10.7109375" style="719" customWidth="1"/>
    <col min="15053" max="15053" width="13.140625" style="719" customWidth="1"/>
    <col min="15054" max="15054" width="22.42578125" style="719" customWidth="1"/>
    <col min="15055" max="15055" width="16.85546875" style="719" customWidth="1"/>
    <col min="15056" max="15056" width="15" style="719" customWidth="1"/>
    <col min="15057" max="15057" width="15.140625" style="719" customWidth="1"/>
    <col min="15058" max="15058" width="16" style="719" customWidth="1"/>
    <col min="15059" max="15062" width="14.42578125" style="719" bestFit="1" customWidth="1"/>
    <col min="15063" max="15307" width="9.140625" style="719"/>
    <col min="15308" max="15308" width="10.7109375" style="719" customWidth="1"/>
    <col min="15309" max="15309" width="13.140625" style="719" customWidth="1"/>
    <col min="15310" max="15310" width="22.42578125" style="719" customWidth="1"/>
    <col min="15311" max="15311" width="16.85546875" style="719" customWidth="1"/>
    <col min="15312" max="15312" width="15" style="719" customWidth="1"/>
    <col min="15313" max="15313" width="15.140625" style="719" customWidth="1"/>
    <col min="15314" max="15314" width="16" style="719" customWidth="1"/>
    <col min="15315" max="15318" width="14.42578125" style="719" bestFit="1" customWidth="1"/>
    <col min="15319" max="15563" width="9.140625" style="719"/>
    <col min="15564" max="15564" width="10.7109375" style="719" customWidth="1"/>
    <col min="15565" max="15565" width="13.140625" style="719" customWidth="1"/>
    <col min="15566" max="15566" width="22.42578125" style="719" customWidth="1"/>
    <col min="15567" max="15567" width="16.85546875" style="719" customWidth="1"/>
    <col min="15568" max="15568" width="15" style="719" customWidth="1"/>
    <col min="15569" max="15569" width="15.140625" style="719" customWidth="1"/>
    <col min="15570" max="15570" width="16" style="719" customWidth="1"/>
    <col min="15571" max="15574" width="14.42578125" style="719" bestFit="1" customWidth="1"/>
    <col min="15575" max="15819" width="9.140625" style="719"/>
    <col min="15820" max="15820" width="10.7109375" style="719" customWidth="1"/>
    <col min="15821" max="15821" width="13.140625" style="719" customWidth="1"/>
    <col min="15822" max="15822" width="22.42578125" style="719" customWidth="1"/>
    <col min="15823" max="15823" width="16.85546875" style="719" customWidth="1"/>
    <col min="15824" max="15824" width="15" style="719" customWidth="1"/>
    <col min="15825" max="15825" width="15.140625" style="719" customWidth="1"/>
    <col min="15826" max="15826" width="16" style="719" customWidth="1"/>
    <col min="15827" max="15830" width="14.42578125" style="719" bestFit="1" customWidth="1"/>
    <col min="15831" max="16075" width="9.140625" style="719"/>
    <col min="16076" max="16076" width="10.7109375" style="719" customWidth="1"/>
    <col min="16077" max="16077" width="13.140625" style="719" customWidth="1"/>
    <col min="16078" max="16078" width="22.42578125" style="719" customWidth="1"/>
    <col min="16079" max="16079" width="16.85546875" style="719" customWidth="1"/>
    <col min="16080" max="16080" width="15" style="719" customWidth="1"/>
    <col min="16081" max="16081" width="15.140625" style="719" customWidth="1"/>
    <col min="16082" max="16082" width="16" style="719" customWidth="1"/>
    <col min="16083" max="16086" width="14.42578125" style="719" bestFit="1" customWidth="1"/>
    <col min="16087" max="16384" width="9.140625" style="719"/>
  </cols>
  <sheetData>
    <row r="1" spans="1:40" ht="18.75" x14ac:dyDescent="0.3">
      <c r="A1" s="716"/>
      <c r="B1" s="716"/>
      <c r="C1" s="716"/>
      <c r="D1" s="716"/>
      <c r="E1" s="717"/>
      <c r="F1" s="717"/>
      <c r="G1" s="717"/>
      <c r="H1" s="717"/>
      <c r="I1" s="717"/>
      <c r="J1" s="717"/>
      <c r="K1" s="717"/>
    </row>
    <row r="2" spans="1:40" ht="54" customHeight="1" x14ac:dyDescent="0.25">
      <c r="A2" s="1584" t="s">
        <v>594</v>
      </c>
      <c r="B2" s="1584"/>
      <c r="C2" s="1584"/>
      <c r="D2" s="1584"/>
      <c r="E2" s="1584"/>
      <c r="F2" s="1584"/>
      <c r="G2" s="1584"/>
      <c r="H2" s="1584"/>
      <c r="I2" s="1584"/>
      <c r="J2" s="1584"/>
      <c r="K2" s="1584"/>
      <c r="AG2" s="719">
        <v>5517</v>
      </c>
      <c r="AH2" s="759">
        <f>AG2*AF6</f>
        <v>13281846.48</v>
      </c>
    </row>
    <row r="3" spans="1:40" s="723" customFormat="1" x14ac:dyDescent="0.25">
      <c r="A3" s="720"/>
      <c r="B3" s="720"/>
      <c r="C3" s="721">
        <v>5300100.96</v>
      </c>
      <c r="D3" s="721"/>
      <c r="E3" s="721"/>
      <c r="F3" s="721"/>
      <c r="G3" s="721"/>
      <c r="H3" s="721"/>
      <c r="I3" s="721"/>
      <c r="J3" s="721"/>
      <c r="K3" s="721"/>
      <c r="L3" s="722"/>
      <c r="AH3" s="719">
        <v>8.4729976952075958E-3</v>
      </c>
    </row>
    <row r="4" spans="1:40" s="723" customFormat="1" ht="15.75" customHeight="1" x14ac:dyDescent="0.25">
      <c r="A4" s="1585" t="s">
        <v>88</v>
      </c>
      <c r="B4" s="1585" t="s">
        <v>133</v>
      </c>
      <c r="C4" s="724"/>
      <c r="D4" s="1586" t="s">
        <v>589</v>
      </c>
      <c r="E4" s="1586"/>
      <c r="F4" s="1586"/>
      <c r="G4" s="1586"/>
      <c r="H4" s="725"/>
      <c r="I4" s="725"/>
      <c r="J4" s="725"/>
      <c r="K4" s="725"/>
      <c r="L4" s="722"/>
      <c r="Z4" s="725" t="s">
        <v>365</v>
      </c>
      <c r="AA4" s="725" t="s">
        <v>197</v>
      </c>
      <c r="AB4" s="811" t="s">
        <v>356</v>
      </c>
      <c r="AC4" s="811" t="s">
        <v>293</v>
      </c>
      <c r="AD4" s="874"/>
      <c r="AE4" s="874"/>
      <c r="AF4" s="1581" t="s">
        <v>644</v>
      </c>
      <c r="AG4" s="1582"/>
    </row>
    <row r="5" spans="1:40" s="729" customFormat="1" ht="33" customHeight="1" x14ac:dyDescent="0.25">
      <c r="A5" s="1585"/>
      <c r="B5" s="1585"/>
      <c r="C5" s="726">
        <v>2017</v>
      </c>
      <c r="D5" s="727" t="s">
        <v>590</v>
      </c>
      <c r="E5" s="728">
        <v>3500</v>
      </c>
      <c r="F5" s="728">
        <v>3900</v>
      </c>
      <c r="G5" s="728">
        <v>14000</v>
      </c>
      <c r="H5" s="728">
        <f>N6</f>
        <v>25074</v>
      </c>
      <c r="I5" s="728">
        <f>39074-3900</f>
        <v>35174</v>
      </c>
      <c r="J5" s="819">
        <v>39074</v>
      </c>
      <c r="K5" s="819" t="s">
        <v>591</v>
      </c>
      <c r="L5" s="820"/>
      <c r="M5" s="821"/>
      <c r="N5" s="821"/>
      <c r="O5" s="821" t="e">
        <f>#REF!+#REF!</f>
        <v>#REF!</v>
      </c>
      <c r="P5" s="822" t="e">
        <f>#REF!/O5</f>
        <v>#REF!</v>
      </c>
      <c r="Q5" s="821"/>
      <c r="R5" s="821"/>
      <c r="S5" s="821"/>
      <c r="T5" s="821"/>
      <c r="U5" s="821"/>
      <c r="V5" s="821"/>
      <c r="W5" s="821"/>
      <c r="X5" s="821"/>
      <c r="Y5" s="821"/>
      <c r="Z5" s="819">
        <f>J5-AA5</f>
        <v>23574</v>
      </c>
      <c r="AA5" s="819">
        <f>'Доходы Проживание (2)'!O11</f>
        <v>15500</v>
      </c>
      <c r="AB5" s="826"/>
      <c r="AC5" s="826"/>
      <c r="AD5" s="875"/>
      <c r="AE5" s="875"/>
      <c r="AF5" s="819"/>
      <c r="AG5" s="819">
        <f>22131000/2407.44</f>
        <v>9192.7524673512107</v>
      </c>
      <c r="AH5" s="729" t="s">
        <v>912</v>
      </c>
      <c r="AI5" s="729" t="s">
        <v>913</v>
      </c>
      <c r="AJ5" s="729" t="s">
        <v>914</v>
      </c>
    </row>
    <row r="6" spans="1:40" ht="15.75" x14ac:dyDescent="0.25">
      <c r="A6" s="730" t="s">
        <v>160</v>
      </c>
      <c r="B6" s="731">
        <v>200</v>
      </c>
      <c r="C6" s="732">
        <f t="shared" ref="C6:J6" si="0">C8+C18+C13</f>
        <v>10038069.999389887</v>
      </c>
      <c r="D6" s="733">
        <f t="shared" si="0"/>
        <v>2908.4173443</v>
      </c>
      <c r="E6" s="734">
        <f t="shared" si="0"/>
        <v>10179460.705049999</v>
      </c>
      <c r="F6" s="734">
        <f t="shared" si="0"/>
        <v>11342827.64277</v>
      </c>
      <c r="G6" s="734">
        <f t="shared" si="0"/>
        <v>40717842.820199996</v>
      </c>
      <c r="H6" s="734">
        <f t="shared" si="0"/>
        <v>72925656.490978196</v>
      </c>
      <c r="I6" s="734">
        <f t="shared" si="0"/>
        <v>102300671.6684082</v>
      </c>
      <c r="J6" s="734">
        <f t="shared" si="0"/>
        <v>113643500.0047738</v>
      </c>
      <c r="K6" s="734">
        <f>G6-F6</f>
        <v>29375015.177429996</v>
      </c>
      <c r="L6" s="735"/>
      <c r="M6" s="719">
        <v>2906.41</v>
      </c>
      <c r="N6" s="719">
        <f>39074-14000</f>
        <v>25074</v>
      </c>
      <c r="X6" s="736">
        <f>'[5]Южный '!D6/'расчет норматив'!D6</f>
        <v>0.99932772931301683</v>
      </c>
      <c r="Z6" s="734">
        <f t="shared" ref="Z6:AA6" si="1">Z8+Z18+Z13</f>
        <v>68563030.892986074</v>
      </c>
      <c r="AA6" s="734">
        <f t="shared" si="1"/>
        <v>45080469.103314735</v>
      </c>
      <c r="AB6" s="734">
        <f>AB8</f>
        <v>105026100</v>
      </c>
      <c r="AC6" s="734">
        <f t="shared" ref="AC6" si="2">AC8+AC18+AC13</f>
        <v>218669600.0047738</v>
      </c>
      <c r="AD6" s="876" t="b">
        <f>AC6=J32</f>
        <v>0</v>
      </c>
      <c r="AE6" s="876">
        <f>AC6-218669600</f>
        <v>4.7737956047058105E-3</v>
      </c>
      <c r="AF6" s="734">
        <f t="shared" ref="AF6:AG6" si="3">AF8+AF18+AF13</f>
        <v>2407.44</v>
      </c>
      <c r="AG6" s="734">
        <f t="shared" si="3"/>
        <v>22131000</v>
      </c>
      <c r="AH6" s="1029">
        <f>SUM(AH7:AH27)</f>
        <v>4711464.33</v>
      </c>
      <c r="AI6" s="1029">
        <f>SUM(AI7:AI27)</f>
        <v>477046</v>
      </c>
      <c r="AJ6" s="759">
        <f>AH6+AI6</f>
        <v>5188510.33</v>
      </c>
    </row>
    <row r="7" spans="1:40" ht="15.75" x14ac:dyDescent="0.25">
      <c r="A7" s="737" t="s">
        <v>137</v>
      </c>
      <c r="B7" s="738"/>
      <c r="C7" s="739"/>
      <c r="D7" s="740"/>
      <c r="E7" s="741"/>
      <c r="F7" s="741"/>
      <c r="G7" s="741"/>
      <c r="H7" s="741"/>
      <c r="I7" s="741"/>
      <c r="J7" s="741"/>
      <c r="K7" s="734"/>
      <c r="L7" s="742"/>
      <c r="X7" s="736"/>
      <c r="Z7" s="741"/>
      <c r="AA7" s="741"/>
      <c r="AB7" s="827"/>
      <c r="AC7" s="827"/>
      <c r="AD7" s="877"/>
      <c r="AE7" s="877"/>
      <c r="AF7" s="741"/>
      <c r="AG7" s="741"/>
      <c r="AH7" s="759"/>
      <c r="AI7" s="1008"/>
    </row>
    <row r="8" spans="1:40" ht="15.75" x14ac:dyDescent="0.25">
      <c r="A8" s="743" t="s">
        <v>161</v>
      </c>
      <c r="B8" s="744">
        <v>210</v>
      </c>
      <c r="C8" s="732">
        <f t="shared" ref="C8:J8" si="4">SUM(C10:C12)</f>
        <v>4809307.7120268773</v>
      </c>
      <c r="D8" s="733">
        <f t="shared" si="4"/>
        <v>1682.8658442999999</v>
      </c>
      <c r="E8" s="734">
        <f t="shared" si="4"/>
        <v>5890030.45505</v>
      </c>
      <c r="F8" s="734">
        <f t="shared" si="4"/>
        <v>6563176.7927700002</v>
      </c>
      <c r="G8" s="734">
        <f t="shared" si="4"/>
        <v>23560121.8202</v>
      </c>
      <c r="H8" s="734">
        <f t="shared" si="4"/>
        <v>42196178.179978199</v>
      </c>
      <c r="I8" s="734">
        <f t="shared" si="4"/>
        <v>59193123.207408205</v>
      </c>
      <c r="J8" s="734">
        <f t="shared" si="4"/>
        <v>65756300.004773796</v>
      </c>
      <c r="K8" s="734">
        <f t="shared" ref="K8:K27" si="5">G8-F8</f>
        <v>16996945.027429998</v>
      </c>
      <c r="L8" s="745"/>
      <c r="X8" s="746">
        <f>'[5]Южный '!D8/'расчет норматив'!D8</f>
        <v>0.84917727653166997</v>
      </c>
      <c r="Z8" s="734">
        <f t="shared" ref="Z8" si="6">SUM(Z10:Z12)</f>
        <v>39671879.416300803</v>
      </c>
      <c r="AA8" s="734">
        <f>SUM(AA10:AA12)</f>
        <v>26084420.579999998</v>
      </c>
      <c r="AB8" s="734">
        <f>AB10+AB11</f>
        <v>105026100</v>
      </c>
      <c r="AC8" s="734">
        <f>J8+AB8</f>
        <v>170782400.0047738</v>
      </c>
      <c r="AD8" s="876">
        <f>'ПФХД 2019 с разбивкой '!AB103</f>
        <v>170782400</v>
      </c>
      <c r="AE8" s="876">
        <f>AC8-AD8</f>
        <v>4.7737956047058105E-3</v>
      </c>
      <c r="AF8" s="734">
        <f t="shared" ref="AF8:AG8" si="7">SUM(AF10:AF12)</f>
        <v>1073.55</v>
      </c>
      <c r="AG8" s="734">
        <f t="shared" si="7"/>
        <v>9868879.4113248922</v>
      </c>
      <c r="AH8" s="759"/>
      <c r="AI8" s="1008"/>
    </row>
    <row r="9" spans="1:40" ht="15.75" x14ac:dyDescent="0.25">
      <c r="A9" s="747" t="s">
        <v>92</v>
      </c>
      <c r="B9" s="748"/>
      <c r="C9" s="749"/>
      <c r="D9" s="750"/>
      <c r="E9" s="751"/>
      <c r="F9" s="752"/>
      <c r="G9" s="752"/>
      <c r="H9" s="752"/>
      <c r="I9" s="752"/>
      <c r="J9" s="752"/>
      <c r="K9" s="734"/>
      <c r="L9" s="742"/>
      <c r="X9" s="753"/>
      <c r="Z9" s="752"/>
      <c r="AA9" s="752"/>
      <c r="AB9" s="827"/>
      <c r="AC9" s="827"/>
      <c r="AD9" s="877"/>
      <c r="AE9" s="999">
        <f>AE8/J5</f>
        <v>1.2217319969047987E-7</v>
      </c>
      <c r="AF9" s="752"/>
      <c r="AG9" s="752"/>
      <c r="AH9" s="759"/>
      <c r="AI9" s="1008"/>
    </row>
    <row r="10" spans="1:40" ht="15.75" x14ac:dyDescent="0.2">
      <c r="A10" s="743" t="s">
        <v>162</v>
      </c>
      <c r="B10" s="754">
        <v>111</v>
      </c>
      <c r="C10" s="755">
        <v>3664309.2538241898</v>
      </c>
      <c r="D10" s="756">
        <v>1281.1184350054871</v>
      </c>
      <c r="E10" s="752">
        <f>D10*$E$5</f>
        <v>4483914.5225192048</v>
      </c>
      <c r="F10" s="752">
        <f>D10*$F$5</f>
        <v>4996361.8965213997</v>
      </c>
      <c r="G10" s="752">
        <f>D10*$G$5</f>
        <v>17935658.090076819</v>
      </c>
      <c r="H10" s="752">
        <f>D10*$H$5</f>
        <v>32122763.639327582</v>
      </c>
      <c r="I10" s="752">
        <f>D10*$I$5</f>
        <v>45062059.832883</v>
      </c>
      <c r="J10" s="752">
        <f>AC10-AB10</f>
        <v>50058423.189999998</v>
      </c>
      <c r="K10" s="752">
        <f t="shared" si="5"/>
        <v>12939296.193555418</v>
      </c>
      <c r="L10" s="757">
        <v>1046.94549966405</v>
      </c>
      <c r="N10" s="758">
        <f>G10/6</f>
        <v>2989276.3483461365</v>
      </c>
      <c r="X10" s="753">
        <f>'[5]Южный '!D10/'расчет норматив'!D10</f>
        <v>0.8499005957491097</v>
      </c>
      <c r="Z10" s="752">
        <f>J10/J5*Z5</f>
        <v>30201086.86802119</v>
      </c>
      <c r="AA10" s="752">
        <f>J10/J5*AA5-AH3</f>
        <v>19857336.31350581</v>
      </c>
      <c r="AB10" s="873">
        <f>'НЗ на ГЗ база с деньгами Минздр'!J10+'НЗ на ГЗ база с деньгами Минздр'!J11+'НЗ на ГЗ база с деньгами Минздр'!J12+'НЗ на ГЗ база с деньгами Минздр'!J13+'НЗ на ГЗ база с деньгами Минздр'!J14+'НЗ на ГЗ база с деньгами Минздр'!J15</f>
        <v>80665200</v>
      </c>
      <c r="AC10" s="873">
        <f>131169200-445576.81</f>
        <v>130723623.19</v>
      </c>
      <c r="AD10" s="1007">
        <f>'ПФХД 2019 с разбивкой '!H26+'ПФХД 2019 с разбивкой '!H28-'ПФХД 2019 с разбивкой '!L100-'ПФХД 2019 с разбивкой '!L102</f>
        <v>131169200.00342551</v>
      </c>
      <c r="AE10" s="878"/>
      <c r="AF10" s="752">
        <v>824.54</v>
      </c>
      <c r="AG10" s="752">
        <f>AF10*$AG$5</f>
        <v>7579792.1194297671</v>
      </c>
      <c r="AH10" s="759">
        <v>945495.87</v>
      </c>
      <c r="AI10" s="1008">
        <v>161496</v>
      </c>
      <c r="AJ10" s="759">
        <f>AH10+AI10</f>
        <v>1106991.8700000001</v>
      </c>
      <c r="AL10" s="759" t="e">
        <f>#REF!+C10+#REF!</f>
        <v>#REF!</v>
      </c>
      <c r="AN10" s="759"/>
    </row>
    <row r="11" spans="1:40" ht="15.75" x14ac:dyDescent="0.25">
      <c r="A11" s="743" t="s">
        <v>163</v>
      </c>
      <c r="B11" s="754">
        <v>119</v>
      </c>
      <c r="C11" s="755">
        <v>1106621.5999999999</v>
      </c>
      <c r="D11" s="756">
        <v>390.34400000000005</v>
      </c>
      <c r="E11" s="752">
        <f>D11*$E$5</f>
        <v>1366204.0000000002</v>
      </c>
      <c r="F11" s="752">
        <f>D11*$F$5</f>
        <v>1522341.6</v>
      </c>
      <c r="G11" s="752">
        <f t="shared" ref="G11:G15" si="8">D11*$G$5</f>
        <v>5464816.0000000009</v>
      </c>
      <c r="H11" s="752">
        <f>D11*$H$5</f>
        <v>9787485.4560000021</v>
      </c>
      <c r="I11" s="752">
        <f>D11*$I$5</f>
        <v>13729959.856000002</v>
      </c>
      <c r="J11" s="752">
        <f>AC11-AB11</f>
        <v>15252300</v>
      </c>
      <c r="K11" s="752">
        <f t="shared" si="5"/>
        <v>3942474.4000000008</v>
      </c>
      <c r="L11" s="757">
        <v>316.17759999999998</v>
      </c>
      <c r="X11" s="753">
        <f>'[5]Южный '!D11/'расчет норматив'!D11</f>
        <v>0.842397229110733</v>
      </c>
      <c r="Z11" s="752">
        <f>J11/J5*Z5</f>
        <v>9201968.5775707643</v>
      </c>
      <c r="AA11" s="752">
        <f>J11/J5*AA5</f>
        <v>6050331.4224292375</v>
      </c>
      <c r="AB11" s="873">
        <f>'НЗ на ГЗ база с деньгами Минздр'!J18+'НЗ на ГЗ база с деньгами Минздр'!J19+'НЗ на ГЗ база с деньгами Минздр'!J20+'НЗ на ГЗ база с деньгами Минздр'!J21+'НЗ на ГЗ база с деньгами Минздр'!J22+'НЗ на ГЗ база с деньгами Минздр'!J23</f>
        <v>24360900</v>
      </c>
      <c r="AC11" s="873">
        <v>39613200</v>
      </c>
      <c r="AD11" s="1005">
        <f>'ПФХД 2019 с разбивкой '!H27-'ПФХД 2019 с разбивкой '!L101</f>
        <v>39613199.996574506</v>
      </c>
      <c r="AE11" s="878"/>
      <c r="AF11" s="752">
        <v>249.01</v>
      </c>
      <c r="AG11" s="752">
        <f>AF11*$AG$5</f>
        <v>2289087.2918951251</v>
      </c>
      <c r="AH11" s="759">
        <v>735872.39</v>
      </c>
      <c r="AI11" s="1008">
        <v>48772</v>
      </c>
      <c r="AJ11" s="759">
        <f t="shared" ref="AJ11:AJ27" si="9">AH11+AI11</f>
        <v>784644.39</v>
      </c>
    </row>
    <row r="12" spans="1:40" ht="31.5" x14ac:dyDescent="0.25">
      <c r="A12" s="743" t="s">
        <v>164</v>
      </c>
      <c r="B12" s="754">
        <v>112</v>
      </c>
      <c r="C12" s="755">
        <v>38376.858202687574</v>
      </c>
      <c r="D12" s="756">
        <v>11.40340929451288</v>
      </c>
      <c r="E12" s="752">
        <f>(C12*4%)+C12</f>
        <v>39911.932530795078</v>
      </c>
      <c r="F12" s="752">
        <f>D12*$F$5</f>
        <v>44473.296248600229</v>
      </c>
      <c r="G12" s="752">
        <f t="shared" si="8"/>
        <v>159647.73012318031</v>
      </c>
      <c r="H12" s="752">
        <f>D12*$H$5</f>
        <v>285929.08465061593</v>
      </c>
      <c r="I12" s="752">
        <f>D12*$I$5</f>
        <v>401103.51852519601</v>
      </c>
      <c r="J12" s="752">
        <f>D12*$J$5</f>
        <v>445576.81477379624</v>
      </c>
      <c r="K12" s="752">
        <f t="shared" si="5"/>
        <v>115174.43387458008</v>
      </c>
      <c r="L12" s="757">
        <v>10.964816629339307</v>
      </c>
      <c r="X12" s="753">
        <f>'[5]Южный '!D12/'расчет норматив'!D12</f>
        <v>1</v>
      </c>
      <c r="Z12" s="752">
        <f t="shared" ref="Z12" si="10">D12*$Z$5</f>
        <v>268823.97070884664</v>
      </c>
      <c r="AA12" s="752">
        <f>D12*$AA$5</f>
        <v>176752.84406494963</v>
      </c>
      <c r="AB12" s="827"/>
      <c r="AC12" s="873">
        <f>J12+AB12</f>
        <v>445576.81477379624</v>
      </c>
      <c r="AD12" s="729"/>
      <c r="AE12" s="878">
        <f>AC10+AC12</f>
        <v>131169200.0047738</v>
      </c>
      <c r="AF12" s="752"/>
      <c r="AG12" s="752"/>
      <c r="AH12" s="759"/>
      <c r="AI12" s="1008"/>
      <c r="AJ12" s="759"/>
    </row>
    <row r="13" spans="1:40" ht="19.5" customHeight="1" x14ac:dyDescent="0.25">
      <c r="A13" s="743" t="s">
        <v>170</v>
      </c>
      <c r="B13" s="1587">
        <v>230</v>
      </c>
      <c r="C13" s="760">
        <f>SUM(C15)</f>
        <v>251556.55</v>
      </c>
      <c r="D13" s="761">
        <f>SUM(D15)</f>
        <v>97.633200000000002</v>
      </c>
      <c r="E13" s="762">
        <f>SUM(E15)</f>
        <v>341716.2</v>
      </c>
      <c r="F13" s="762">
        <f>SUM(F15)</f>
        <v>380769.48</v>
      </c>
      <c r="G13" s="762">
        <f t="shared" si="8"/>
        <v>1366864.8</v>
      </c>
      <c r="H13" s="762">
        <f>D13*$H$5</f>
        <v>2448054.8568000002</v>
      </c>
      <c r="I13" s="762">
        <f>D13*$I$5</f>
        <v>3434150.1768</v>
      </c>
      <c r="J13" s="762">
        <f>J15</f>
        <v>3814920.95</v>
      </c>
      <c r="K13" s="734">
        <f t="shared" si="5"/>
        <v>986095.32000000007</v>
      </c>
      <c r="L13" s="757">
        <v>71.8733</v>
      </c>
      <c r="X13" s="746">
        <f>'[5]Южный '!D13/'расчет норматив'!D13</f>
        <v>0.73615634845523858</v>
      </c>
      <c r="Z13" s="762">
        <f>Z15</f>
        <v>2301605.8370092646</v>
      </c>
      <c r="AA13" s="762">
        <f>AA15</f>
        <v>1513315.1129907358</v>
      </c>
      <c r="AB13" s="827"/>
      <c r="AC13" s="879">
        <f>J13+AB13</f>
        <v>3814920.95</v>
      </c>
      <c r="AD13" s="875"/>
      <c r="AE13" s="877"/>
      <c r="AF13" s="762">
        <f>AF15</f>
        <v>136.9</v>
      </c>
      <c r="AG13" s="762">
        <f>AG15</f>
        <v>1258487.8127803807</v>
      </c>
      <c r="AH13" s="759"/>
      <c r="AI13" s="1008"/>
      <c r="AJ13" s="759"/>
    </row>
    <row r="14" spans="1:40" ht="15.75" x14ac:dyDescent="0.25">
      <c r="A14" s="743" t="s">
        <v>92</v>
      </c>
      <c r="B14" s="1587"/>
      <c r="C14" s="755"/>
      <c r="D14" s="756"/>
      <c r="E14" s="752"/>
      <c r="F14" s="752"/>
      <c r="G14" s="752"/>
      <c r="H14" s="752"/>
      <c r="I14" s="752"/>
      <c r="J14" s="752"/>
      <c r="K14" s="734"/>
      <c r="L14" s="763"/>
      <c r="X14" s="753"/>
      <c r="Z14" s="752"/>
      <c r="AA14" s="752"/>
      <c r="AB14" s="827"/>
      <c r="AC14" s="879"/>
      <c r="AD14" s="875"/>
      <c r="AE14" s="877"/>
      <c r="AF14" s="752"/>
      <c r="AG14" s="752"/>
      <c r="AH14" s="759"/>
      <c r="AI14" s="1008"/>
      <c r="AJ14" s="759"/>
    </row>
    <row r="15" spans="1:40" ht="31.5" x14ac:dyDescent="0.25">
      <c r="A15" s="743" t="s">
        <v>171</v>
      </c>
      <c r="B15" s="1587"/>
      <c r="C15" s="755">
        <v>251556.55</v>
      </c>
      <c r="D15" s="756">
        <v>97.633200000000002</v>
      </c>
      <c r="E15" s="752">
        <f>D15*$E$5</f>
        <v>341716.2</v>
      </c>
      <c r="F15" s="752">
        <f>D15*$F$5</f>
        <v>380769.48</v>
      </c>
      <c r="G15" s="752">
        <f t="shared" si="8"/>
        <v>1366864.8</v>
      </c>
      <c r="H15" s="752">
        <f>D15*$H$5</f>
        <v>2448054.8568000002</v>
      </c>
      <c r="I15" s="752">
        <f>D15*$I$5</f>
        <v>3434150.1768</v>
      </c>
      <c r="J15" s="752">
        <f>AC15</f>
        <v>3814920.95</v>
      </c>
      <c r="K15" s="752">
        <f t="shared" si="5"/>
        <v>986095.32000000007</v>
      </c>
      <c r="L15" s="763"/>
      <c r="X15" s="753">
        <f>'[5]Южный '!D15/'расчет норматив'!D15</f>
        <v>0.73615634845523858</v>
      </c>
      <c r="Z15" s="752">
        <f>AC15/J5*Z5</f>
        <v>2301605.8370092646</v>
      </c>
      <c r="AA15" s="752">
        <f>AC15/J5*AA5</f>
        <v>1513315.1129907358</v>
      </c>
      <c r="AB15" s="827"/>
      <c r="AC15" s="1001">
        <v>3814920.95</v>
      </c>
      <c r="AD15" s="1006">
        <f>'ПФХД 2019 с разбивкой '!H38-'ПФХД 2019 с разбивкой '!L111</f>
        <v>3814920.95</v>
      </c>
      <c r="AE15" s="877"/>
      <c r="AF15" s="752">
        <v>136.9</v>
      </c>
      <c r="AG15" s="752">
        <f>AF15*$AG$5</f>
        <v>1258487.8127803807</v>
      </c>
      <c r="AH15" s="759"/>
      <c r="AI15" s="1008">
        <v>27380</v>
      </c>
      <c r="AJ15" s="759">
        <f t="shared" si="9"/>
        <v>27380</v>
      </c>
    </row>
    <row r="16" spans="1:40" ht="15.75" x14ac:dyDescent="0.25">
      <c r="A16" s="743" t="s">
        <v>172</v>
      </c>
      <c r="B16" s="1587"/>
      <c r="C16" s="755"/>
      <c r="D16" s="756"/>
      <c r="E16" s="752"/>
      <c r="F16" s="752"/>
      <c r="G16" s="752"/>
      <c r="H16" s="752"/>
      <c r="I16" s="752"/>
      <c r="J16" s="752"/>
      <c r="K16" s="752"/>
      <c r="L16" s="763"/>
      <c r="X16" s="736"/>
      <c r="Z16" s="752"/>
      <c r="AA16" s="752"/>
      <c r="AB16" s="827"/>
      <c r="AC16" s="873"/>
      <c r="AD16" s="875"/>
      <c r="AE16" s="877"/>
      <c r="AF16" s="752"/>
      <c r="AG16" s="752"/>
      <c r="AH16" s="759"/>
      <c r="AI16" s="1008"/>
      <c r="AJ16" s="759"/>
    </row>
    <row r="17" spans="1:36" ht="15.75" x14ac:dyDescent="0.25">
      <c r="A17" s="743" t="s">
        <v>173</v>
      </c>
      <c r="B17" s="1587"/>
      <c r="C17" s="755"/>
      <c r="D17" s="756"/>
      <c r="E17" s="752"/>
      <c r="F17" s="752"/>
      <c r="G17" s="752"/>
      <c r="H17" s="752"/>
      <c r="I17" s="752"/>
      <c r="J17" s="752"/>
      <c r="K17" s="752"/>
      <c r="L17" s="763"/>
      <c r="X17" s="736"/>
      <c r="Z17" s="752"/>
      <c r="AA17" s="752"/>
      <c r="AB17" s="827"/>
      <c r="AC17" s="873"/>
      <c r="AD17" s="875"/>
      <c r="AE17" s="877"/>
      <c r="AF17" s="752"/>
      <c r="AG17" s="752"/>
      <c r="AH17" s="759"/>
      <c r="AI17" s="1008"/>
      <c r="AJ17" s="759"/>
    </row>
    <row r="18" spans="1:36" ht="21" customHeight="1" x14ac:dyDescent="0.25">
      <c r="A18" s="764" t="s">
        <v>176</v>
      </c>
      <c r="B18" s="1583">
        <v>260</v>
      </c>
      <c r="C18" s="765">
        <f t="shared" ref="C18:J18" si="11">SUM(C20:C24)</f>
        <v>4977205.7373630088</v>
      </c>
      <c r="D18" s="766">
        <f t="shared" si="11"/>
        <v>1127.9183</v>
      </c>
      <c r="E18" s="767">
        <f t="shared" si="11"/>
        <v>3947714.05</v>
      </c>
      <c r="F18" s="767">
        <f t="shared" si="11"/>
        <v>4398881.37</v>
      </c>
      <c r="G18" s="767">
        <f t="shared" si="11"/>
        <v>15790856.199999999</v>
      </c>
      <c r="H18" s="767">
        <f t="shared" si="11"/>
        <v>28281423.4542</v>
      </c>
      <c r="I18" s="767">
        <f t="shared" si="11"/>
        <v>39673398.284199998</v>
      </c>
      <c r="J18" s="767">
        <f t="shared" si="11"/>
        <v>44072279.049999997</v>
      </c>
      <c r="K18" s="734">
        <f t="shared" si="5"/>
        <v>11391974.829999998</v>
      </c>
      <c r="L18" s="768"/>
      <c r="X18" s="769">
        <f>'[5]Южный '!D18/'расчет норматив'!D18</f>
        <v>1.2461340206494302</v>
      </c>
      <c r="Z18" s="767">
        <f t="shared" ref="Z18:AA18" si="12">SUM(Z20:Z24)</f>
        <v>26589545.639676001</v>
      </c>
      <c r="AA18" s="767">
        <f t="shared" si="12"/>
        <v>17482733.410324</v>
      </c>
      <c r="AB18" s="827"/>
      <c r="AC18" s="767">
        <f t="shared" ref="AC18" si="13">SUM(AC20:AC24)</f>
        <v>44072279.049999997</v>
      </c>
      <c r="AD18" s="875"/>
      <c r="AE18" s="877"/>
      <c r="AF18" s="767">
        <f t="shared" ref="AF18:AG18" si="14">SUM(AF20:AF24)</f>
        <v>1196.99</v>
      </c>
      <c r="AG18" s="767">
        <f t="shared" si="14"/>
        <v>11003632.775894726</v>
      </c>
      <c r="AH18" s="759"/>
      <c r="AI18" s="1008"/>
      <c r="AJ18" s="759"/>
    </row>
    <row r="19" spans="1:36" ht="15.75" x14ac:dyDescent="0.25">
      <c r="A19" s="743" t="s">
        <v>92</v>
      </c>
      <c r="B19" s="1583"/>
      <c r="C19" s="755"/>
      <c r="D19" s="756"/>
      <c r="E19" s="752"/>
      <c r="F19" s="752"/>
      <c r="G19" s="752"/>
      <c r="H19" s="752"/>
      <c r="I19" s="752"/>
      <c r="J19" s="752"/>
      <c r="K19" s="734"/>
      <c r="L19" s="763"/>
      <c r="X19" s="770"/>
      <c r="Z19" s="752"/>
      <c r="AA19" s="752"/>
      <c r="AB19" s="827"/>
      <c r="AC19" s="827"/>
      <c r="AD19" s="875"/>
      <c r="AE19" s="877"/>
      <c r="AF19" s="752"/>
      <c r="AG19" s="752"/>
      <c r="AH19" s="759"/>
      <c r="AI19" s="1008"/>
      <c r="AJ19" s="759"/>
    </row>
    <row r="20" spans="1:36" ht="15.75" x14ac:dyDescent="0.25">
      <c r="A20" s="743" t="s">
        <v>419</v>
      </c>
      <c r="B20" s="1583"/>
      <c r="C20" s="755">
        <v>44481.719525195964</v>
      </c>
      <c r="D20" s="756">
        <v>14.078099999999999</v>
      </c>
      <c r="E20" s="752">
        <f t="shared" ref="E20:E23" si="15">D20*$E$5</f>
        <v>49273.35</v>
      </c>
      <c r="F20" s="752">
        <f>D20*$F$5</f>
        <v>54904.59</v>
      </c>
      <c r="G20" s="752">
        <f t="shared" ref="G20:G23" si="16">D20*$G$5</f>
        <v>197093.4</v>
      </c>
      <c r="H20" s="752">
        <f>D20*$H$5</f>
        <v>352994.2794</v>
      </c>
      <c r="I20" s="752">
        <f>D20*$I$5</f>
        <v>495183.0894</v>
      </c>
      <c r="J20" s="752">
        <f>AC20</f>
        <v>550086.28</v>
      </c>
      <c r="K20" s="752">
        <f t="shared" si="5"/>
        <v>142188.81</v>
      </c>
      <c r="L20" s="757">
        <v>12.70906215005599</v>
      </c>
      <c r="X20" s="753">
        <f>'[5]Южный '!D20/'расчет норматив'!D20</f>
        <v>0.90275411607280531</v>
      </c>
      <c r="Z20" s="752">
        <f>AC20/J5*Z5</f>
        <v>331876.28511849314</v>
      </c>
      <c r="AA20" s="752">
        <f>AC20/J5*AA5</f>
        <v>218209.99488150689</v>
      </c>
      <c r="AB20" s="827"/>
      <c r="AC20" s="1000">
        <v>550086.28</v>
      </c>
      <c r="AD20" s="1005">
        <f>'ПФХД 2019 с разбивкой '!H48-'ПФХД 2019 с разбивкой '!L103</f>
        <v>550086.28</v>
      </c>
      <c r="AE20" s="877"/>
      <c r="AF20" s="752">
        <v>22.95</v>
      </c>
      <c r="AG20" s="752">
        <f>AF20*$AG$5</f>
        <v>210973.66912571029</v>
      </c>
      <c r="AH20" s="759">
        <v>174064.41</v>
      </c>
      <c r="AI20" s="1008">
        <v>4590</v>
      </c>
      <c r="AJ20" s="759">
        <f t="shared" si="9"/>
        <v>178654.41</v>
      </c>
    </row>
    <row r="21" spans="1:36" ht="15.75" x14ac:dyDescent="0.25">
      <c r="A21" s="743" t="s">
        <v>420</v>
      </c>
      <c r="B21" s="1583"/>
      <c r="C21" s="755">
        <v>539109.74244120938</v>
      </c>
      <c r="D21" s="756">
        <v>265.55200000000002</v>
      </c>
      <c r="E21" s="752">
        <f t="shared" si="15"/>
        <v>929432.00000000012</v>
      </c>
      <c r="F21" s="752">
        <f>D21*$F$5</f>
        <v>1035652.8</v>
      </c>
      <c r="G21" s="752">
        <f t="shared" si="16"/>
        <v>3717728.0000000005</v>
      </c>
      <c r="H21" s="752">
        <f>D21*$H$5</f>
        <v>6658450.8480000002</v>
      </c>
      <c r="I21" s="752">
        <f>D21*$I$5</f>
        <v>9340526.0480000004</v>
      </c>
      <c r="J21" s="752">
        <f>AC21</f>
        <v>10376177.310000001</v>
      </c>
      <c r="K21" s="752">
        <f t="shared" si="5"/>
        <v>2682075.2000000002</v>
      </c>
      <c r="L21" s="757">
        <v>154.03135498320268</v>
      </c>
      <c r="X21" s="753">
        <f>'[5]Южный '!D21/'расчет норматив'!D21</f>
        <v>0.58004215740496268</v>
      </c>
      <c r="Z21" s="752">
        <f>AC21/J5*Z5</f>
        <v>6260121.9200987872</v>
      </c>
      <c r="AA21" s="752">
        <f>AC21/J5*AA5</f>
        <v>4116055.3899012129</v>
      </c>
      <c r="AB21" s="827"/>
      <c r="AC21" s="1000">
        <v>10376177.310000001</v>
      </c>
      <c r="AD21" s="1005">
        <f>'ПФХД 2019 с разбивкой '!H50-'ПФХД 2019 с разбивкой '!L105</f>
        <v>10376177.310000001</v>
      </c>
      <c r="AE21" s="877"/>
      <c r="AF21" s="752">
        <v>283.32</v>
      </c>
      <c r="AG21" s="752">
        <f>AF21*$AG$5</f>
        <v>2604490.6290499452</v>
      </c>
      <c r="AH21" s="759">
        <v>1571711.62</v>
      </c>
      <c r="AI21" s="1008">
        <v>56664</v>
      </c>
      <c r="AJ21" s="759">
        <f t="shared" si="9"/>
        <v>1628375.62</v>
      </c>
    </row>
    <row r="22" spans="1:36" ht="15.75" x14ac:dyDescent="0.25">
      <c r="A22" s="771" t="s">
        <v>421</v>
      </c>
      <c r="B22" s="1583"/>
      <c r="C22" s="755">
        <v>459000.32036207541</v>
      </c>
      <c r="D22" s="756">
        <f>68.2731+98.2466</f>
        <v>166.5197</v>
      </c>
      <c r="E22" s="752">
        <f t="shared" si="15"/>
        <v>582818.94999999995</v>
      </c>
      <c r="F22" s="752">
        <f>D22*$F$5</f>
        <v>649426.82999999996</v>
      </c>
      <c r="G22" s="752">
        <f t="shared" si="16"/>
        <v>2331275.7999999998</v>
      </c>
      <c r="H22" s="752">
        <f>D22*$H$5</f>
        <v>4175314.9578</v>
      </c>
      <c r="I22" s="752">
        <f>D22*$I$5</f>
        <v>5857163.9277999997</v>
      </c>
      <c r="J22" s="752">
        <f>AC22</f>
        <v>6506591.7799999993</v>
      </c>
      <c r="K22" s="752">
        <f t="shared" si="5"/>
        <v>1681848.9699999997</v>
      </c>
      <c r="L22" s="763"/>
      <c r="X22" s="753">
        <f>'[5]Южный '!D22/'расчет норматив'!D22</f>
        <v>0.78755215554002733</v>
      </c>
      <c r="Z22" s="752">
        <f>AC22/J5*Z5</f>
        <v>3925536.0245104157</v>
      </c>
      <c r="AA22" s="752">
        <f>AC22/J5*AA5</f>
        <v>2581055.7554895836</v>
      </c>
      <c r="AB22" s="827"/>
      <c r="AC22" s="1000">
        <f>2667704.13+3838887.65</f>
        <v>6506591.7799999993</v>
      </c>
      <c r="AD22" s="1005">
        <f>'ПФХД 2019 с разбивкой '!H55-'ПФХД 2019 с разбивкой '!L106</f>
        <v>6506591.7799999993</v>
      </c>
      <c r="AE22" s="877"/>
      <c r="AF22" s="752">
        <v>106.47</v>
      </c>
      <c r="AG22" s="752">
        <f t="shared" ref="AG22:AG23" si="17">AF22*$AG$5</f>
        <v>978752.35519888345</v>
      </c>
      <c r="AH22" s="759"/>
      <c r="AI22" s="1008">
        <v>21294</v>
      </c>
      <c r="AJ22" s="759">
        <f t="shared" si="9"/>
        <v>21294</v>
      </c>
    </row>
    <row r="23" spans="1:36" ht="15.75" x14ac:dyDescent="0.25">
      <c r="A23" s="771" t="s">
        <v>422</v>
      </c>
      <c r="B23" s="1583"/>
      <c r="C23" s="755">
        <v>382653.98586226208</v>
      </c>
      <c r="D23" s="756">
        <v>92.279899999999998</v>
      </c>
      <c r="E23" s="752">
        <f t="shared" si="15"/>
        <v>322979.64999999997</v>
      </c>
      <c r="F23" s="752">
        <f>D23*$F$5</f>
        <v>359891.61</v>
      </c>
      <c r="G23" s="752">
        <f t="shared" si="16"/>
        <v>1291918.5999999999</v>
      </c>
      <c r="H23" s="752">
        <f>D23*$H$5</f>
        <v>2313826.2125999997</v>
      </c>
      <c r="I23" s="752">
        <f>D23*$I$5</f>
        <v>3245853.2026</v>
      </c>
      <c r="J23" s="752">
        <f>AC23</f>
        <v>3605743.75</v>
      </c>
      <c r="K23" s="752">
        <f t="shared" si="5"/>
        <v>932026.98999999987</v>
      </c>
      <c r="L23" s="763"/>
      <c r="X23" s="753">
        <f>'[5]Южный '!D23/'расчет норматив'!D23</f>
        <v>1.0057259954303623</v>
      </c>
      <c r="Z23" s="752">
        <f>AC23/J5*Z5</f>
        <v>2175405.7215155857</v>
      </c>
      <c r="AA23" s="752">
        <f>AC23/J5*AA5</f>
        <v>1430338.0284844141</v>
      </c>
      <c r="AB23" s="827"/>
      <c r="AC23" s="1000">
        <v>3605743.75</v>
      </c>
      <c r="AD23" s="1005">
        <f>'ПФХД 2019 с разбивкой '!H59-'ПФХД 2019 с разбивкой '!L107</f>
        <v>3605743.7499999995</v>
      </c>
      <c r="AE23" s="877"/>
      <c r="AF23" s="752">
        <v>79.8</v>
      </c>
      <c r="AG23" s="752">
        <f t="shared" si="17"/>
        <v>733581.64689462655</v>
      </c>
      <c r="AH23" s="759">
        <v>757064.31</v>
      </c>
      <c r="AI23" s="1008">
        <v>15960</v>
      </c>
      <c r="AJ23" s="759">
        <f t="shared" si="9"/>
        <v>773024.31</v>
      </c>
    </row>
    <row r="24" spans="1:36" ht="15.75" x14ac:dyDescent="0.25">
      <c r="A24" s="771" t="s">
        <v>184</v>
      </c>
      <c r="B24" s="1583"/>
      <c r="C24" s="765">
        <f t="shared" ref="C24:J24" si="18">SUM(C26:C27)</f>
        <v>3551959.9691722658</v>
      </c>
      <c r="D24" s="766">
        <f t="shared" si="18"/>
        <v>589.48860000000002</v>
      </c>
      <c r="E24" s="767">
        <f t="shared" si="18"/>
        <v>2063210.1</v>
      </c>
      <c r="F24" s="767">
        <f t="shared" si="18"/>
        <v>2299005.54</v>
      </c>
      <c r="G24" s="767">
        <f t="shared" si="18"/>
        <v>8252840.4000000004</v>
      </c>
      <c r="H24" s="767">
        <f t="shared" si="18"/>
        <v>14780837.156400001</v>
      </c>
      <c r="I24" s="767">
        <f t="shared" si="18"/>
        <v>20734672.016400002</v>
      </c>
      <c r="J24" s="767">
        <f t="shared" si="18"/>
        <v>23033679.93</v>
      </c>
      <c r="K24" s="734">
        <f t="shared" si="5"/>
        <v>5953834.8600000003</v>
      </c>
      <c r="L24" s="763"/>
      <c r="X24" s="753">
        <f>'[5]Южный '!D24/'расчет норматив'!D24</f>
        <v>1.7215696885025262</v>
      </c>
      <c r="Z24" s="767">
        <f t="shared" ref="Z24:AA24" si="19">SUM(Z26:Z27)</f>
        <v>13896605.68843272</v>
      </c>
      <c r="AA24" s="767">
        <f t="shared" si="19"/>
        <v>9137074.2415672839</v>
      </c>
      <c r="AB24" s="827"/>
      <c r="AC24" s="879">
        <f t="shared" ref="AC24" si="20">J24+AB24</f>
        <v>23033679.93</v>
      </c>
      <c r="AD24" s="875"/>
      <c r="AE24" s="877"/>
      <c r="AF24" s="767">
        <f t="shared" ref="AF24:AG24" si="21">SUM(AF26:AF27)</f>
        <v>704.44999999999993</v>
      </c>
      <c r="AG24" s="767">
        <f t="shared" si="21"/>
        <v>6475834.4756255606</v>
      </c>
      <c r="AH24" s="759"/>
      <c r="AI24" s="1008"/>
      <c r="AJ24" s="759"/>
    </row>
    <row r="25" spans="1:36" ht="15.75" x14ac:dyDescent="0.25">
      <c r="A25" s="743" t="s">
        <v>92</v>
      </c>
      <c r="B25" s="1583"/>
      <c r="C25" s="765"/>
      <c r="D25" s="766"/>
      <c r="E25" s="767"/>
      <c r="F25" s="752"/>
      <c r="G25" s="752"/>
      <c r="H25" s="752"/>
      <c r="I25" s="752"/>
      <c r="J25" s="752"/>
      <c r="K25" s="734"/>
      <c r="L25" s="763"/>
      <c r="X25" s="753"/>
      <c r="Z25" s="752"/>
      <c r="AA25" s="752"/>
      <c r="AB25" s="827"/>
      <c r="AC25" s="873"/>
      <c r="AD25" s="875"/>
      <c r="AE25" s="877"/>
      <c r="AF25" s="752"/>
      <c r="AG25" s="752"/>
      <c r="AH25" s="759"/>
      <c r="AI25" s="1008"/>
      <c r="AJ25" s="759"/>
    </row>
    <row r="26" spans="1:36" ht="15.75" x14ac:dyDescent="0.25">
      <c r="A26" s="771" t="s">
        <v>423</v>
      </c>
      <c r="B26" s="1583"/>
      <c r="C26" s="755">
        <v>50380.117413213884</v>
      </c>
      <c r="D26" s="756">
        <f>36.1352+13.6868</f>
        <v>49.821999999999996</v>
      </c>
      <c r="E26" s="752">
        <f t="shared" ref="E26:E27" si="22">D26*$E$5</f>
        <v>174376.99999999997</v>
      </c>
      <c r="F26" s="752">
        <f>D26*$F$5</f>
        <v>194305.8</v>
      </c>
      <c r="G26" s="752">
        <f t="shared" ref="G26:G27" si="23">D26*$G$5</f>
        <v>697507.99999999988</v>
      </c>
      <c r="H26" s="752">
        <f>D26*$H$5</f>
        <v>1249236.828</v>
      </c>
      <c r="I26" s="752">
        <f>D26*$I$5</f>
        <v>1752439.0279999999</v>
      </c>
      <c r="J26" s="752">
        <f>AC26</f>
        <v>1946745.22</v>
      </c>
      <c r="K26" s="752">
        <f t="shared" si="5"/>
        <v>503202.1999999999</v>
      </c>
      <c r="L26" s="763"/>
      <c r="X26" s="753">
        <f>'[5]Южный '!D26/'расчет норматив'!D26</f>
        <v>0.28891492234190225</v>
      </c>
      <c r="Z26" s="752">
        <f>AC26/J5*Z5</f>
        <v>1174504.0645001791</v>
      </c>
      <c r="AA26" s="752">
        <f>AC26/J5*AA5</f>
        <v>772241.15549982083</v>
      </c>
      <c r="AB26" s="827"/>
      <c r="AC26" s="1000">
        <v>1946745.22</v>
      </c>
      <c r="AD26" s="1005">
        <f>'ПФХД 2019 с разбивкой '!H63-'ПФХД 2019 с разбивкой '!L109</f>
        <v>1946745.2200000002</v>
      </c>
      <c r="AE26" s="779"/>
      <c r="AF26" s="752">
        <v>11.56</v>
      </c>
      <c r="AG26" s="752">
        <f t="shared" ref="AG26" si="24">AF26*$AG$5</f>
        <v>106268.21852258001</v>
      </c>
      <c r="AH26" s="759">
        <v>0</v>
      </c>
      <c r="AI26" s="1008">
        <v>2312</v>
      </c>
      <c r="AJ26" s="759">
        <f t="shared" si="9"/>
        <v>2312</v>
      </c>
    </row>
    <row r="27" spans="1:36" ht="21" customHeight="1" x14ac:dyDescent="0.25">
      <c r="A27" s="772" t="s">
        <v>424</v>
      </c>
      <c r="B27" s="1583"/>
      <c r="C27" s="755">
        <v>3501579.8517590519</v>
      </c>
      <c r="D27" s="756">
        <v>539.66660000000002</v>
      </c>
      <c r="E27" s="752">
        <f t="shared" si="22"/>
        <v>1888833.1</v>
      </c>
      <c r="F27" s="752">
        <f>D27*$F$5</f>
        <v>2104699.7400000002</v>
      </c>
      <c r="G27" s="752">
        <f t="shared" si="23"/>
        <v>7555332.4000000004</v>
      </c>
      <c r="H27" s="752">
        <f>D27*$H$5</f>
        <v>13531600.328400001</v>
      </c>
      <c r="I27" s="752">
        <f>D27*$I$5</f>
        <v>18982232.988400001</v>
      </c>
      <c r="J27" s="752">
        <f>AC27</f>
        <v>21086934.710000001</v>
      </c>
      <c r="K27" s="752">
        <f t="shared" si="5"/>
        <v>5450632.6600000001</v>
      </c>
      <c r="L27" s="763"/>
      <c r="Q27" s="719" t="s">
        <v>592</v>
      </c>
      <c r="R27" s="719" t="s">
        <v>593</v>
      </c>
      <c r="X27" s="753">
        <f>'[5]Южный '!D27/'расчет норматив'!D27</f>
        <v>1.8538323220611983</v>
      </c>
      <c r="Z27" s="752">
        <f>J27/J5*Z5</f>
        <v>12722101.62393254</v>
      </c>
      <c r="AA27" s="752">
        <f>J27/J5*AA5</f>
        <v>8364833.0860674623</v>
      </c>
      <c r="AB27" s="827"/>
      <c r="AC27" s="1000">
        <f>21086934.7+0.01</f>
        <v>21086934.710000001</v>
      </c>
      <c r="AD27" s="1008">
        <f>'ПФХД 2019 с разбивкой '!H66-'ПФХД 2019 с разбивкой '!L110</f>
        <v>21086934.710000001</v>
      </c>
      <c r="AF27" s="752">
        <v>692.89</v>
      </c>
      <c r="AG27" s="752">
        <f>AF27*$AG$5</f>
        <v>6369566.2571029803</v>
      </c>
      <c r="AH27" s="759">
        <v>527255.73</v>
      </c>
      <c r="AI27" s="1008">
        <v>138578</v>
      </c>
      <c r="AJ27" s="759">
        <f t="shared" si="9"/>
        <v>665833.73</v>
      </c>
    </row>
    <row r="28" spans="1:36" s="773" customFormat="1" ht="12.75" x14ac:dyDescent="0.2">
      <c r="C28" s="774"/>
      <c r="D28" s="775"/>
      <c r="E28" s="774"/>
      <c r="F28" s="774"/>
      <c r="G28" s="774"/>
      <c r="H28" s="774"/>
      <c r="I28" s="774"/>
      <c r="J28" s="774"/>
      <c r="K28" s="774"/>
      <c r="L28" s="776"/>
      <c r="Z28" s="774"/>
      <c r="AA28" s="774"/>
      <c r="AD28" s="825">
        <f>SUM(AD10:AD27)</f>
        <v>218669600</v>
      </c>
      <c r="AH28" s="825"/>
      <c r="AI28" s="825"/>
    </row>
    <row r="29" spans="1:36" s="773" customFormat="1" ht="15.75" x14ac:dyDescent="0.2">
      <c r="C29" s="774"/>
      <c r="D29" s="774"/>
      <c r="E29" s="734">
        <f>D6*E5</f>
        <v>10179460.705049999</v>
      </c>
      <c r="F29" s="734">
        <f>D6*F5</f>
        <v>11342827.64277</v>
      </c>
      <c r="G29" s="734">
        <f>D6*G5</f>
        <v>40717842.820199996</v>
      </c>
      <c r="H29" s="734">
        <f>D6*H5</f>
        <v>72925656.490978196</v>
      </c>
      <c r="I29" s="734">
        <f>D6*I5</f>
        <v>102300671.6684082</v>
      </c>
      <c r="J29" s="734">
        <f>D6*J5</f>
        <v>113643499.31117819</v>
      </c>
      <c r="K29" s="734">
        <f>K6</f>
        <v>29375015.177429996</v>
      </c>
      <c r="L29" s="776"/>
      <c r="Z29" s="734">
        <f>D6*Z5</f>
        <v>68563030.474528193</v>
      </c>
      <c r="AA29" s="734">
        <f>D6*AA5</f>
        <v>45080468.836649999</v>
      </c>
      <c r="AD29" s="825">
        <f>Z29+AA29</f>
        <v>113643499.31117819</v>
      </c>
      <c r="AE29" s="825"/>
      <c r="AF29" s="825"/>
    </row>
    <row r="30" spans="1:36" s="773" customFormat="1" ht="12.75" x14ac:dyDescent="0.2">
      <c r="C30" s="774"/>
      <c r="D30" s="774"/>
      <c r="E30" s="774"/>
      <c r="F30" s="774"/>
      <c r="G30" s="774"/>
      <c r="H30" s="774"/>
      <c r="I30" s="774"/>
      <c r="J30" s="774"/>
      <c r="K30" s="774"/>
      <c r="L30" s="776"/>
      <c r="AD30" s="773" t="b">
        <f>J29=AD29</f>
        <v>1</v>
      </c>
    </row>
    <row r="32" spans="1:36" x14ac:dyDescent="0.25">
      <c r="D32" s="824" t="s">
        <v>626</v>
      </c>
      <c r="J32" s="823">
        <f>J29+105026100</f>
        <v>218669599.31117821</v>
      </c>
    </row>
    <row r="33" spans="1:54" x14ac:dyDescent="0.25">
      <c r="D33" s="777" t="s">
        <v>627</v>
      </c>
      <c r="J33" s="778">
        <v>105026100</v>
      </c>
    </row>
    <row r="34" spans="1:54" x14ac:dyDescent="0.25">
      <c r="J34" s="777" t="b">
        <f>J32=J29+J33</f>
        <v>1</v>
      </c>
    </row>
    <row r="35" spans="1:54" s="777" customFormat="1" x14ac:dyDescent="0.25">
      <c r="A35" s="719"/>
      <c r="B35" s="719"/>
      <c r="L35" s="718"/>
      <c r="M35" s="719"/>
      <c r="N35" s="719"/>
      <c r="O35" s="719"/>
      <c r="P35" s="719"/>
      <c r="Q35" s="719"/>
      <c r="R35" s="719"/>
      <c r="S35" s="719"/>
      <c r="T35" s="719"/>
      <c r="U35" s="719"/>
      <c r="V35" s="719"/>
      <c r="W35" s="719"/>
      <c r="X35" s="719"/>
      <c r="Y35" s="719"/>
      <c r="Z35" s="719"/>
      <c r="AA35" s="719"/>
      <c r="AB35" s="719"/>
      <c r="AC35" s="719"/>
      <c r="AD35" s="719"/>
      <c r="AE35" s="719"/>
      <c r="AF35" s="719"/>
      <c r="AG35" s="719"/>
      <c r="AH35" s="719"/>
      <c r="AI35" s="719"/>
      <c r="AJ35" s="719"/>
      <c r="AK35" s="719"/>
      <c r="AL35" s="719"/>
      <c r="AM35" s="719"/>
      <c r="AN35" s="719"/>
      <c r="AO35" s="719"/>
      <c r="AP35" s="719"/>
      <c r="AQ35" s="719"/>
      <c r="AR35" s="719"/>
      <c r="AS35" s="719"/>
      <c r="AT35" s="719"/>
      <c r="AU35" s="719"/>
      <c r="AV35" s="719"/>
      <c r="AW35" s="719"/>
      <c r="AX35" s="719"/>
      <c r="AY35" s="719"/>
      <c r="AZ35" s="719"/>
      <c r="BA35" s="719"/>
      <c r="BB35" s="719"/>
    </row>
    <row r="36" spans="1:54" s="777" customFormat="1" x14ac:dyDescent="0.25">
      <c r="A36" s="719"/>
      <c r="B36" s="719"/>
      <c r="L36" s="718"/>
      <c r="M36" s="719"/>
      <c r="N36" s="719"/>
      <c r="O36" s="719"/>
      <c r="P36" s="719"/>
      <c r="Q36" s="719"/>
      <c r="R36" s="719"/>
      <c r="S36" s="719"/>
      <c r="T36" s="719"/>
      <c r="U36" s="719"/>
      <c r="V36" s="719"/>
      <c r="W36" s="719"/>
      <c r="X36" s="719"/>
      <c r="Y36" s="719"/>
      <c r="Z36" s="719"/>
      <c r="AA36" s="719"/>
      <c r="AB36" s="719"/>
      <c r="AC36" s="719"/>
      <c r="AD36" s="719"/>
      <c r="AE36" s="719"/>
      <c r="AF36" s="719"/>
      <c r="AG36" s="719"/>
      <c r="AH36" s="719"/>
      <c r="AI36" s="719"/>
      <c r="AJ36" s="719"/>
      <c r="AK36" s="719"/>
      <c r="AL36" s="719"/>
      <c r="AM36" s="719"/>
      <c r="AN36" s="719"/>
      <c r="AO36" s="719"/>
      <c r="AP36" s="719"/>
      <c r="AQ36" s="719"/>
      <c r="AR36" s="719"/>
      <c r="AS36" s="719"/>
      <c r="AT36" s="719"/>
      <c r="AU36" s="719"/>
      <c r="AV36" s="719"/>
      <c r="AW36" s="719"/>
      <c r="AX36" s="719"/>
      <c r="AY36" s="719"/>
      <c r="AZ36" s="719"/>
      <c r="BA36" s="719"/>
      <c r="BB36" s="719"/>
    </row>
  </sheetData>
  <mergeCells count="7">
    <mergeCell ref="AF4:AG4"/>
    <mergeCell ref="B18:B27"/>
    <mergeCell ref="A2:K2"/>
    <mergeCell ref="A4:A5"/>
    <mergeCell ref="B4:B5"/>
    <mergeCell ref="D4:G4"/>
    <mergeCell ref="B13:B17"/>
  </mergeCells>
  <pageMargins left="0.11811023622047245" right="0.11811023622047245" top="0.15748031496062992" bottom="0.15748031496062992" header="0.31496062992125984" footer="0.31496062992125984"/>
  <pageSetup paperSize="9" scale="37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23"/>
  <sheetViews>
    <sheetView topLeftCell="A13" workbookViewId="0">
      <selection activeCell="O14" sqref="O14:O15"/>
    </sheetView>
  </sheetViews>
  <sheetFormatPr defaultRowHeight="12.75" x14ac:dyDescent="0.2"/>
  <cols>
    <col min="1" max="1" width="19.42578125" style="780" customWidth="1"/>
    <col min="2" max="2" width="6.28515625" style="780" customWidth="1"/>
    <col min="3" max="8" width="14.7109375" style="780" customWidth="1"/>
    <col min="9" max="9" width="15.5703125" style="780" customWidth="1"/>
    <col min="10" max="10" width="16.7109375" style="780" customWidth="1"/>
    <col min="11" max="11" width="16.140625" style="780" customWidth="1"/>
    <col min="12" max="12" width="16.28515625" style="780" customWidth="1"/>
    <col min="13" max="13" width="16.7109375" style="780" customWidth="1"/>
    <col min="14" max="14" width="16.5703125" style="780" customWidth="1"/>
    <col min="15" max="15" width="16.42578125" style="780" customWidth="1"/>
    <col min="16" max="16" width="14.28515625" style="780" customWidth="1"/>
    <col min="17" max="256" width="9.140625" style="780"/>
    <col min="257" max="257" width="19.42578125" style="780" customWidth="1"/>
    <col min="258" max="258" width="6.28515625" style="780" customWidth="1"/>
    <col min="259" max="264" width="14.7109375" style="780" customWidth="1"/>
    <col min="265" max="265" width="15.5703125" style="780" customWidth="1"/>
    <col min="266" max="266" width="16.7109375" style="780" customWidth="1"/>
    <col min="267" max="267" width="16.140625" style="780" customWidth="1"/>
    <col min="268" max="268" width="16.28515625" style="780" customWidth="1"/>
    <col min="269" max="269" width="16.7109375" style="780" customWidth="1"/>
    <col min="270" max="270" width="16.5703125" style="780" customWidth="1"/>
    <col min="271" max="271" width="16.42578125" style="780" customWidth="1"/>
    <col min="272" max="272" width="11" style="780" customWidth="1"/>
    <col min="273" max="512" width="9.140625" style="780"/>
    <col min="513" max="513" width="19.42578125" style="780" customWidth="1"/>
    <col min="514" max="514" width="6.28515625" style="780" customWidth="1"/>
    <col min="515" max="520" width="14.7109375" style="780" customWidth="1"/>
    <col min="521" max="521" width="15.5703125" style="780" customWidth="1"/>
    <col min="522" max="522" width="16.7109375" style="780" customWidth="1"/>
    <col min="523" max="523" width="16.140625" style="780" customWidth="1"/>
    <col min="524" max="524" width="16.28515625" style="780" customWidth="1"/>
    <col min="525" max="525" width="16.7109375" style="780" customWidth="1"/>
    <col min="526" max="526" width="16.5703125" style="780" customWidth="1"/>
    <col min="527" max="527" width="16.42578125" style="780" customWidth="1"/>
    <col min="528" max="528" width="11" style="780" customWidth="1"/>
    <col min="529" max="768" width="9.140625" style="780"/>
    <col min="769" max="769" width="19.42578125" style="780" customWidth="1"/>
    <col min="770" max="770" width="6.28515625" style="780" customWidth="1"/>
    <col min="771" max="776" width="14.7109375" style="780" customWidth="1"/>
    <col min="777" max="777" width="15.5703125" style="780" customWidth="1"/>
    <col min="778" max="778" width="16.7109375" style="780" customWidth="1"/>
    <col min="779" max="779" width="16.140625" style="780" customWidth="1"/>
    <col min="780" max="780" width="16.28515625" style="780" customWidth="1"/>
    <col min="781" max="781" width="16.7109375" style="780" customWidth="1"/>
    <col min="782" max="782" width="16.5703125" style="780" customWidth="1"/>
    <col min="783" max="783" width="16.42578125" style="780" customWidth="1"/>
    <col min="784" max="784" width="11" style="780" customWidth="1"/>
    <col min="785" max="1024" width="9.140625" style="780"/>
    <col min="1025" max="1025" width="19.42578125" style="780" customWidth="1"/>
    <col min="1026" max="1026" width="6.28515625" style="780" customWidth="1"/>
    <col min="1027" max="1032" width="14.7109375" style="780" customWidth="1"/>
    <col min="1033" max="1033" width="15.5703125" style="780" customWidth="1"/>
    <col min="1034" max="1034" width="16.7109375" style="780" customWidth="1"/>
    <col min="1035" max="1035" width="16.140625" style="780" customWidth="1"/>
    <col min="1036" max="1036" width="16.28515625" style="780" customWidth="1"/>
    <col min="1037" max="1037" width="16.7109375" style="780" customWidth="1"/>
    <col min="1038" max="1038" width="16.5703125" style="780" customWidth="1"/>
    <col min="1039" max="1039" width="16.42578125" style="780" customWidth="1"/>
    <col min="1040" max="1040" width="11" style="780" customWidth="1"/>
    <col min="1041" max="1280" width="9.140625" style="780"/>
    <col min="1281" max="1281" width="19.42578125" style="780" customWidth="1"/>
    <col min="1282" max="1282" width="6.28515625" style="780" customWidth="1"/>
    <col min="1283" max="1288" width="14.7109375" style="780" customWidth="1"/>
    <col min="1289" max="1289" width="15.5703125" style="780" customWidth="1"/>
    <col min="1290" max="1290" width="16.7109375" style="780" customWidth="1"/>
    <col min="1291" max="1291" width="16.140625" style="780" customWidth="1"/>
    <col min="1292" max="1292" width="16.28515625" style="780" customWidth="1"/>
    <col min="1293" max="1293" width="16.7109375" style="780" customWidth="1"/>
    <col min="1294" max="1294" width="16.5703125" style="780" customWidth="1"/>
    <col min="1295" max="1295" width="16.42578125" style="780" customWidth="1"/>
    <col min="1296" max="1296" width="11" style="780" customWidth="1"/>
    <col min="1297" max="1536" width="9.140625" style="780"/>
    <col min="1537" max="1537" width="19.42578125" style="780" customWidth="1"/>
    <col min="1538" max="1538" width="6.28515625" style="780" customWidth="1"/>
    <col min="1539" max="1544" width="14.7109375" style="780" customWidth="1"/>
    <col min="1545" max="1545" width="15.5703125" style="780" customWidth="1"/>
    <col min="1546" max="1546" width="16.7109375" style="780" customWidth="1"/>
    <col min="1547" max="1547" width="16.140625" style="780" customWidth="1"/>
    <col min="1548" max="1548" width="16.28515625" style="780" customWidth="1"/>
    <col min="1549" max="1549" width="16.7109375" style="780" customWidth="1"/>
    <col min="1550" max="1550" width="16.5703125" style="780" customWidth="1"/>
    <col min="1551" max="1551" width="16.42578125" style="780" customWidth="1"/>
    <col min="1552" max="1552" width="11" style="780" customWidth="1"/>
    <col min="1553" max="1792" width="9.140625" style="780"/>
    <col min="1793" max="1793" width="19.42578125" style="780" customWidth="1"/>
    <col min="1794" max="1794" width="6.28515625" style="780" customWidth="1"/>
    <col min="1795" max="1800" width="14.7109375" style="780" customWidth="1"/>
    <col min="1801" max="1801" width="15.5703125" style="780" customWidth="1"/>
    <col min="1802" max="1802" width="16.7109375" style="780" customWidth="1"/>
    <col min="1803" max="1803" width="16.140625" style="780" customWidth="1"/>
    <col min="1804" max="1804" width="16.28515625" style="780" customWidth="1"/>
    <col min="1805" max="1805" width="16.7109375" style="780" customWidth="1"/>
    <col min="1806" max="1806" width="16.5703125" style="780" customWidth="1"/>
    <col min="1807" max="1807" width="16.42578125" style="780" customWidth="1"/>
    <col min="1808" max="1808" width="11" style="780" customWidth="1"/>
    <col min="1809" max="2048" width="9.140625" style="780"/>
    <col min="2049" max="2049" width="19.42578125" style="780" customWidth="1"/>
    <col min="2050" max="2050" width="6.28515625" style="780" customWidth="1"/>
    <col min="2051" max="2056" width="14.7109375" style="780" customWidth="1"/>
    <col min="2057" max="2057" width="15.5703125" style="780" customWidth="1"/>
    <col min="2058" max="2058" width="16.7109375" style="780" customWidth="1"/>
    <col min="2059" max="2059" width="16.140625" style="780" customWidth="1"/>
    <col min="2060" max="2060" width="16.28515625" style="780" customWidth="1"/>
    <col min="2061" max="2061" width="16.7109375" style="780" customWidth="1"/>
    <col min="2062" max="2062" width="16.5703125" style="780" customWidth="1"/>
    <col min="2063" max="2063" width="16.42578125" style="780" customWidth="1"/>
    <col min="2064" max="2064" width="11" style="780" customWidth="1"/>
    <col min="2065" max="2304" width="9.140625" style="780"/>
    <col min="2305" max="2305" width="19.42578125" style="780" customWidth="1"/>
    <col min="2306" max="2306" width="6.28515625" style="780" customWidth="1"/>
    <col min="2307" max="2312" width="14.7109375" style="780" customWidth="1"/>
    <col min="2313" max="2313" width="15.5703125" style="780" customWidth="1"/>
    <col min="2314" max="2314" width="16.7109375" style="780" customWidth="1"/>
    <col min="2315" max="2315" width="16.140625" style="780" customWidth="1"/>
    <col min="2316" max="2316" width="16.28515625" style="780" customWidth="1"/>
    <col min="2317" max="2317" width="16.7109375" style="780" customWidth="1"/>
    <col min="2318" max="2318" width="16.5703125" style="780" customWidth="1"/>
    <col min="2319" max="2319" width="16.42578125" style="780" customWidth="1"/>
    <col min="2320" max="2320" width="11" style="780" customWidth="1"/>
    <col min="2321" max="2560" width="9.140625" style="780"/>
    <col min="2561" max="2561" width="19.42578125" style="780" customWidth="1"/>
    <col min="2562" max="2562" width="6.28515625" style="780" customWidth="1"/>
    <col min="2563" max="2568" width="14.7109375" style="780" customWidth="1"/>
    <col min="2569" max="2569" width="15.5703125" style="780" customWidth="1"/>
    <col min="2570" max="2570" width="16.7109375" style="780" customWidth="1"/>
    <col min="2571" max="2571" width="16.140625" style="780" customWidth="1"/>
    <col min="2572" max="2572" width="16.28515625" style="780" customWidth="1"/>
    <col min="2573" max="2573" width="16.7109375" style="780" customWidth="1"/>
    <col min="2574" max="2574" width="16.5703125" style="780" customWidth="1"/>
    <col min="2575" max="2575" width="16.42578125" style="780" customWidth="1"/>
    <col min="2576" max="2576" width="11" style="780" customWidth="1"/>
    <col min="2577" max="2816" width="9.140625" style="780"/>
    <col min="2817" max="2817" width="19.42578125" style="780" customWidth="1"/>
    <col min="2818" max="2818" width="6.28515625" style="780" customWidth="1"/>
    <col min="2819" max="2824" width="14.7109375" style="780" customWidth="1"/>
    <col min="2825" max="2825" width="15.5703125" style="780" customWidth="1"/>
    <col min="2826" max="2826" width="16.7109375" style="780" customWidth="1"/>
    <col min="2827" max="2827" width="16.140625" style="780" customWidth="1"/>
    <col min="2828" max="2828" width="16.28515625" style="780" customWidth="1"/>
    <col min="2829" max="2829" width="16.7109375" style="780" customWidth="1"/>
    <col min="2830" max="2830" width="16.5703125" style="780" customWidth="1"/>
    <col min="2831" max="2831" width="16.42578125" style="780" customWidth="1"/>
    <col min="2832" max="2832" width="11" style="780" customWidth="1"/>
    <col min="2833" max="3072" width="9.140625" style="780"/>
    <col min="3073" max="3073" width="19.42578125" style="780" customWidth="1"/>
    <col min="3074" max="3074" width="6.28515625" style="780" customWidth="1"/>
    <col min="3075" max="3080" width="14.7109375" style="780" customWidth="1"/>
    <col min="3081" max="3081" width="15.5703125" style="780" customWidth="1"/>
    <col min="3082" max="3082" width="16.7109375" style="780" customWidth="1"/>
    <col min="3083" max="3083" width="16.140625" style="780" customWidth="1"/>
    <col min="3084" max="3084" width="16.28515625" style="780" customWidth="1"/>
    <col min="3085" max="3085" width="16.7109375" style="780" customWidth="1"/>
    <col min="3086" max="3086" width="16.5703125" style="780" customWidth="1"/>
    <col min="3087" max="3087" width="16.42578125" style="780" customWidth="1"/>
    <col min="3088" max="3088" width="11" style="780" customWidth="1"/>
    <col min="3089" max="3328" width="9.140625" style="780"/>
    <col min="3329" max="3329" width="19.42578125" style="780" customWidth="1"/>
    <col min="3330" max="3330" width="6.28515625" style="780" customWidth="1"/>
    <col min="3331" max="3336" width="14.7109375" style="780" customWidth="1"/>
    <col min="3337" max="3337" width="15.5703125" style="780" customWidth="1"/>
    <col min="3338" max="3338" width="16.7109375" style="780" customWidth="1"/>
    <col min="3339" max="3339" width="16.140625" style="780" customWidth="1"/>
    <col min="3340" max="3340" width="16.28515625" style="780" customWidth="1"/>
    <col min="3341" max="3341" width="16.7109375" style="780" customWidth="1"/>
    <col min="3342" max="3342" width="16.5703125" style="780" customWidth="1"/>
    <col min="3343" max="3343" width="16.42578125" style="780" customWidth="1"/>
    <col min="3344" max="3344" width="11" style="780" customWidth="1"/>
    <col min="3345" max="3584" width="9.140625" style="780"/>
    <col min="3585" max="3585" width="19.42578125" style="780" customWidth="1"/>
    <col min="3586" max="3586" width="6.28515625" style="780" customWidth="1"/>
    <col min="3587" max="3592" width="14.7109375" style="780" customWidth="1"/>
    <col min="3593" max="3593" width="15.5703125" style="780" customWidth="1"/>
    <col min="3594" max="3594" width="16.7109375" style="780" customWidth="1"/>
    <col min="3595" max="3595" width="16.140625" style="780" customWidth="1"/>
    <col min="3596" max="3596" width="16.28515625" style="780" customWidth="1"/>
    <col min="3597" max="3597" width="16.7109375" style="780" customWidth="1"/>
    <col min="3598" max="3598" width="16.5703125" style="780" customWidth="1"/>
    <col min="3599" max="3599" width="16.42578125" style="780" customWidth="1"/>
    <col min="3600" max="3600" width="11" style="780" customWidth="1"/>
    <col min="3601" max="3840" width="9.140625" style="780"/>
    <col min="3841" max="3841" width="19.42578125" style="780" customWidth="1"/>
    <col min="3842" max="3842" width="6.28515625" style="780" customWidth="1"/>
    <col min="3843" max="3848" width="14.7109375" style="780" customWidth="1"/>
    <col min="3849" max="3849" width="15.5703125" style="780" customWidth="1"/>
    <col min="3850" max="3850" width="16.7109375" style="780" customWidth="1"/>
    <col min="3851" max="3851" width="16.140625" style="780" customWidth="1"/>
    <col min="3852" max="3852" width="16.28515625" style="780" customWidth="1"/>
    <col min="3853" max="3853" width="16.7109375" style="780" customWidth="1"/>
    <col min="3854" max="3854" width="16.5703125" style="780" customWidth="1"/>
    <col min="3855" max="3855" width="16.42578125" style="780" customWidth="1"/>
    <col min="3856" max="3856" width="11" style="780" customWidth="1"/>
    <col min="3857" max="4096" width="9.140625" style="780"/>
    <col min="4097" max="4097" width="19.42578125" style="780" customWidth="1"/>
    <col min="4098" max="4098" width="6.28515625" style="780" customWidth="1"/>
    <col min="4099" max="4104" width="14.7109375" style="780" customWidth="1"/>
    <col min="4105" max="4105" width="15.5703125" style="780" customWidth="1"/>
    <col min="4106" max="4106" width="16.7109375" style="780" customWidth="1"/>
    <col min="4107" max="4107" width="16.140625" style="780" customWidth="1"/>
    <col min="4108" max="4108" width="16.28515625" style="780" customWidth="1"/>
    <col min="4109" max="4109" width="16.7109375" style="780" customWidth="1"/>
    <col min="4110" max="4110" width="16.5703125" style="780" customWidth="1"/>
    <col min="4111" max="4111" width="16.42578125" style="780" customWidth="1"/>
    <col min="4112" max="4112" width="11" style="780" customWidth="1"/>
    <col min="4113" max="4352" width="9.140625" style="780"/>
    <col min="4353" max="4353" width="19.42578125" style="780" customWidth="1"/>
    <col min="4354" max="4354" width="6.28515625" style="780" customWidth="1"/>
    <col min="4355" max="4360" width="14.7109375" style="780" customWidth="1"/>
    <col min="4361" max="4361" width="15.5703125" style="780" customWidth="1"/>
    <col min="4362" max="4362" width="16.7109375" style="780" customWidth="1"/>
    <col min="4363" max="4363" width="16.140625" style="780" customWidth="1"/>
    <col min="4364" max="4364" width="16.28515625" style="780" customWidth="1"/>
    <col min="4365" max="4365" width="16.7109375" style="780" customWidth="1"/>
    <col min="4366" max="4366" width="16.5703125" style="780" customWidth="1"/>
    <col min="4367" max="4367" width="16.42578125" style="780" customWidth="1"/>
    <col min="4368" max="4368" width="11" style="780" customWidth="1"/>
    <col min="4369" max="4608" width="9.140625" style="780"/>
    <col min="4609" max="4609" width="19.42578125" style="780" customWidth="1"/>
    <col min="4610" max="4610" width="6.28515625" style="780" customWidth="1"/>
    <col min="4611" max="4616" width="14.7109375" style="780" customWidth="1"/>
    <col min="4617" max="4617" width="15.5703125" style="780" customWidth="1"/>
    <col min="4618" max="4618" width="16.7109375" style="780" customWidth="1"/>
    <col min="4619" max="4619" width="16.140625" style="780" customWidth="1"/>
    <col min="4620" max="4620" width="16.28515625" style="780" customWidth="1"/>
    <col min="4621" max="4621" width="16.7109375" style="780" customWidth="1"/>
    <col min="4622" max="4622" width="16.5703125" style="780" customWidth="1"/>
    <col min="4623" max="4623" width="16.42578125" style="780" customWidth="1"/>
    <col min="4624" max="4624" width="11" style="780" customWidth="1"/>
    <col min="4625" max="4864" width="9.140625" style="780"/>
    <col min="4865" max="4865" width="19.42578125" style="780" customWidth="1"/>
    <col min="4866" max="4866" width="6.28515625" style="780" customWidth="1"/>
    <col min="4867" max="4872" width="14.7109375" style="780" customWidth="1"/>
    <col min="4873" max="4873" width="15.5703125" style="780" customWidth="1"/>
    <col min="4874" max="4874" width="16.7109375" style="780" customWidth="1"/>
    <col min="4875" max="4875" width="16.140625" style="780" customWidth="1"/>
    <col min="4876" max="4876" width="16.28515625" style="780" customWidth="1"/>
    <col min="4877" max="4877" width="16.7109375" style="780" customWidth="1"/>
    <col min="4878" max="4878" width="16.5703125" style="780" customWidth="1"/>
    <col min="4879" max="4879" width="16.42578125" style="780" customWidth="1"/>
    <col min="4880" max="4880" width="11" style="780" customWidth="1"/>
    <col min="4881" max="5120" width="9.140625" style="780"/>
    <col min="5121" max="5121" width="19.42578125" style="780" customWidth="1"/>
    <col min="5122" max="5122" width="6.28515625" style="780" customWidth="1"/>
    <col min="5123" max="5128" width="14.7109375" style="780" customWidth="1"/>
    <col min="5129" max="5129" width="15.5703125" style="780" customWidth="1"/>
    <col min="5130" max="5130" width="16.7109375" style="780" customWidth="1"/>
    <col min="5131" max="5131" width="16.140625" style="780" customWidth="1"/>
    <col min="5132" max="5132" width="16.28515625" style="780" customWidth="1"/>
    <col min="5133" max="5133" width="16.7109375" style="780" customWidth="1"/>
    <col min="5134" max="5134" width="16.5703125" style="780" customWidth="1"/>
    <col min="5135" max="5135" width="16.42578125" style="780" customWidth="1"/>
    <col min="5136" max="5136" width="11" style="780" customWidth="1"/>
    <col min="5137" max="5376" width="9.140625" style="780"/>
    <col min="5377" max="5377" width="19.42578125" style="780" customWidth="1"/>
    <col min="5378" max="5378" width="6.28515625" style="780" customWidth="1"/>
    <col min="5379" max="5384" width="14.7109375" style="780" customWidth="1"/>
    <col min="5385" max="5385" width="15.5703125" style="780" customWidth="1"/>
    <col min="5386" max="5386" width="16.7109375" style="780" customWidth="1"/>
    <col min="5387" max="5387" width="16.140625" style="780" customWidth="1"/>
    <col min="5388" max="5388" width="16.28515625" style="780" customWidth="1"/>
    <col min="5389" max="5389" width="16.7109375" style="780" customWidth="1"/>
    <col min="5390" max="5390" width="16.5703125" style="780" customWidth="1"/>
    <col min="5391" max="5391" width="16.42578125" style="780" customWidth="1"/>
    <col min="5392" max="5392" width="11" style="780" customWidth="1"/>
    <col min="5393" max="5632" width="9.140625" style="780"/>
    <col min="5633" max="5633" width="19.42578125" style="780" customWidth="1"/>
    <col min="5634" max="5634" width="6.28515625" style="780" customWidth="1"/>
    <col min="5635" max="5640" width="14.7109375" style="780" customWidth="1"/>
    <col min="5641" max="5641" width="15.5703125" style="780" customWidth="1"/>
    <col min="5642" max="5642" width="16.7109375" style="780" customWidth="1"/>
    <col min="5643" max="5643" width="16.140625" style="780" customWidth="1"/>
    <col min="5644" max="5644" width="16.28515625" style="780" customWidth="1"/>
    <col min="5645" max="5645" width="16.7109375" style="780" customWidth="1"/>
    <col min="5646" max="5646" width="16.5703125" style="780" customWidth="1"/>
    <col min="5647" max="5647" width="16.42578125" style="780" customWidth="1"/>
    <col min="5648" max="5648" width="11" style="780" customWidth="1"/>
    <col min="5649" max="5888" width="9.140625" style="780"/>
    <col min="5889" max="5889" width="19.42578125" style="780" customWidth="1"/>
    <col min="5890" max="5890" width="6.28515625" style="780" customWidth="1"/>
    <col min="5891" max="5896" width="14.7109375" style="780" customWidth="1"/>
    <col min="5897" max="5897" width="15.5703125" style="780" customWidth="1"/>
    <col min="5898" max="5898" width="16.7109375" style="780" customWidth="1"/>
    <col min="5899" max="5899" width="16.140625" style="780" customWidth="1"/>
    <col min="5900" max="5900" width="16.28515625" style="780" customWidth="1"/>
    <col min="5901" max="5901" width="16.7109375" style="780" customWidth="1"/>
    <col min="5902" max="5902" width="16.5703125" style="780" customWidth="1"/>
    <col min="5903" max="5903" width="16.42578125" style="780" customWidth="1"/>
    <col min="5904" max="5904" width="11" style="780" customWidth="1"/>
    <col min="5905" max="6144" width="9.140625" style="780"/>
    <col min="6145" max="6145" width="19.42578125" style="780" customWidth="1"/>
    <col min="6146" max="6146" width="6.28515625" style="780" customWidth="1"/>
    <col min="6147" max="6152" width="14.7109375" style="780" customWidth="1"/>
    <col min="6153" max="6153" width="15.5703125" style="780" customWidth="1"/>
    <col min="6154" max="6154" width="16.7109375" style="780" customWidth="1"/>
    <col min="6155" max="6155" width="16.140625" style="780" customWidth="1"/>
    <col min="6156" max="6156" width="16.28515625" style="780" customWidth="1"/>
    <col min="6157" max="6157" width="16.7109375" style="780" customWidth="1"/>
    <col min="6158" max="6158" width="16.5703125" style="780" customWidth="1"/>
    <col min="6159" max="6159" width="16.42578125" style="780" customWidth="1"/>
    <col min="6160" max="6160" width="11" style="780" customWidth="1"/>
    <col min="6161" max="6400" width="9.140625" style="780"/>
    <col min="6401" max="6401" width="19.42578125" style="780" customWidth="1"/>
    <col min="6402" max="6402" width="6.28515625" style="780" customWidth="1"/>
    <col min="6403" max="6408" width="14.7109375" style="780" customWidth="1"/>
    <col min="6409" max="6409" width="15.5703125" style="780" customWidth="1"/>
    <col min="6410" max="6410" width="16.7109375" style="780" customWidth="1"/>
    <col min="6411" max="6411" width="16.140625" style="780" customWidth="1"/>
    <col min="6412" max="6412" width="16.28515625" style="780" customWidth="1"/>
    <col min="6413" max="6413" width="16.7109375" style="780" customWidth="1"/>
    <col min="6414" max="6414" width="16.5703125" style="780" customWidth="1"/>
    <col min="6415" max="6415" width="16.42578125" style="780" customWidth="1"/>
    <col min="6416" max="6416" width="11" style="780" customWidth="1"/>
    <col min="6417" max="6656" width="9.140625" style="780"/>
    <col min="6657" max="6657" width="19.42578125" style="780" customWidth="1"/>
    <col min="6658" max="6658" width="6.28515625" style="780" customWidth="1"/>
    <col min="6659" max="6664" width="14.7109375" style="780" customWidth="1"/>
    <col min="6665" max="6665" width="15.5703125" style="780" customWidth="1"/>
    <col min="6666" max="6666" width="16.7109375" style="780" customWidth="1"/>
    <col min="6667" max="6667" width="16.140625" style="780" customWidth="1"/>
    <col min="6668" max="6668" width="16.28515625" style="780" customWidth="1"/>
    <col min="6669" max="6669" width="16.7109375" style="780" customWidth="1"/>
    <col min="6670" max="6670" width="16.5703125" style="780" customWidth="1"/>
    <col min="6671" max="6671" width="16.42578125" style="780" customWidth="1"/>
    <col min="6672" max="6672" width="11" style="780" customWidth="1"/>
    <col min="6673" max="6912" width="9.140625" style="780"/>
    <col min="6913" max="6913" width="19.42578125" style="780" customWidth="1"/>
    <col min="6914" max="6914" width="6.28515625" style="780" customWidth="1"/>
    <col min="6915" max="6920" width="14.7109375" style="780" customWidth="1"/>
    <col min="6921" max="6921" width="15.5703125" style="780" customWidth="1"/>
    <col min="6922" max="6922" width="16.7109375" style="780" customWidth="1"/>
    <col min="6923" max="6923" width="16.140625" style="780" customWidth="1"/>
    <col min="6924" max="6924" width="16.28515625" style="780" customWidth="1"/>
    <col min="6925" max="6925" width="16.7109375" style="780" customWidth="1"/>
    <col min="6926" max="6926" width="16.5703125" style="780" customWidth="1"/>
    <col min="6927" max="6927" width="16.42578125" style="780" customWidth="1"/>
    <col min="6928" max="6928" width="11" style="780" customWidth="1"/>
    <col min="6929" max="7168" width="9.140625" style="780"/>
    <col min="7169" max="7169" width="19.42578125" style="780" customWidth="1"/>
    <col min="7170" max="7170" width="6.28515625" style="780" customWidth="1"/>
    <col min="7171" max="7176" width="14.7109375" style="780" customWidth="1"/>
    <col min="7177" max="7177" width="15.5703125" style="780" customWidth="1"/>
    <col min="7178" max="7178" width="16.7109375" style="780" customWidth="1"/>
    <col min="7179" max="7179" width="16.140625" style="780" customWidth="1"/>
    <col min="7180" max="7180" width="16.28515625" style="780" customWidth="1"/>
    <col min="7181" max="7181" width="16.7109375" style="780" customWidth="1"/>
    <col min="7182" max="7182" width="16.5703125" style="780" customWidth="1"/>
    <col min="7183" max="7183" width="16.42578125" style="780" customWidth="1"/>
    <col min="7184" max="7184" width="11" style="780" customWidth="1"/>
    <col min="7185" max="7424" width="9.140625" style="780"/>
    <col min="7425" max="7425" width="19.42578125" style="780" customWidth="1"/>
    <col min="7426" max="7426" width="6.28515625" style="780" customWidth="1"/>
    <col min="7427" max="7432" width="14.7109375" style="780" customWidth="1"/>
    <col min="7433" max="7433" width="15.5703125" style="780" customWidth="1"/>
    <col min="7434" max="7434" width="16.7109375" style="780" customWidth="1"/>
    <col min="7435" max="7435" width="16.140625" style="780" customWidth="1"/>
    <col min="7436" max="7436" width="16.28515625" style="780" customWidth="1"/>
    <col min="7437" max="7437" width="16.7109375" style="780" customWidth="1"/>
    <col min="7438" max="7438" width="16.5703125" style="780" customWidth="1"/>
    <col min="7439" max="7439" width="16.42578125" style="780" customWidth="1"/>
    <col min="7440" max="7440" width="11" style="780" customWidth="1"/>
    <col min="7441" max="7680" width="9.140625" style="780"/>
    <col min="7681" max="7681" width="19.42578125" style="780" customWidth="1"/>
    <col min="7682" max="7682" width="6.28515625" style="780" customWidth="1"/>
    <col min="7683" max="7688" width="14.7109375" style="780" customWidth="1"/>
    <col min="7689" max="7689" width="15.5703125" style="780" customWidth="1"/>
    <col min="7690" max="7690" width="16.7109375" style="780" customWidth="1"/>
    <col min="7691" max="7691" width="16.140625" style="780" customWidth="1"/>
    <col min="7692" max="7692" width="16.28515625" style="780" customWidth="1"/>
    <col min="7693" max="7693" width="16.7109375" style="780" customWidth="1"/>
    <col min="7694" max="7694" width="16.5703125" style="780" customWidth="1"/>
    <col min="7695" max="7695" width="16.42578125" style="780" customWidth="1"/>
    <col min="7696" max="7696" width="11" style="780" customWidth="1"/>
    <col min="7697" max="7936" width="9.140625" style="780"/>
    <col min="7937" max="7937" width="19.42578125" style="780" customWidth="1"/>
    <col min="7938" max="7938" width="6.28515625" style="780" customWidth="1"/>
    <col min="7939" max="7944" width="14.7109375" style="780" customWidth="1"/>
    <col min="7945" max="7945" width="15.5703125" style="780" customWidth="1"/>
    <col min="7946" max="7946" width="16.7109375" style="780" customWidth="1"/>
    <col min="7947" max="7947" width="16.140625" style="780" customWidth="1"/>
    <col min="7948" max="7948" width="16.28515625" style="780" customWidth="1"/>
    <col min="7949" max="7949" width="16.7109375" style="780" customWidth="1"/>
    <col min="7950" max="7950" width="16.5703125" style="780" customWidth="1"/>
    <col min="7951" max="7951" width="16.42578125" style="780" customWidth="1"/>
    <col min="7952" max="7952" width="11" style="780" customWidth="1"/>
    <col min="7953" max="8192" width="9.140625" style="780"/>
    <col min="8193" max="8193" width="19.42578125" style="780" customWidth="1"/>
    <col min="8194" max="8194" width="6.28515625" style="780" customWidth="1"/>
    <col min="8195" max="8200" width="14.7109375" style="780" customWidth="1"/>
    <col min="8201" max="8201" width="15.5703125" style="780" customWidth="1"/>
    <col min="8202" max="8202" width="16.7109375" style="780" customWidth="1"/>
    <col min="8203" max="8203" width="16.140625" style="780" customWidth="1"/>
    <col min="8204" max="8204" width="16.28515625" style="780" customWidth="1"/>
    <col min="8205" max="8205" width="16.7109375" style="780" customWidth="1"/>
    <col min="8206" max="8206" width="16.5703125" style="780" customWidth="1"/>
    <col min="8207" max="8207" width="16.42578125" style="780" customWidth="1"/>
    <col min="8208" max="8208" width="11" style="780" customWidth="1"/>
    <col min="8209" max="8448" width="9.140625" style="780"/>
    <col min="8449" max="8449" width="19.42578125" style="780" customWidth="1"/>
    <col min="8450" max="8450" width="6.28515625" style="780" customWidth="1"/>
    <col min="8451" max="8456" width="14.7109375" style="780" customWidth="1"/>
    <col min="8457" max="8457" width="15.5703125" style="780" customWidth="1"/>
    <col min="8458" max="8458" width="16.7109375" style="780" customWidth="1"/>
    <col min="8459" max="8459" width="16.140625" style="780" customWidth="1"/>
    <col min="8460" max="8460" width="16.28515625" style="780" customWidth="1"/>
    <col min="8461" max="8461" width="16.7109375" style="780" customWidth="1"/>
    <col min="8462" max="8462" width="16.5703125" style="780" customWidth="1"/>
    <col min="8463" max="8463" width="16.42578125" style="780" customWidth="1"/>
    <col min="8464" max="8464" width="11" style="780" customWidth="1"/>
    <col min="8465" max="8704" width="9.140625" style="780"/>
    <col min="8705" max="8705" width="19.42578125" style="780" customWidth="1"/>
    <col min="8706" max="8706" width="6.28515625" style="780" customWidth="1"/>
    <col min="8707" max="8712" width="14.7109375" style="780" customWidth="1"/>
    <col min="8713" max="8713" width="15.5703125" style="780" customWidth="1"/>
    <col min="8714" max="8714" width="16.7109375" style="780" customWidth="1"/>
    <col min="8715" max="8715" width="16.140625" style="780" customWidth="1"/>
    <col min="8716" max="8716" width="16.28515625" style="780" customWidth="1"/>
    <col min="8717" max="8717" width="16.7109375" style="780" customWidth="1"/>
    <col min="8718" max="8718" width="16.5703125" style="780" customWidth="1"/>
    <col min="8719" max="8719" width="16.42578125" style="780" customWidth="1"/>
    <col min="8720" max="8720" width="11" style="780" customWidth="1"/>
    <col min="8721" max="8960" width="9.140625" style="780"/>
    <col min="8961" max="8961" width="19.42578125" style="780" customWidth="1"/>
    <col min="8962" max="8962" width="6.28515625" style="780" customWidth="1"/>
    <col min="8963" max="8968" width="14.7109375" style="780" customWidth="1"/>
    <col min="8969" max="8969" width="15.5703125" style="780" customWidth="1"/>
    <col min="8970" max="8970" width="16.7109375" style="780" customWidth="1"/>
    <col min="8971" max="8971" width="16.140625" style="780" customWidth="1"/>
    <col min="8972" max="8972" width="16.28515625" style="780" customWidth="1"/>
    <col min="8973" max="8973" width="16.7109375" style="780" customWidth="1"/>
    <col min="8974" max="8974" width="16.5703125" style="780" customWidth="1"/>
    <col min="8975" max="8975" width="16.42578125" style="780" customWidth="1"/>
    <col min="8976" max="8976" width="11" style="780" customWidth="1"/>
    <col min="8977" max="9216" width="9.140625" style="780"/>
    <col min="9217" max="9217" width="19.42578125" style="780" customWidth="1"/>
    <col min="9218" max="9218" width="6.28515625" style="780" customWidth="1"/>
    <col min="9219" max="9224" width="14.7109375" style="780" customWidth="1"/>
    <col min="9225" max="9225" width="15.5703125" style="780" customWidth="1"/>
    <col min="9226" max="9226" width="16.7109375" style="780" customWidth="1"/>
    <col min="9227" max="9227" width="16.140625" style="780" customWidth="1"/>
    <col min="9228" max="9228" width="16.28515625" style="780" customWidth="1"/>
    <col min="9229" max="9229" width="16.7109375" style="780" customWidth="1"/>
    <col min="9230" max="9230" width="16.5703125" style="780" customWidth="1"/>
    <col min="9231" max="9231" width="16.42578125" style="780" customWidth="1"/>
    <col min="9232" max="9232" width="11" style="780" customWidth="1"/>
    <col min="9233" max="9472" width="9.140625" style="780"/>
    <col min="9473" max="9473" width="19.42578125" style="780" customWidth="1"/>
    <col min="9474" max="9474" width="6.28515625" style="780" customWidth="1"/>
    <col min="9475" max="9480" width="14.7109375" style="780" customWidth="1"/>
    <col min="9481" max="9481" width="15.5703125" style="780" customWidth="1"/>
    <col min="9482" max="9482" width="16.7109375" style="780" customWidth="1"/>
    <col min="9483" max="9483" width="16.140625" style="780" customWidth="1"/>
    <col min="9484" max="9484" width="16.28515625" style="780" customWidth="1"/>
    <col min="9485" max="9485" width="16.7109375" style="780" customWidth="1"/>
    <col min="9486" max="9486" width="16.5703125" style="780" customWidth="1"/>
    <col min="9487" max="9487" width="16.42578125" style="780" customWidth="1"/>
    <col min="9488" max="9488" width="11" style="780" customWidth="1"/>
    <col min="9489" max="9728" width="9.140625" style="780"/>
    <col min="9729" max="9729" width="19.42578125" style="780" customWidth="1"/>
    <col min="9730" max="9730" width="6.28515625" style="780" customWidth="1"/>
    <col min="9731" max="9736" width="14.7109375" style="780" customWidth="1"/>
    <col min="9737" max="9737" width="15.5703125" style="780" customWidth="1"/>
    <col min="9738" max="9738" width="16.7109375" style="780" customWidth="1"/>
    <col min="9739" max="9739" width="16.140625" style="780" customWidth="1"/>
    <col min="9740" max="9740" width="16.28515625" style="780" customWidth="1"/>
    <col min="9741" max="9741" width="16.7109375" style="780" customWidth="1"/>
    <col min="9742" max="9742" width="16.5703125" style="780" customWidth="1"/>
    <col min="9743" max="9743" width="16.42578125" style="780" customWidth="1"/>
    <col min="9744" max="9744" width="11" style="780" customWidth="1"/>
    <col min="9745" max="9984" width="9.140625" style="780"/>
    <col min="9985" max="9985" width="19.42578125" style="780" customWidth="1"/>
    <col min="9986" max="9986" width="6.28515625" style="780" customWidth="1"/>
    <col min="9987" max="9992" width="14.7109375" style="780" customWidth="1"/>
    <col min="9993" max="9993" width="15.5703125" style="780" customWidth="1"/>
    <col min="9994" max="9994" width="16.7109375" style="780" customWidth="1"/>
    <col min="9995" max="9995" width="16.140625" style="780" customWidth="1"/>
    <col min="9996" max="9996" width="16.28515625" style="780" customWidth="1"/>
    <col min="9997" max="9997" width="16.7109375" style="780" customWidth="1"/>
    <col min="9998" max="9998" width="16.5703125" style="780" customWidth="1"/>
    <col min="9999" max="9999" width="16.42578125" style="780" customWidth="1"/>
    <col min="10000" max="10000" width="11" style="780" customWidth="1"/>
    <col min="10001" max="10240" width="9.140625" style="780"/>
    <col min="10241" max="10241" width="19.42578125" style="780" customWidth="1"/>
    <col min="10242" max="10242" width="6.28515625" style="780" customWidth="1"/>
    <col min="10243" max="10248" width="14.7109375" style="780" customWidth="1"/>
    <col min="10249" max="10249" width="15.5703125" style="780" customWidth="1"/>
    <col min="10250" max="10250" width="16.7109375" style="780" customWidth="1"/>
    <col min="10251" max="10251" width="16.140625" style="780" customWidth="1"/>
    <col min="10252" max="10252" width="16.28515625" style="780" customWidth="1"/>
    <col min="10253" max="10253" width="16.7109375" style="780" customWidth="1"/>
    <col min="10254" max="10254" width="16.5703125" style="780" customWidth="1"/>
    <col min="10255" max="10255" width="16.42578125" style="780" customWidth="1"/>
    <col min="10256" max="10256" width="11" style="780" customWidth="1"/>
    <col min="10257" max="10496" width="9.140625" style="780"/>
    <col min="10497" max="10497" width="19.42578125" style="780" customWidth="1"/>
    <col min="10498" max="10498" width="6.28515625" style="780" customWidth="1"/>
    <col min="10499" max="10504" width="14.7109375" style="780" customWidth="1"/>
    <col min="10505" max="10505" width="15.5703125" style="780" customWidth="1"/>
    <col min="10506" max="10506" width="16.7109375" style="780" customWidth="1"/>
    <col min="10507" max="10507" width="16.140625" style="780" customWidth="1"/>
    <col min="10508" max="10508" width="16.28515625" style="780" customWidth="1"/>
    <col min="10509" max="10509" width="16.7109375" style="780" customWidth="1"/>
    <col min="10510" max="10510" width="16.5703125" style="780" customWidth="1"/>
    <col min="10511" max="10511" width="16.42578125" style="780" customWidth="1"/>
    <col min="10512" max="10512" width="11" style="780" customWidth="1"/>
    <col min="10513" max="10752" width="9.140625" style="780"/>
    <col min="10753" max="10753" width="19.42578125" style="780" customWidth="1"/>
    <col min="10754" max="10754" width="6.28515625" style="780" customWidth="1"/>
    <col min="10755" max="10760" width="14.7109375" style="780" customWidth="1"/>
    <col min="10761" max="10761" width="15.5703125" style="780" customWidth="1"/>
    <col min="10762" max="10762" width="16.7109375" style="780" customWidth="1"/>
    <col min="10763" max="10763" width="16.140625" style="780" customWidth="1"/>
    <col min="10764" max="10764" width="16.28515625" style="780" customWidth="1"/>
    <col min="10765" max="10765" width="16.7109375" style="780" customWidth="1"/>
    <col min="10766" max="10766" width="16.5703125" style="780" customWidth="1"/>
    <col min="10767" max="10767" width="16.42578125" style="780" customWidth="1"/>
    <col min="10768" max="10768" width="11" style="780" customWidth="1"/>
    <col min="10769" max="11008" width="9.140625" style="780"/>
    <col min="11009" max="11009" width="19.42578125" style="780" customWidth="1"/>
    <col min="11010" max="11010" width="6.28515625" style="780" customWidth="1"/>
    <col min="11011" max="11016" width="14.7109375" style="780" customWidth="1"/>
    <col min="11017" max="11017" width="15.5703125" style="780" customWidth="1"/>
    <col min="11018" max="11018" width="16.7109375" style="780" customWidth="1"/>
    <col min="11019" max="11019" width="16.140625" style="780" customWidth="1"/>
    <col min="11020" max="11020" width="16.28515625" style="780" customWidth="1"/>
    <col min="11021" max="11021" width="16.7109375" style="780" customWidth="1"/>
    <col min="11022" max="11022" width="16.5703125" style="780" customWidth="1"/>
    <col min="11023" max="11023" width="16.42578125" style="780" customWidth="1"/>
    <col min="11024" max="11024" width="11" style="780" customWidth="1"/>
    <col min="11025" max="11264" width="9.140625" style="780"/>
    <col min="11265" max="11265" width="19.42578125" style="780" customWidth="1"/>
    <col min="11266" max="11266" width="6.28515625" style="780" customWidth="1"/>
    <col min="11267" max="11272" width="14.7109375" style="780" customWidth="1"/>
    <col min="11273" max="11273" width="15.5703125" style="780" customWidth="1"/>
    <col min="11274" max="11274" width="16.7109375" style="780" customWidth="1"/>
    <col min="11275" max="11275" width="16.140625" style="780" customWidth="1"/>
    <col min="11276" max="11276" width="16.28515625" style="780" customWidth="1"/>
    <col min="11277" max="11277" width="16.7109375" style="780" customWidth="1"/>
    <col min="11278" max="11278" width="16.5703125" style="780" customWidth="1"/>
    <col min="11279" max="11279" width="16.42578125" style="780" customWidth="1"/>
    <col min="11280" max="11280" width="11" style="780" customWidth="1"/>
    <col min="11281" max="11520" width="9.140625" style="780"/>
    <col min="11521" max="11521" width="19.42578125" style="780" customWidth="1"/>
    <col min="11522" max="11522" width="6.28515625" style="780" customWidth="1"/>
    <col min="11523" max="11528" width="14.7109375" style="780" customWidth="1"/>
    <col min="11529" max="11529" width="15.5703125" style="780" customWidth="1"/>
    <col min="11530" max="11530" width="16.7109375" style="780" customWidth="1"/>
    <col min="11531" max="11531" width="16.140625" style="780" customWidth="1"/>
    <col min="11532" max="11532" width="16.28515625" style="780" customWidth="1"/>
    <col min="11533" max="11533" width="16.7109375" style="780" customWidth="1"/>
    <col min="11534" max="11534" width="16.5703125" style="780" customWidth="1"/>
    <col min="11535" max="11535" width="16.42578125" style="780" customWidth="1"/>
    <col min="11536" max="11536" width="11" style="780" customWidth="1"/>
    <col min="11537" max="11776" width="9.140625" style="780"/>
    <col min="11777" max="11777" width="19.42578125" style="780" customWidth="1"/>
    <col min="11778" max="11778" width="6.28515625" style="780" customWidth="1"/>
    <col min="11779" max="11784" width="14.7109375" style="780" customWidth="1"/>
    <col min="11785" max="11785" width="15.5703125" style="780" customWidth="1"/>
    <col min="11786" max="11786" width="16.7109375" style="780" customWidth="1"/>
    <col min="11787" max="11787" width="16.140625" style="780" customWidth="1"/>
    <col min="11788" max="11788" width="16.28515625" style="780" customWidth="1"/>
    <col min="11789" max="11789" width="16.7109375" style="780" customWidth="1"/>
    <col min="11790" max="11790" width="16.5703125" style="780" customWidth="1"/>
    <col min="11791" max="11791" width="16.42578125" style="780" customWidth="1"/>
    <col min="11792" max="11792" width="11" style="780" customWidth="1"/>
    <col min="11793" max="12032" width="9.140625" style="780"/>
    <col min="12033" max="12033" width="19.42578125" style="780" customWidth="1"/>
    <col min="12034" max="12034" width="6.28515625" style="780" customWidth="1"/>
    <col min="12035" max="12040" width="14.7109375" style="780" customWidth="1"/>
    <col min="12041" max="12041" width="15.5703125" style="780" customWidth="1"/>
    <col min="12042" max="12042" width="16.7109375" style="780" customWidth="1"/>
    <col min="12043" max="12043" width="16.140625" style="780" customWidth="1"/>
    <col min="12044" max="12044" width="16.28515625" style="780" customWidth="1"/>
    <col min="12045" max="12045" width="16.7109375" style="780" customWidth="1"/>
    <col min="12046" max="12046" width="16.5703125" style="780" customWidth="1"/>
    <col min="12047" max="12047" width="16.42578125" style="780" customWidth="1"/>
    <col min="12048" max="12048" width="11" style="780" customWidth="1"/>
    <col min="12049" max="12288" width="9.140625" style="780"/>
    <col min="12289" max="12289" width="19.42578125" style="780" customWidth="1"/>
    <col min="12290" max="12290" width="6.28515625" style="780" customWidth="1"/>
    <col min="12291" max="12296" width="14.7109375" style="780" customWidth="1"/>
    <col min="12297" max="12297" width="15.5703125" style="780" customWidth="1"/>
    <col min="12298" max="12298" width="16.7109375" style="780" customWidth="1"/>
    <col min="12299" max="12299" width="16.140625" style="780" customWidth="1"/>
    <col min="12300" max="12300" width="16.28515625" style="780" customWidth="1"/>
    <col min="12301" max="12301" width="16.7109375" style="780" customWidth="1"/>
    <col min="12302" max="12302" width="16.5703125" style="780" customWidth="1"/>
    <col min="12303" max="12303" width="16.42578125" style="780" customWidth="1"/>
    <col min="12304" max="12304" width="11" style="780" customWidth="1"/>
    <col min="12305" max="12544" width="9.140625" style="780"/>
    <col min="12545" max="12545" width="19.42578125" style="780" customWidth="1"/>
    <col min="12546" max="12546" width="6.28515625" style="780" customWidth="1"/>
    <col min="12547" max="12552" width="14.7109375" style="780" customWidth="1"/>
    <col min="12553" max="12553" width="15.5703125" style="780" customWidth="1"/>
    <col min="12554" max="12554" width="16.7109375" style="780" customWidth="1"/>
    <col min="12555" max="12555" width="16.140625" style="780" customWidth="1"/>
    <col min="12556" max="12556" width="16.28515625" style="780" customWidth="1"/>
    <col min="12557" max="12557" width="16.7109375" style="780" customWidth="1"/>
    <col min="12558" max="12558" width="16.5703125" style="780" customWidth="1"/>
    <col min="12559" max="12559" width="16.42578125" style="780" customWidth="1"/>
    <col min="12560" max="12560" width="11" style="780" customWidth="1"/>
    <col min="12561" max="12800" width="9.140625" style="780"/>
    <col min="12801" max="12801" width="19.42578125" style="780" customWidth="1"/>
    <col min="12802" max="12802" width="6.28515625" style="780" customWidth="1"/>
    <col min="12803" max="12808" width="14.7109375" style="780" customWidth="1"/>
    <col min="12809" max="12809" width="15.5703125" style="780" customWidth="1"/>
    <col min="12810" max="12810" width="16.7109375" style="780" customWidth="1"/>
    <col min="12811" max="12811" width="16.140625" style="780" customWidth="1"/>
    <col min="12812" max="12812" width="16.28515625" style="780" customWidth="1"/>
    <col min="12813" max="12813" width="16.7109375" style="780" customWidth="1"/>
    <col min="12814" max="12814" width="16.5703125" style="780" customWidth="1"/>
    <col min="12815" max="12815" width="16.42578125" style="780" customWidth="1"/>
    <col min="12816" max="12816" width="11" style="780" customWidth="1"/>
    <col min="12817" max="13056" width="9.140625" style="780"/>
    <col min="13057" max="13057" width="19.42578125" style="780" customWidth="1"/>
    <col min="13058" max="13058" width="6.28515625" style="780" customWidth="1"/>
    <col min="13059" max="13064" width="14.7109375" style="780" customWidth="1"/>
    <col min="13065" max="13065" width="15.5703125" style="780" customWidth="1"/>
    <col min="13066" max="13066" width="16.7109375" style="780" customWidth="1"/>
    <col min="13067" max="13067" width="16.140625" style="780" customWidth="1"/>
    <col min="13068" max="13068" width="16.28515625" style="780" customWidth="1"/>
    <col min="13069" max="13069" width="16.7109375" style="780" customWidth="1"/>
    <col min="13070" max="13070" width="16.5703125" style="780" customWidth="1"/>
    <col min="13071" max="13071" width="16.42578125" style="780" customWidth="1"/>
    <col min="13072" max="13072" width="11" style="780" customWidth="1"/>
    <col min="13073" max="13312" width="9.140625" style="780"/>
    <col min="13313" max="13313" width="19.42578125" style="780" customWidth="1"/>
    <col min="13314" max="13314" width="6.28515625" style="780" customWidth="1"/>
    <col min="13315" max="13320" width="14.7109375" style="780" customWidth="1"/>
    <col min="13321" max="13321" width="15.5703125" style="780" customWidth="1"/>
    <col min="13322" max="13322" width="16.7109375" style="780" customWidth="1"/>
    <col min="13323" max="13323" width="16.140625" style="780" customWidth="1"/>
    <col min="13324" max="13324" width="16.28515625" style="780" customWidth="1"/>
    <col min="13325" max="13325" width="16.7109375" style="780" customWidth="1"/>
    <col min="13326" max="13326" width="16.5703125" style="780" customWidth="1"/>
    <col min="13327" max="13327" width="16.42578125" style="780" customWidth="1"/>
    <col min="13328" max="13328" width="11" style="780" customWidth="1"/>
    <col min="13329" max="13568" width="9.140625" style="780"/>
    <col min="13569" max="13569" width="19.42578125" style="780" customWidth="1"/>
    <col min="13570" max="13570" width="6.28515625" style="780" customWidth="1"/>
    <col min="13571" max="13576" width="14.7109375" style="780" customWidth="1"/>
    <col min="13577" max="13577" width="15.5703125" style="780" customWidth="1"/>
    <col min="13578" max="13578" width="16.7109375" style="780" customWidth="1"/>
    <col min="13579" max="13579" width="16.140625" style="780" customWidth="1"/>
    <col min="13580" max="13580" width="16.28515625" style="780" customWidth="1"/>
    <col min="13581" max="13581" width="16.7109375" style="780" customWidth="1"/>
    <col min="13582" max="13582" width="16.5703125" style="780" customWidth="1"/>
    <col min="13583" max="13583" width="16.42578125" style="780" customWidth="1"/>
    <col min="13584" max="13584" width="11" style="780" customWidth="1"/>
    <col min="13585" max="13824" width="9.140625" style="780"/>
    <col min="13825" max="13825" width="19.42578125" style="780" customWidth="1"/>
    <col min="13826" max="13826" width="6.28515625" style="780" customWidth="1"/>
    <col min="13827" max="13832" width="14.7109375" style="780" customWidth="1"/>
    <col min="13833" max="13833" width="15.5703125" style="780" customWidth="1"/>
    <col min="13834" max="13834" width="16.7109375" style="780" customWidth="1"/>
    <col min="13835" max="13835" width="16.140625" style="780" customWidth="1"/>
    <col min="13836" max="13836" width="16.28515625" style="780" customWidth="1"/>
    <col min="13837" max="13837" width="16.7109375" style="780" customWidth="1"/>
    <col min="13838" max="13838" width="16.5703125" style="780" customWidth="1"/>
    <col min="13839" max="13839" width="16.42578125" style="780" customWidth="1"/>
    <col min="13840" max="13840" width="11" style="780" customWidth="1"/>
    <col min="13841" max="14080" width="9.140625" style="780"/>
    <col min="14081" max="14081" width="19.42578125" style="780" customWidth="1"/>
    <col min="14082" max="14082" width="6.28515625" style="780" customWidth="1"/>
    <col min="14083" max="14088" width="14.7109375" style="780" customWidth="1"/>
    <col min="14089" max="14089" width="15.5703125" style="780" customWidth="1"/>
    <col min="14090" max="14090" width="16.7109375" style="780" customWidth="1"/>
    <col min="14091" max="14091" width="16.140625" style="780" customWidth="1"/>
    <col min="14092" max="14092" width="16.28515625" style="780" customWidth="1"/>
    <col min="14093" max="14093" width="16.7109375" style="780" customWidth="1"/>
    <col min="14094" max="14094" width="16.5703125" style="780" customWidth="1"/>
    <col min="14095" max="14095" width="16.42578125" style="780" customWidth="1"/>
    <col min="14096" max="14096" width="11" style="780" customWidth="1"/>
    <col min="14097" max="14336" width="9.140625" style="780"/>
    <col min="14337" max="14337" width="19.42578125" style="780" customWidth="1"/>
    <col min="14338" max="14338" width="6.28515625" style="780" customWidth="1"/>
    <col min="14339" max="14344" width="14.7109375" style="780" customWidth="1"/>
    <col min="14345" max="14345" width="15.5703125" style="780" customWidth="1"/>
    <col min="14346" max="14346" width="16.7109375" style="780" customWidth="1"/>
    <col min="14347" max="14347" width="16.140625" style="780" customWidth="1"/>
    <col min="14348" max="14348" width="16.28515625" style="780" customWidth="1"/>
    <col min="14349" max="14349" width="16.7109375" style="780" customWidth="1"/>
    <col min="14350" max="14350" width="16.5703125" style="780" customWidth="1"/>
    <col min="14351" max="14351" width="16.42578125" style="780" customWidth="1"/>
    <col min="14352" max="14352" width="11" style="780" customWidth="1"/>
    <col min="14353" max="14592" width="9.140625" style="780"/>
    <col min="14593" max="14593" width="19.42578125" style="780" customWidth="1"/>
    <col min="14594" max="14594" width="6.28515625" style="780" customWidth="1"/>
    <col min="14595" max="14600" width="14.7109375" style="780" customWidth="1"/>
    <col min="14601" max="14601" width="15.5703125" style="780" customWidth="1"/>
    <col min="14602" max="14602" width="16.7109375" style="780" customWidth="1"/>
    <col min="14603" max="14603" width="16.140625" style="780" customWidth="1"/>
    <col min="14604" max="14604" width="16.28515625" style="780" customWidth="1"/>
    <col min="14605" max="14605" width="16.7109375" style="780" customWidth="1"/>
    <col min="14606" max="14606" width="16.5703125" style="780" customWidth="1"/>
    <col min="14607" max="14607" width="16.42578125" style="780" customWidth="1"/>
    <col min="14608" max="14608" width="11" style="780" customWidth="1"/>
    <col min="14609" max="14848" width="9.140625" style="780"/>
    <col min="14849" max="14849" width="19.42578125" style="780" customWidth="1"/>
    <col min="14850" max="14850" width="6.28515625" style="780" customWidth="1"/>
    <col min="14851" max="14856" width="14.7109375" style="780" customWidth="1"/>
    <col min="14857" max="14857" width="15.5703125" style="780" customWidth="1"/>
    <col min="14858" max="14858" width="16.7109375" style="780" customWidth="1"/>
    <col min="14859" max="14859" width="16.140625" style="780" customWidth="1"/>
    <col min="14860" max="14860" width="16.28515625" style="780" customWidth="1"/>
    <col min="14861" max="14861" width="16.7109375" style="780" customWidth="1"/>
    <col min="14862" max="14862" width="16.5703125" style="780" customWidth="1"/>
    <col min="14863" max="14863" width="16.42578125" style="780" customWidth="1"/>
    <col min="14864" max="14864" width="11" style="780" customWidth="1"/>
    <col min="14865" max="15104" width="9.140625" style="780"/>
    <col min="15105" max="15105" width="19.42578125" style="780" customWidth="1"/>
    <col min="15106" max="15106" width="6.28515625" style="780" customWidth="1"/>
    <col min="15107" max="15112" width="14.7109375" style="780" customWidth="1"/>
    <col min="15113" max="15113" width="15.5703125" style="780" customWidth="1"/>
    <col min="15114" max="15114" width="16.7109375" style="780" customWidth="1"/>
    <col min="15115" max="15115" width="16.140625" style="780" customWidth="1"/>
    <col min="15116" max="15116" width="16.28515625" style="780" customWidth="1"/>
    <col min="15117" max="15117" width="16.7109375" style="780" customWidth="1"/>
    <col min="15118" max="15118" width="16.5703125" style="780" customWidth="1"/>
    <col min="15119" max="15119" width="16.42578125" style="780" customWidth="1"/>
    <col min="15120" max="15120" width="11" style="780" customWidth="1"/>
    <col min="15121" max="15360" width="9.140625" style="780"/>
    <col min="15361" max="15361" width="19.42578125" style="780" customWidth="1"/>
    <col min="15362" max="15362" width="6.28515625" style="780" customWidth="1"/>
    <col min="15363" max="15368" width="14.7109375" style="780" customWidth="1"/>
    <col min="15369" max="15369" width="15.5703125" style="780" customWidth="1"/>
    <col min="15370" max="15370" width="16.7109375" style="780" customWidth="1"/>
    <col min="15371" max="15371" width="16.140625" style="780" customWidth="1"/>
    <col min="15372" max="15372" width="16.28515625" style="780" customWidth="1"/>
    <col min="15373" max="15373" width="16.7109375" style="780" customWidth="1"/>
    <col min="15374" max="15374" width="16.5703125" style="780" customWidth="1"/>
    <col min="15375" max="15375" width="16.42578125" style="780" customWidth="1"/>
    <col min="15376" max="15376" width="11" style="780" customWidth="1"/>
    <col min="15377" max="15616" width="9.140625" style="780"/>
    <col min="15617" max="15617" width="19.42578125" style="780" customWidth="1"/>
    <col min="15618" max="15618" width="6.28515625" style="780" customWidth="1"/>
    <col min="15619" max="15624" width="14.7109375" style="780" customWidth="1"/>
    <col min="15625" max="15625" width="15.5703125" style="780" customWidth="1"/>
    <col min="15626" max="15626" width="16.7109375" style="780" customWidth="1"/>
    <col min="15627" max="15627" width="16.140625" style="780" customWidth="1"/>
    <col min="15628" max="15628" width="16.28515625" style="780" customWidth="1"/>
    <col min="15629" max="15629" width="16.7109375" style="780" customWidth="1"/>
    <col min="15630" max="15630" width="16.5703125" style="780" customWidth="1"/>
    <col min="15631" max="15631" width="16.42578125" style="780" customWidth="1"/>
    <col min="15632" max="15632" width="11" style="780" customWidth="1"/>
    <col min="15633" max="15872" width="9.140625" style="780"/>
    <col min="15873" max="15873" width="19.42578125" style="780" customWidth="1"/>
    <col min="15874" max="15874" width="6.28515625" style="780" customWidth="1"/>
    <col min="15875" max="15880" width="14.7109375" style="780" customWidth="1"/>
    <col min="15881" max="15881" width="15.5703125" style="780" customWidth="1"/>
    <col min="15882" max="15882" width="16.7109375" style="780" customWidth="1"/>
    <col min="15883" max="15883" width="16.140625" style="780" customWidth="1"/>
    <col min="15884" max="15884" width="16.28515625" style="780" customWidth="1"/>
    <col min="15885" max="15885" width="16.7109375" style="780" customWidth="1"/>
    <col min="15886" max="15886" width="16.5703125" style="780" customWidth="1"/>
    <col min="15887" max="15887" width="16.42578125" style="780" customWidth="1"/>
    <col min="15888" max="15888" width="11" style="780" customWidth="1"/>
    <col min="15889" max="16128" width="9.140625" style="780"/>
    <col min="16129" max="16129" width="19.42578125" style="780" customWidth="1"/>
    <col min="16130" max="16130" width="6.28515625" style="780" customWidth="1"/>
    <col min="16131" max="16136" width="14.7109375" style="780" customWidth="1"/>
    <col min="16137" max="16137" width="15.5703125" style="780" customWidth="1"/>
    <col min="16138" max="16138" width="16.7109375" style="780" customWidth="1"/>
    <col min="16139" max="16139" width="16.140625" style="780" customWidth="1"/>
    <col min="16140" max="16140" width="16.28515625" style="780" customWidth="1"/>
    <col min="16141" max="16141" width="16.7109375" style="780" customWidth="1"/>
    <col min="16142" max="16142" width="16.5703125" style="780" customWidth="1"/>
    <col min="16143" max="16143" width="16.42578125" style="780" customWidth="1"/>
    <col min="16144" max="16144" width="11" style="780" customWidth="1"/>
    <col min="16145" max="16384" width="9.140625" style="780"/>
  </cols>
  <sheetData>
    <row r="1" spans="1:16" ht="18.75" x14ac:dyDescent="0.2">
      <c r="A1" s="1610"/>
      <c r="B1" s="1610"/>
      <c r="C1" s="1610"/>
      <c r="D1" s="1610"/>
      <c r="E1" s="1610"/>
      <c r="F1" s="1610"/>
      <c r="G1" s="1610"/>
      <c r="H1" s="1610"/>
      <c r="I1" s="1610"/>
      <c r="J1" s="1610"/>
      <c r="K1" s="1610"/>
      <c r="L1" s="1610"/>
      <c r="M1" s="1610"/>
      <c r="N1" s="1610"/>
      <c r="O1" s="1610"/>
    </row>
    <row r="2" spans="1:16" ht="18.75" x14ac:dyDescent="0.2">
      <c r="A2" s="1610" t="s">
        <v>595</v>
      </c>
      <c r="B2" s="1610"/>
      <c r="C2" s="1610"/>
      <c r="D2" s="1610"/>
      <c r="E2" s="1610"/>
      <c r="F2" s="1610"/>
      <c r="G2" s="1610"/>
      <c r="H2" s="1610"/>
      <c r="I2" s="1610"/>
      <c r="J2" s="1610"/>
      <c r="K2" s="1610"/>
      <c r="L2" s="1610"/>
      <c r="M2" s="1610"/>
      <c r="N2" s="1610"/>
      <c r="O2" s="1610"/>
    </row>
    <row r="3" spans="1:16" ht="13.5" thickBot="1" x14ac:dyDescent="0.25"/>
    <row r="4" spans="1:16" ht="15.75" x14ac:dyDescent="0.2">
      <c r="A4" s="1611" t="s">
        <v>596</v>
      </c>
      <c r="B4" s="1613" t="s">
        <v>597</v>
      </c>
      <c r="C4" s="1614"/>
      <c r="D4" s="1614"/>
      <c r="E4" s="1614"/>
      <c r="F4" s="1614"/>
      <c r="G4" s="1614"/>
      <c r="H4" s="1614"/>
      <c r="I4" s="1614"/>
      <c r="J4" s="1614"/>
      <c r="K4" s="1614"/>
      <c r="L4" s="1614"/>
      <c r="M4" s="1614"/>
      <c r="N4" s="1614"/>
      <c r="O4" s="1615"/>
    </row>
    <row r="5" spans="1:16" ht="16.5" thickBot="1" x14ac:dyDescent="0.25">
      <c r="A5" s="1612"/>
      <c r="B5" s="1616" t="s">
        <v>598</v>
      </c>
      <c r="C5" s="1617"/>
      <c r="D5" s="1617"/>
      <c r="E5" s="1617"/>
      <c r="F5" s="1617"/>
      <c r="G5" s="1617"/>
      <c r="H5" s="1617"/>
      <c r="I5" s="1617"/>
      <c r="J5" s="1617"/>
      <c r="K5" s="1617"/>
      <c r="L5" s="1617"/>
      <c r="M5" s="1617"/>
      <c r="N5" s="1617"/>
      <c r="O5" s="1618"/>
    </row>
    <row r="6" spans="1:16" x14ac:dyDescent="0.2">
      <c r="A6" s="1604" t="s">
        <v>599</v>
      </c>
      <c r="B6" s="1605"/>
      <c r="C6" s="1605"/>
      <c r="D6" s="1605"/>
      <c r="E6" s="1605"/>
      <c r="F6" s="1605"/>
      <c r="G6" s="1605"/>
      <c r="H6" s="1605"/>
      <c r="I6" s="1605"/>
      <c r="J6" s="1605"/>
      <c r="K6" s="1605"/>
      <c r="L6" s="1605"/>
      <c r="M6" s="1605"/>
      <c r="N6" s="1605"/>
      <c r="O6" s="1606"/>
    </row>
    <row r="7" spans="1:16" ht="13.5" thickBot="1" x14ac:dyDescent="0.25">
      <c r="A7" s="1607"/>
      <c r="B7" s="1608"/>
      <c r="C7" s="1608"/>
      <c r="D7" s="1608"/>
      <c r="E7" s="1608"/>
      <c r="F7" s="1608"/>
      <c r="G7" s="1608"/>
      <c r="H7" s="1608"/>
      <c r="I7" s="1608"/>
      <c r="J7" s="1608"/>
      <c r="K7" s="1608"/>
      <c r="L7" s="1608"/>
      <c r="M7" s="1608"/>
      <c r="N7" s="1608"/>
      <c r="O7" s="1609"/>
    </row>
    <row r="8" spans="1:16" ht="16.5" thickBot="1" x14ac:dyDescent="0.25">
      <c r="A8" s="781"/>
      <c r="B8" s="782"/>
      <c r="C8" s="783" t="s">
        <v>600</v>
      </c>
      <c r="D8" s="783" t="s">
        <v>601</v>
      </c>
      <c r="E8" s="783" t="s">
        <v>602</v>
      </c>
      <c r="F8" s="783" t="s">
        <v>603</v>
      </c>
      <c r="G8" s="783" t="s">
        <v>604</v>
      </c>
      <c r="H8" s="783" t="s">
        <v>605</v>
      </c>
      <c r="I8" s="783" t="s">
        <v>606</v>
      </c>
      <c r="J8" s="783" t="s">
        <v>607</v>
      </c>
      <c r="K8" s="783" t="s">
        <v>608</v>
      </c>
      <c r="L8" s="783" t="s">
        <v>609</v>
      </c>
      <c r="M8" s="783" t="s">
        <v>610</v>
      </c>
      <c r="N8" s="784" t="s">
        <v>611</v>
      </c>
      <c r="O8" s="782" t="s">
        <v>612</v>
      </c>
    </row>
    <row r="9" spans="1:16" ht="48" thickBot="1" x14ac:dyDescent="0.25">
      <c r="A9" s="785" t="s">
        <v>613</v>
      </c>
      <c r="B9" s="786"/>
      <c r="C9" s="787"/>
      <c r="D9" s="787"/>
      <c r="E9" s="787"/>
      <c r="F9" s="787"/>
      <c r="G9" s="787">
        <f>G10*G11</f>
        <v>218960</v>
      </c>
      <c r="H9" s="787">
        <f t="shared" ref="H9:N9" si="0">H10*H11</f>
        <v>2398000</v>
      </c>
      <c r="I9" s="787">
        <f t="shared" si="0"/>
        <v>4793800</v>
      </c>
      <c r="J9" s="787">
        <f t="shared" si="0"/>
        <v>8097600</v>
      </c>
      <c r="K9" s="787">
        <f t="shared" si="0"/>
        <v>3069000</v>
      </c>
      <c r="L9" s="787">
        <f t="shared" si="0"/>
        <v>1975600</v>
      </c>
      <c r="M9" s="787">
        <f t="shared" si="0"/>
        <v>830960</v>
      </c>
      <c r="N9" s="787">
        <f t="shared" si="0"/>
        <v>255680</v>
      </c>
      <c r="O9" s="788">
        <f>SUM(G9:N9)</f>
        <v>21639600</v>
      </c>
    </row>
    <row r="10" spans="1:16" ht="48.75" thickBot="1" x14ac:dyDescent="0.25">
      <c r="A10" s="1597" t="s">
        <v>614</v>
      </c>
      <c r="B10" s="789" t="s">
        <v>615</v>
      </c>
      <c r="C10" s="790"/>
      <c r="D10" s="790"/>
      <c r="E10" s="790"/>
      <c r="F10" s="790"/>
      <c r="G10" s="790">
        <v>680</v>
      </c>
      <c r="H10" s="790">
        <v>1100</v>
      </c>
      <c r="I10" s="790">
        <v>1100</v>
      </c>
      <c r="J10" s="790">
        <v>1680</v>
      </c>
      <c r="K10" s="790">
        <v>1100</v>
      </c>
      <c r="L10" s="791">
        <v>1100</v>
      </c>
      <c r="M10" s="787">
        <v>680</v>
      </c>
      <c r="N10" s="790">
        <v>680</v>
      </c>
      <c r="O10" s="788"/>
    </row>
    <row r="11" spans="1:16" ht="36.75" thickBot="1" x14ac:dyDescent="0.25">
      <c r="A11" s="1598"/>
      <c r="B11" s="789" t="s">
        <v>616</v>
      </c>
      <c r="C11" s="790"/>
      <c r="D11" s="790"/>
      <c r="E11" s="790"/>
      <c r="F11" s="790"/>
      <c r="G11" s="790">
        <v>322</v>
      </c>
      <c r="H11" s="790">
        <v>2180</v>
      </c>
      <c r="I11" s="790">
        <v>4358</v>
      </c>
      <c r="J11" s="790">
        <v>4820</v>
      </c>
      <c r="K11" s="790">
        <v>2790</v>
      </c>
      <c r="L11" s="792">
        <v>1796</v>
      </c>
      <c r="M11" s="790">
        <v>1222</v>
      </c>
      <c r="N11" s="790">
        <v>376</v>
      </c>
      <c r="O11" s="788">
        <v>15500</v>
      </c>
      <c r="P11" s="810">
        <f>P21*0.6</f>
        <v>18194.399999999998</v>
      </c>
    </row>
    <row r="12" spans="1:16" ht="48.75" thickBot="1" x14ac:dyDescent="0.25">
      <c r="A12" s="1599" t="s">
        <v>617</v>
      </c>
      <c r="B12" s="789" t="s">
        <v>618</v>
      </c>
      <c r="C12" s="793"/>
      <c r="D12" s="793"/>
      <c r="E12" s="793"/>
      <c r="F12" s="793"/>
      <c r="G12" s="788">
        <f>G13*G14</f>
        <v>3659180</v>
      </c>
      <c r="H12" s="788">
        <f t="shared" ref="H12:N12" si="1">H13*H14</f>
        <v>7212040</v>
      </c>
      <c r="I12" s="788">
        <f t="shared" si="1"/>
        <v>3641460</v>
      </c>
      <c r="J12" s="788">
        <f t="shared" si="1"/>
        <v>4323680</v>
      </c>
      <c r="K12" s="788">
        <f t="shared" si="1"/>
        <v>11704060</v>
      </c>
      <c r="L12" s="788">
        <f t="shared" si="1"/>
        <v>11518000</v>
      </c>
      <c r="M12" s="788">
        <f t="shared" si="1"/>
        <v>7734780</v>
      </c>
      <c r="N12" s="788">
        <f t="shared" si="1"/>
        <v>4469870</v>
      </c>
      <c r="O12" s="788">
        <f>SUM(G12:N12)</f>
        <v>54263070</v>
      </c>
    </row>
    <row r="13" spans="1:16" ht="48.75" thickBot="1" x14ac:dyDescent="0.25">
      <c r="A13" s="1600"/>
      <c r="B13" s="789" t="s">
        <v>615</v>
      </c>
      <c r="C13" s="793"/>
      <c r="D13" s="793"/>
      <c r="E13" s="793"/>
      <c r="F13" s="793"/>
      <c r="G13" s="788">
        <v>4430</v>
      </c>
      <c r="H13" s="788">
        <v>4430</v>
      </c>
      <c r="I13" s="788">
        <v>4430</v>
      </c>
      <c r="J13" s="788">
        <v>4430</v>
      </c>
      <c r="K13" s="788">
        <v>4430</v>
      </c>
      <c r="L13" s="788">
        <v>4430</v>
      </c>
      <c r="M13" s="788">
        <v>4430</v>
      </c>
      <c r="N13" s="788">
        <v>4430</v>
      </c>
      <c r="O13" s="794"/>
    </row>
    <row r="14" spans="1:16" x14ac:dyDescent="0.2">
      <c r="A14" s="1600"/>
      <c r="B14" s="1602" t="s">
        <v>616</v>
      </c>
      <c r="C14" s="1593"/>
      <c r="D14" s="1593"/>
      <c r="E14" s="1593"/>
      <c r="F14" s="1593"/>
      <c r="G14" s="1588">
        <v>826</v>
      </c>
      <c r="H14" s="1588">
        <v>1628</v>
      </c>
      <c r="I14" s="1595">
        <v>822</v>
      </c>
      <c r="J14" s="1588">
        <v>976</v>
      </c>
      <c r="K14" s="1588">
        <v>2642</v>
      </c>
      <c r="L14" s="1588">
        <v>2600</v>
      </c>
      <c r="M14" s="1588">
        <v>1746</v>
      </c>
      <c r="N14" s="1588">
        <v>1009</v>
      </c>
      <c r="O14" s="1588">
        <v>10600</v>
      </c>
      <c r="P14" s="1588">
        <f>P21*0.4</f>
        <v>12129.6</v>
      </c>
    </row>
    <row r="15" spans="1:16" ht="13.5" thickBot="1" x14ac:dyDescent="0.25">
      <c r="A15" s="1601"/>
      <c r="B15" s="1603"/>
      <c r="C15" s="1594"/>
      <c r="D15" s="1594"/>
      <c r="E15" s="1594"/>
      <c r="F15" s="1594"/>
      <c r="G15" s="1589"/>
      <c r="H15" s="1589"/>
      <c r="I15" s="1596"/>
      <c r="J15" s="1589"/>
      <c r="K15" s="1589"/>
      <c r="L15" s="1589"/>
      <c r="M15" s="1589"/>
      <c r="N15" s="1589"/>
      <c r="O15" s="1589"/>
      <c r="P15" s="1589">
        <f>P21*0.4</f>
        <v>12129.6</v>
      </c>
    </row>
    <row r="16" spans="1:16" ht="48.75" thickBot="1" x14ac:dyDescent="0.25">
      <c r="A16" s="795" t="s">
        <v>619</v>
      </c>
      <c r="B16" s="789" t="s">
        <v>620</v>
      </c>
      <c r="C16" s="793"/>
      <c r="D16" s="793"/>
      <c r="E16" s="793"/>
      <c r="F16" s="793"/>
      <c r="G16" s="788">
        <v>100000</v>
      </c>
      <c r="H16" s="788">
        <v>150000</v>
      </c>
      <c r="I16" s="788">
        <v>300000</v>
      </c>
      <c r="J16" s="788">
        <v>300000</v>
      </c>
      <c r="K16" s="788">
        <v>300000</v>
      </c>
      <c r="L16" s="788">
        <v>250000</v>
      </c>
      <c r="M16" s="788">
        <v>83826.350000000006</v>
      </c>
      <c r="N16" s="788">
        <v>50000</v>
      </c>
      <c r="O16" s="794">
        <f>SUM(C16:N16)</f>
        <v>1533826.35</v>
      </c>
    </row>
    <row r="17" spans="1:16" ht="16.5" thickBot="1" x14ac:dyDescent="0.25">
      <c r="A17" s="796" t="s">
        <v>621</v>
      </c>
      <c r="B17" s="797"/>
      <c r="C17" s="798"/>
      <c r="D17" s="798"/>
      <c r="E17" s="798"/>
      <c r="F17" s="798"/>
      <c r="G17" s="798">
        <f>G12+G16+G9</f>
        <v>3978140</v>
      </c>
      <c r="H17" s="798">
        <f t="shared" ref="H17:N17" si="2">H12+H16+H9</f>
        <v>9760040</v>
      </c>
      <c r="I17" s="798">
        <f t="shared" si="2"/>
        <v>8735260</v>
      </c>
      <c r="J17" s="798">
        <f t="shared" si="2"/>
        <v>12721280</v>
      </c>
      <c r="K17" s="798">
        <f t="shared" si="2"/>
        <v>15073060</v>
      </c>
      <c r="L17" s="798">
        <f t="shared" si="2"/>
        <v>13743600</v>
      </c>
      <c r="M17" s="798">
        <f t="shared" si="2"/>
        <v>8649566.3499999996</v>
      </c>
      <c r="N17" s="798">
        <f t="shared" si="2"/>
        <v>4775550</v>
      </c>
      <c r="O17" s="798">
        <f>SUM(G17:N17)</f>
        <v>77436496.349999994</v>
      </c>
    </row>
    <row r="18" spans="1:16" ht="16.5" thickBot="1" x14ac:dyDescent="0.25">
      <c r="A18" s="796"/>
      <c r="B18" s="799"/>
      <c r="C18" s="799"/>
      <c r="D18" s="799"/>
      <c r="E18" s="799"/>
      <c r="F18" s="799"/>
      <c r="G18" s="800"/>
      <c r="H18" s="800"/>
      <c r="I18" s="800"/>
      <c r="J18" s="800"/>
      <c r="K18" s="800"/>
      <c r="L18" s="800"/>
      <c r="M18" s="800"/>
      <c r="N18" s="800"/>
      <c r="O18" s="800"/>
      <c r="P18" s="803">
        <f>P11+P14</f>
        <v>30324</v>
      </c>
    </row>
    <row r="21" spans="1:16" ht="36" customHeight="1" x14ac:dyDescent="0.2">
      <c r="A21" s="1590" t="s">
        <v>622</v>
      </c>
      <c r="B21" s="1590"/>
      <c r="C21" s="801"/>
      <c r="D21" s="1591" t="s">
        <v>623</v>
      </c>
      <c r="E21" s="1591"/>
      <c r="F21" s="802"/>
      <c r="G21" s="802"/>
      <c r="H21" s="1592" t="s">
        <v>624</v>
      </c>
      <c r="I21" s="1592"/>
      <c r="O21" s="803">
        <f>O11+O14</f>
        <v>26100</v>
      </c>
      <c r="P21" s="803">
        <v>30324</v>
      </c>
    </row>
    <row r="22" spans="1:16" ht="25.5" x14ac:dyDescent="0.2">
      <c r="A22" s="804" t="s">
        <v>625</v>
      </c>
      <c r="B22" s="805"/>
      <c r="C22" s="806"/>
      <c r="D22" s="807"/>
      <c r="E22" s="807"/>
      <c r="F22" s="807"/>
      <c r="G22" s="807"/>
      <c r="H22" s="808"/>
      <c r="I22" s="808"/>
      <c r="O22" s="809">
        <f>O11/O21</f>
        <v>0.5938697318007663</v>
      </c>
      <c r="P22" s="809">
        <f>P11/P21</f>
        <v>0.6</v>
      </c>
    </row>
    <row r="23" spans="1:16" x14ac:dyDescent="0.2">
      <c r="O23" s="809">
        <f>O14/O21</f>
        <v>0.4061302681992337</v>
      </c>
      <c r="P23" s="809">
        <f>O14/P21</f>
        <v>0.34955810579079277</v>
      </c>
    </row>
  </sheetData>
  <mergeCells count="26">
    <mergeCell ref="A6:O7"/>
    <mergeCell ref="A1:O1"/>
    <mergeCell ref="A2:O2"/>
    <mergeCell ref="A4:A5"/>
    <mergeCell ref="B4:O4"/>
    <mergeCell ref="B5:O5"/>
    <mergeCell ref="J14:J15"/>
    <mergeCell ref="K14:K15"/>
    <mergeCell ref="A10:A11"/>
    <mergeCell ref="A12:A15"/>
    <mergeCell ref="B14:B15"/>
    <mergeCell ref="C14:C15"/>
    <mergeCell ref="D14:D15"/>
    <mergeCell ref="E14:E15"/>
    <mergeCell ref="A21:B21"/>
    <mergeCell ref="D21:E21"/>
    <mergeCell ref="H21:I21"/>
    <mergeCell ref="F14:F15"/>
    <mergeCell ref="G14:G15"/>
    <mergeCell ref="H14:H15"/>
    <mergeCell ref="I14:I15"/>
    <mergeCell ref="P14:P15"/>
    <mergeCell ref="L14:L15"/>
    <mergeCell ref="M14:M15"/>
    <mergeCell ref="N14:N15"/>
    <mergeCell ref="O14:O15"/>
  </mergeCells>
  <pageMargins left="0.7" right="0.7" top="0.75" bottom="0.75" header="0.3" footer="0.3"/>
  <pageSetup paperSize="9" scale="54" orientation="landscape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  <pageSetUpPr fitToPage="1"/>
  </sheetPr>
  <dimension ref="A1:Z93"/>
  <sheetViews>
    <sheetView view="pageBreakPreview" topLeftCell="A68" zoomScaleNormal="100" zoomScaleSheetLayoutView="100" workbookViewId="0">
      <selection activeCell="J85" sqref="J85"/>
    </sheetView>
  </sheetViews>
  <sheetFormatPr defaultColWidth="9.140625" defaultRowHeight="15" x14ac:dyDescent="0.25"/>
  <cols>
    <col min="1" max="1" width="5.5703125" style="165" customWidth="1"/>
    <col min="2" max="2" width="45.5703125" style="245" customWidth="1"/>
    <col min="3" max="3" width="15.140625" style="167" hidden="1" customWidth="1"/>
    <col min="4" max="4" width="17" style="168" hidden="1" customWidth="1"/>
    <col min="5" max="5" width="13.85546875" style="167" hidden="1" customWidth="1"/>
    <col min="6" max="6" width="12.28515625" style="169" hidden="1" customWidth="1"/>
    <col min="7" max="7" width="17.85546875" style="169" hidden="1" customWidth="1"/>
    <col min="8" max="8" width="14.28515625" style="169" hidden="1" customWidth="1"/>
    <col min="9" max="9" width="16.5703125" style="169" customWidth="1"/>
    <col min="10" max="10" width="18" style="169" customWidth="1"/>
    <col min="11" max="11" width="14.140625" style="169" customWidth="1"/>
    <col min="12" max="12" width="14.140625" style="830" customWidth="1"/>
    <col min="13" max="14" width="14.140625" style="169" customWidth="1"/>
    <col min="15" max="15" width="16.85546875" style="169" customWidth="1"/>
    <col min="16" max="16" width="18.7109375" style="169" customWidth="1"/>
    <col min="17" max="17" width="13.42578125" style="169" customWidth="1"/>
    <col min="18" max="18" width="17" style="169" customWidth="1"/>
    <col min="19" max="19" width="18.7109375" style="169" customWidth="1"/>
    <col min="20" max="20" width="13.42578125" style="169" customWidth="1"/>
    <col min="21" max="16384" width="9.140625" style="164"/>
  </cols>
  <sheetData>
    <row r="1" spans="1:20" ht="33" customHeight="1" x14ac:dyDescent="0.25">
      <c r="A1" s="1660" t="s">
        <v>628</v>
      </c>
      <c r="B1" s="1660"/>
      <c r="C1" s="1660"/>
      <c r="D1" s="1660"/>
      <c r="E1" s="1660"/>
      <c r="F1" s="1660"/>
      <c r="G1" s="1660"/>
      <c r="H1" s="1660"/>
      <c r="I1" s="1660"/>
      <c r="J1" s="1660"/>
      <c r="K1" s="1660"/>
      <c r="L1" s="828"/>
      <c r="M1" s="812"/>
      <c r="N1" s="812"/>
      <c r="O1" s="829"/>
      <c r="P1" s="829"/>
      <c r="Q1" s="829"/>
      <c r="R1" s="829"/>
      <c r="S1" s="829"/>
      <c r="T1" s="829"/>
    </row>
    <row r="2" spans="1:20" ht="15.75" x14ac:dyDescent="0.25">
      <c r="B2" s="166"/>
    </row>
    <row r="3" spans="1:20" x14ac:dyDescent="0.25">
      <c r="A3" s="1661" t="s">
        <v>255</v>
      </c>
      <c r="B3" s="1664" t="s">
        <v>256</v>
      </c>
      <c r="C3" s="1656" t="s">
        <v>257</v>
      </c>
      <c r="D3" s="1657"/>
      <c r="E3" s="1658"/>
      <c r="F3" s="1655" t="s">
        <v>258</v>
      </c>
      <c r="G3" s="1655"/>
      <c r="H3" s="1655"/>
      <c r="I3" s="1655" t="s">
        <v>259</v>
      </c>
      <c r="J3" s="1655"/>
      <c r="K3" s="1655"/>
      <c r="L3" s="831"/>
      <c r="M3" s="814"/>
      <c r="N3" s="814"/>
      <c r="O3" s="1655" t="s">
        <v>260</v>
      </c>
      <c r="P3" s="1655"/>
      <c r="Q3" s="1655"/>
      <c r="R3" s="1655" t="s">
        <v>629</v>
      </c>
      <c r="S3" s="1655"/>
      <c r="T3" s="1655"/>
    </row>
    <row r="4" spans="1:20" x14ac:dyDescent="0.25">
      <c r="A4" s="1662"/>
      <c r="B4" s="1665"/>
      <c r="C4" s="1656" t="s">
        <v>261</v>
      </c>
      <c r="D4" s="1657"/>
      <c r="E4" s="1658"/>
      <c r="F4" s="1659" t="s">
        <v>261</v>
      </c>
      <c r="G4" s="1659"/>
      <c r="H4" s="1659"/>
      <c r="I4" s="1659" t="s">
        <v>261</v>
      </c>
      <c r="J4" s="1659"/>
      <c r="K4" s="1659"/>
      <c r="L4" s="832"/>
      <c r="M4" s="815"/>
      <c r="N4" s="815"/>
      <c r="O4" s="1659" t="s">
        <v>261</v>
      </c>
      <c r="P4" s="1659"/>
      <c r="Q4" s="1659"/>
      <c r="R4" s="1659" t="s">
        <v>261</v>
      </c>
      <c r="S4" s="1659"/>
      <c r="T4" s="1659"/>
    </row>
    <row r="5" spans="1:20" s="171" customFormat="1" ht="15.75" x14ac:dyDescent="0.25">
      <c r="A5" s="1662"/>
      <c r="B5" s="1665"/>
      <c r="C5" s="170" t="s">
        <v>262</v>
      </c>
      <c r="D5" s="1667">
        <v>39074</v>
      </c>
      <c r="E5" s="1668"/>
      <c r="F5" s="170" t="s">
        <v>262</v>
      </c>
      <c r="G5" s="1645">
        <v>39074</v>
      </c>
      <c r="H5" s="1645"/>
      <c r="I5" s="170" t="s">
        <v>262</v>
      </c>
      <c r="J5" s="1645">
        <v>39074</v>
      </c>
      <c r="K5" s="1645"/>
      <c r="L5" s="816"/>
      <c r="M5" s="816"/>
      <c r="N5" s="816"/>
      <c r="O5" s="170" t="s">
        <v>262</v>
      </c>
      <c r="P5" s="1645">
        <v>39074</v>
      </c>
      <c r="Q5" s="1645"/>
      <c r="R5" s="170" t="s">
        <v>262</v>
      </c>
      <c r="S5" s="1645">
        <v>39074</v>
      </c>
      <c r="T5" s="1645"/>
    </row>
    <row r="6" spans="1:20" s="171" customFormat="1" x14ac:dyDescent="0.25">
      <c r="A6" s="1663"/>
      <c r="B6" s="1666"/>
      <c r="C6" s="1646" t="s">
        <v>263</v>
      </c>
      <c r="D6" s="1647"/>
      <c r="E6" s="817" t="s">
        <v>264</v>
      </c>
      <c r="F6" s="1648" t="s">
        <v>263</v>
      </c>
      <c r="G6" s="1648"/>
      <c r="H6" s="817" t="s">
        <v>264</v>
      </c>
      <c r="I6" s="1648" t="s">
        <v>263</v>
      </c>
      <c r="J6" s="1648"/>
      <c r="K6" s="817" t="s">
        <v>264</v>
      </c>
      <c r="L6" s="833"/>
      <c r="M6" s="817"/>
      <c r="N6" s="817"/>
      <c r="O6" s="1648" t="s">
        <v>263</v>
      </c>
      <c r="P6" s="1648"/>
      <c r="Q6" s="817" t="s">
        <v>264</v>
      </c>
      <c r="R6" s="1648" t="s">
        <v>263</v>
      </c>
      <c r="S6" s="1648"/>
      <c r="T6" s="817" t="s">
        <v>264</v>
      </c>
    </row>
    <row r="7" spans="1:20" ht="18.75" x14ac:dyDescent="0.25">
      <c r="A7" s="813">
        <v>1</v>
      </c>
      <c r="B7" s="1649" t="s">
        <v>265</v>
      </c>
      <c r="C7" s="1650"/>
      <c r="D7" s="1650"/>
      <c r="E7" s="1650"/>
      <c r="F7" s="1650"/>
      <c r="G7" s="1650"/>
      <c r="H7" s="1650"/>
      <c r="I7" s="1650"/>
      <c r="J7" s="1650"/>
      <c r="K7" s="1650"/>
      <c r="L7" s="1650"/>
      <c r="M7" s="1650"/>
      <c r="N7" s="1650"/>
      <c r="O7" s="1650"/>
      <c r="P7" s="1650"/>
      <c r="Q7" s="1650"/>
      <c r="R7" s="1651"/>
      <c r="S7" s="1651"/>
      <c r="T7" s="1651"/>
    </row>
    <row r="8" spans="1:20" ht="15.75" x14ac:dyDescent="0.25">
      <c r="A8" s="174" t="s">
        <v>266</v>
      </c>
      <c r="B8" s="1652" t="s">
        <v>267</v>
      </c>
      <c r="C8" s="1653"/>
      <c r="D8" s="1653"/>
      <c r="E8" s="1653"/>
      <c r="F8" s="1653"/>
      <c r="G8" s="1653"/>
      <c r="H8" s="1653"/>
      <c r="I8" s="1653"/>
      <c r="J8" s="1653"/>
      <c r="K8" s="1653"/>
      <c r="L8" s="1653"/>
      <c r="M8" s="1653"/>
      <c r="N8" s="1653"/>
      <c r="O8" s="1653"/>
      <c r="P8" s="1653"/>
      <c r="Q8" s="1653"/>
      <c r="R8" s="1654"/>
      <c r="S8" s="1654"/>
      <c r="T8" s="1654"/>
    </row>
    <row r="9" spans="1:20" ht="45" x14ac:dyDescent="0.25">
      <c r="A9" s="175" t="s">
        <v>270</v>
      </c>
      <c r="B9" s="176" t="s">
        <v>271</v>
      </c>
      <c r="C9" s="177">
        <v>855.56709999999998</v>
      </c>
      <c r="D9" s="178">
        <f>C9*D5</f>
        <v>33430428.865399998</v>
      </c>
      <c r="E9" s="179">
        <f>D9/1000</f>
        <v>33430.428865399997</v>
      </c>
      <c r="F9" s="177">
        <f>ROUND(G9/$G$5,4)</f>
        <v>889.78970000000004</v>
      </c>
      <c r="G9" s="178">
        <v>34767644.020000003</v>
      </c>
      <c r="H9" s="179">
        <f>G9/1000</f>
        <v>34767.64402</v>
      </c>
      <c r="I9" s="177">
        <f>ROUND(J9/$J$5,4)</f>
        <v>899.35509999999999</v>
      </c>
      <c r="J9" s="178">
        <v>35141400</v>
      </c>
      <c r="K9" s="178">
        <f>J9/1000</f>
        <v>35141.4</v>
      </c>
      <c r="L9" s="834">
        <v>211</v>
      </c>
      <c r="M9" s="178">
        <f>I9</f>
        <v>899.35509999999999</v>
      </c>
      <c r="N9" s="178">
        <f>M9+M66</f>
        <v>1292.5219116906383</v>
      </c>
      <c r="O9" s="177">
        <f>ROUND(P9/$P$5,4)</f>
        <v>936.86590000000001</v>
      </c>
      <c r="P9" s="178">
        <v>36607100</v>
      </c>
      <c r="Q9" s="178">
        <f>P9/1000</f>
        <v>36607.1</v>
      </c>
      <c r="R9" s="177">
        <f>ROUND(S9/$S$5,4)</f>
        <v>972.94880000000001</v>
      </c>
      <c r="S9" s="178">
        <v>38017000</v>
      </c>
      <c r="T9" s="178">
        <f>S9/1000</f>
        <v>38017</v>
      </c>
    </row>
    <row r="10" spans="1:20" x14ac:dyDescent="0.25">
      <c r="A10" s="175" t="s">
        <v>272</v>
      </c>
      <c r="B10" s="176" t="s">
        <v>235</v>
      </c>
      <c r="C10" s="177">
        <f>D10/D5</f>
        <v>524.90893842452783</v>
      </c>
      <c r="D10" s="178">
        <v>20510291.859999999</v>
      </c>
      <c r="E10" s="179">
        <f>D10/1000</f>
        <v>20510.291860000001</v>
      </c>
      <c r="F10" s="177">
        <f>ROUND(G10/$G$5,4)</f>
        <v>1124.7653</v>
      </c>
      <c r="G10" s="178">
        <v>43949080</v>
      </c>
      <c r="H10" s="179">
        <f t="shared" ref="H10:H18" si="0">G10/1000</f>
        <v>43949.08</v>
      </c>
      <c r="I10" s="177">
        <f>ROUND(J10/$J$5,4)</f>
        <v>1090.4974999999999</v>
      </c>
      <c r="J10" s="178">
        <v>42610100</v>
      </c>
      <c r="K10" s="178">
        <f t="shared" ref="K10:K23" si="1">J10/1000</f>
        <v>42610.1</v>
      </c>
      <c r="L10" s="834"/>
      <c r="M10" s="178"/>
      <c r="N10" s="178"/>
      <c r="O10" s="177">
        <f t="shared" ref="O10:O23" si="2">ROUND(P10/$P$5,4)</f>
        <v>1093.5405000000001</v>
      </c>
      <c r="P10" s="178">
        <v>42729000</v>
      </c>
      <c r="Q10" s="178">
        <f t="shared" ref="Q10:Q23" si="3">P10/1000</f>
        <v>42729</v>
      </c>
      <c r="R10" s="177">
        <f t="shared" ref="R10:R23" si="4">ROUND(S10/$S$5,4)</f>
        <v>1135.6579999999999</v>
      </c>
      <c r="S10" s="178">
        <v>44374700</v>
      </c>
      <c r="T10" s="178">
        <f t="shared" ref="T10:T15" si="5">S10/1000</f>
        <v>44374.7</v>
      </c>
    </row>
    <row r="11" spans="1:20" x14ac:dyDescent="0.25">
      <c r="A11" s="175"/>
      <c r="B11" s="176" t="s">
        <v>630</v>
      </c>
      <c r="C11" s="177"/>
      <c r="D11" s="178"/>
      <c r="E11" s="179"/>
      <c r="F11" s="177">
        <f>ROUND(G11/$G$5,4)</f>
        <v>153.72110000000001</v>
      </c>
      <c r="G11" s="178">
        <v>6006500</v>
      </c>
      <c r="H11" s="179">
        <v>6006.5</v>
      </c>
      <c r="I11" s="177">
        <f>ROUND(J11/$J$5,4)</f>
        <v>155.37700000000001</v>
      </c>
      <c r="J11" s="178">
        <v>6071200</v>
      </c>
      <c r="K11" s="178">
        <f t="shared" si="1"/>
        <v>6071.2</v>
      </c>
      <c r="L11" s="834"/>
      <c r="M11" s="178"/>
      <c r="N11" s="178"/>
      <c r="O11" s="177">
        <f t="shared" si="2"/>
        <v>161.857</v>
      </c>
      <c r="P11" s="178">
        <v>6324400</v>
      </c>
      <c r="Q11" s="178">
        <f t="shared" si="3"/>
        <v>6324.4</v>
      </c>
      <c r="R11" s="177">
        <f t="shared" si="4"/>
        <v>168.08879999999999</v>
      </c>
      <c r="S11" s="178">
        <v>6567900</v>
      </c>
      <c r="T11" s="178">
        <f t="shared" si="5"/>
        <v>6567.9</v>
      </c>
    </row>
    <row r="12" spans="1:20" x14ac:dyDescent="0.25">
      <c r="A12" s="175"/>
      <c r="B12" s="176" t="s">
        <v>631</v>
      </c>
      <c r="C12" s="177"/>
      <c r="D12" s="178"/>
      <c r="E12" s="179"/>
      <c r="F12" s="177"/>
      <c r="G12" s="178"/>
      <c r="H12" s="179"/>
      <c r="I12" s="177">
        <f t="shared" ref="I12:I23" si="6">ROUND(J12/$J$5,4)</f>
        <v>0</v>
      </c>
      <c r="J12" s="178"/>
      <c r="K12" s="178">
        <f t="shared" si="1"/>
        <v>0</v>
      </c>
      <c r="L12" s="834"/>
      <c r="M12" s="178"/>
      <c r="N12" s="178"/>
      <c r="O12" s="177">
        <f t="shared" si="2"/>
        <v>0</v>
      </c>
      <c r="P12" s="178"/>
      <c r="Q12" s="178">
        <f t="shared" si="3"/>
        <v>0</v>
      </c>
      <c r="R12" s="177">
        <f t="shared" si="4"/>
        <v>0</v>
      </c>
      <c r="S12" s="178"/>
      <c r="T12" s="178">
        <f t="shared" si="5"/>
        <v>0</v>
      </c>
    </row>
    <row r="13" spans="1:20" x14ac:dyDescent="0.25">
      <c r="A13" s="175"/>
      <c r="B13" s="176" t="s">
        <v>632</v>
      </c>
      <c r="C13" s="177"/>
      <c r="D13" s="178"/>
      <c r="E13" s="179"/>
      <c r="F13" s="177"/>
      <c r="G13" s="178"/>
      <c r="H13" s="179"/>
      <c r="I13" s="177">
        <f>ROUND(J13/$J$5,4)</f>
        <v>504.40449999999998</v>
      </c>
      <c r="J13" s="178">
        <v>19709100</v>
      </c>
      <c r="K13" s="178">
        <f t="shared" si="1"/>
        <v>19709.099999999999</v>
      </c>
      <c r="L13" s="834"/>
      <c r="M13" s="178"/>
      <c r="N13" s="178"/>
      <c r="O13" s="177">
        <f t="shared" si="2"/>
        <v>450.79849999999999</v>
      </c>
      <c r="P13" s="178">
        <v>17614500</v>
      </c>
      <c r="Q13" s="178">
        <f t="shared" si="3"/>
        <v>17614.5</v>
      </c>
      <c r="R13" s="177">
        <f t="shared" si="4"/>
        <v>468.16039999999998</v>
      </c>
      <c r="S13" s="178">
        <v>18292900</v>
      </c>
      <c r="T13" s="178">
        <f t="shared" si="5"/>
        <v>18292.900000000001</v>
      </c>
    </row>
    <row r="14" spans="1:20" x14ac:dyDescent="0.25">
      <c r="A14" s="175"/>
      <c r="B14" s="176" t="s">
        <v>633</v>
      </c>
      <c r="C14" s="177"/>
      <c r="D14" s="178"/>
      <c r="E14" s="179"/>
      <c r="F14" s="177"/>
      <c r="G14" s="178"/>
      <c r="H14" s="179"/>
      <c r="I14" s="177">
        <f>ROUND(J14/$J$5,4)</f>
        <v>45.723500000000001</v>
      </c>
      <c r="J14" s="178">
        <v>1786600</v>
      </c>
      <c r="K14" s="178">
        <f t="shared" si="1"/>
        <v>1786.6</v>
      </c>
      <c r="L14" s="834"/>
      <c r="M14" s="178"/>
      <c r="N14" s="178"/>
      <c r="O14" s="177"/>
      <c r="P14" s="178"/>
      <c r="Q14" s="178"/>
      <c r="R14" s="177"/>
      <c r="S14" s="178"/>
      <c r="T14" s="178"/>
    </row>
    <row r="15" spans="1:20" x14ac:dyDescent="0.25">
      <c r="A15" s="175"/>
      <c r="B15" s="176" t="s">
        <v>634</v>
      </c>
      <c r="C15" s="177"/>
      <c r="D15" s="178"/>
      <c r="E15" s="179"/>
      <c r="F15" s="177"/>
      <c r="G15" s="178"/>
      <c r="H15" s="179"/>
      <c r="I15" s="177">
        <f>ROUND(J15/$J$5,4)</f>
        <v>268.41890000000001</v>
      </c>
      <c r="J15" s="178">
        <v>10488200</v>
      </c>
      <c r="K15" s="178">
        <f t="shared" si="1"/>
        <v>10488.2</v>
      </c>
      <c r="L15" s="834"/>
      <c r="M15" s="178"/>
      <c r="N15" s="178"/>
      <c r="O15" s="177">
        <f t="shared" si="2"/>
        <v>321.89179999999999</v>
      </c>
      <c r="P15" s="178">
        <v>12577600</v>
      </c>
      <c r="Q15" s="178">
        <f t="shared" si="3"/>
        <v>12577.6</v>
      </c>
      <c r="R15" s="177">
        <f t="shared" si="4"/>
        <v>470.08499999999998</v>
      </c>
      <c r="S15" s="178">
        <v>18368100</v>
      </c>
      <c r="T15" s="178">
        <f t="shared" si="5"/>
        <v>18368.099999999999</v>
      </c>
    </row>
    <row r="16" spans="1:20" s="186" customFormat="1" ht="14.25" x14ac:dyDescent="0.2">
      <c r="A16" s="182"/>
      <c r="B16" s="183" t="s">
        <v>273</v>
      </c>
      <c r="C16" s="184">
        <f>SUM(C9:C10)</f>
        <v>1380.4760384245278</v>
      </c>
      <c r="D16" s="185">
        <f t="shared" ref="D16:E16" si="7">SUM(D9:D10)</f>
        <v>53940720.725400001</v>
      </c>
      <c r="E16" s="185">
        <f t="shared" si="7"/>
        <v>53940.720725399995</v>
      </c>
      <c r="F16" s="184">
        <f>SUM(F9:F12)</f>
        <v>2168.2761</v>
      </c>
      <c r="G16" s="185">
        <f>G9+G10+G11+G12</f>
        <v>84723224.020000011</v>
      </c>
      <c r="H16" s="185">
        <f>SUM(H9:H12)</f>
        <v>84723.224019999994</v>
      </c>
      <c r="I16" s="184">
        <f t="shared" ref="I16:T16" si="8">SUM(I9:I15)</f>
        <v>2963.7765000000004</v>
      </c>
      <c r="J16" s="184">
        <f t="shared" si="8"/>
        <v>115806600</v>
      </c>
      <c r="K16" s="184">
        <f t="shared" si="8"/>
        <v>115806.59999999999</v>
      </c>
      <c r="L16" s="835"/>
      <c r="M16" s="184"/>
      <c r="N16" s="184"/>
      <c r="O16" s="184">
        <f t="shared" si="8"/>
        <v>2964.9537</v>
      </c>
      <c r="P16" s="184">
        <f t="shared" si="8"/>
        <v>115852600</v>
      </c>
      <c r="Q16" s="184">
        <f t="shared" si="8"/>
        <v>115852.6</v>
      </c>
      <c r="R16" s="184">
        <f t="shared" si="8"/>
        <v>3214.9409999999998</v>
      </c>
      <c r="S16" s="184">
        <f t="shared" si="8"/>
        <v>125620600</v>
      </c>
      <c r="T16" s="184">
        <f t="shared" si="8"/>
        <v>125620.6</v>
      </c>
    </row>
    <row r="17" spans="1:20" ht="30" x14ac:dyDescent="0.25">
      <c r="A17" s="175" t="s">
        <v>274</v>
      </c>
      <c r="B17" s="176" t="s">
        <v>275</v>
      </c>
      <c r="C17" s="177">
        <v>258.38119999999998</v>
      </c>
      <c r="D17" s="178">
        <f>C17*D5</f>
        <v>10095987.0088</v>
      </c>
      <c r="E17" s="179">
        <f t="shared" ref="E17:E41" si="9">D17/1000</f>
        <v>10095.987008800001</v>
      </c>
      <c r="F17" s="177">
        <f t="shared" ref="F17:F19" si="10">ROUND(G17/$G$5,4)</f>
        <v>268.7165</v>
      </c>
      <c r="G17" s="178">
        <v>10499828.49</v>
      </c>
      <c r="H17" s="179">
        <f t="shared" si="0"/>
        <v>10499.82849</v>
      </c>
      <c r="I17" s="177">
        <f t="shared" si="6"/>
        <v>271.60770000000002</v>
      </c>
      <c r="J17" s="178">
        <v>10612800</v>
      </c>
      <c r="K17" s="178">
        <f t="shared" si="1"/>
        <v>10612.8</v>
      </c>
      <c r="L17" s="834">
        <v>213</v>
      </c>
      <c r="M17" s="178">
        <f>I17</f>
        <v>271.60770000000002</v>
      </c>
      <c r="N17" s="178">
        <f>M17+M67</f>
        <v>390.34400000000005</v>
      </c>
      <c r="O17" s="177">
        <f>ROUND(P17/$P$5,4)</f>
        <v>282.93239999999997</v>
      </c>
      <c r="P17" s="178">
        <v>11055300</v>
      </c>
      <c r="Q17" s="178">
        <f t="shared" si="3"/>
        <v>11055.3</v>
      </c>
      <c r="R17" s="177">
        <f t="shared" si="4"/>
        <v>293.8297</v>
      </c>
      <c r="S17" s="178">
        <v>11481100</v>
      </c>
      <c r="T17" s="178">
        <f t="shared" ref="T17:T23" si="11">S17/1000</f>
        <v>11481.1</v>
      </c>
    </row>
    <row r="18" spans="1:20" x14ac:dyDescent="0.25">
      <c r="A18" s="175" t="s">
        <v>276</v>
      </c>
      <c r="B18" s="176" t="s">
        <v>277</v>
      </c>
      <c r="C18" s="177">
        <f>D18/D5</f>
        <v>158.52249936018836</v>
      </c>
      <c r="D18" s="178">
        <v>6194108.1399999997</v>
      </c>
      <c r="E18" s="179">
        <f t="shared" si="9"/>
        <v>6194.1081399999994</v>
      </c>
      <c r="F18" s="177">
        <f t="shared" si="10"/>
        <v>339.67910000000001</v>
      </c>
      <c r="G18" s="178">
        <v>13272620</v>
      </c>
      <c r="H18" s="179">
        <f t="shared" si="0"/>
        <v>13272.62</v>
      </c>
      <c r="I18" s="177">
        <f t="shared" si="6"/>
        <v>329.32900000000001</v>
      </c>
      <c r="J18" s="178">
        <v>12868200</v>
      </c>
      <c r="K18" s="178">
        <f t="shared" si="1"/>
        <v>12868.2</v>
      </c>
      <c r="L18" s="834"/>
      <c r="M18" s="178"/>
      <c r="N18" s="178"/>
      <c r="O18" s="177">
        <f t="shared" si="2"/>
        <v>330.25029999999998</v>
      </c>
      <c r="P18" s="178">
        <v>12904200</v>
      </c>
      <c r="Q18" s="178">
        <f t="shared" si="3"/>
        <v>12904.2</v>
      </c>
      <c r="R18" s="177">
        <f t="shared" si="4"/>
        <v>342.96969999999999</v>
      </c>
      <c r="S18" s="178">
        <v>13401200</v>
      </c>
      <c r="T18" s="178">
        <f t="shared" si="11"/>
        <v>13401.2</v>
      </c>
    </row>
    <row r="19" spans="1:20" x14ac:dyDescent="0.25">
      <c r="A19" s="175"/>
      <c r="B19" s="176" t="s">
        <v>630</v>
      </c>
      <c r="C19" s="177"/>
      <c r="D19" s="178"/>
      <c r="E19" s="179"/>
      <c r="F19" s="177">
        <f t="shared" si="10"/>
        <v>46.424700000000001</v>
      </c>
      <c r="G19" s="178">
        <v>1814000</v>
      </c>
      <c r="H19" s="179">
        <v>1814</v>
      </c>
      <c r="I19" s="177">
        <f t="shared" si="6"/>
        <v>46.9238</v>
      </c>
      <c r="J19" s="178">
        <v>1833500</v>
      </c>
      <c r="K19" s="178">
        <f t="shared" si="1"/>
        <v>1833.5</v>
      </c>
      <c r="L19" s="834"/>
      <c r="M19" s="178"/>
      <c r="N19" s="178"/>
      <c r="O19" s="177">
        <f t="shared" si="2"/>
        <v>48.879100000000001</v>
      </c>
      <c r="P19" s="178">
        <v>1909900</v>
      </c>
      <c r="Q19" s="178">
        <f t="shared" si="3"/>
        <v>1909.9</v>
      </c>
      <c r="R19" s="177">
        <f t="shared" si="4"/>
        <v>50.760100000000001</v>
      </c>
      <c r="S19" s="178">
        <v>1983400</v>
      </c>
      <c r="T19" s="178">
        <f t="shared" si="11"/>
        <v>1983.4</v>
      </c>
    </row>
    <row r="20" spans="1:20" x14ac:dyDescent="0.25">
      <c r="A20" s="175"/>
      <c r="B20" s="836" t="s">
        <v>635</v>
      </c>
      <c r="C20" s="177"/>
      <c r="D20" s="178"/>
      <c r="E20" s="179"/>
      <c r="F20" s="177"/>
      <c r="G20" s="178"/>
      <c r="H20" s="179"/>
      <c r="I20" s="177">
        <f t="shared" si="6"/>
        <v>0</v>
      </c>
      <c r="J20" s="178"/>
      <c r="K20" s="178">
        <f t="shared" si="1"/>
        <v>0</v>
      </c>
      <c r="L20" s="834"/>
      <c r="M20" s="178"/>
      <c r="N20" s="178"/>
      <c r="O20" s="177">
        <f t="shared" si="2"/>
        <v>0</v>
      </c>
      <c r="P20" s="178"/>
      <c r="Q20" s="178">
        <f t="shared" si="3"/>
        <v>0</v>
      </c>
      <c r="R20" s="177">
        <f t="shared" si="4"/>
        <v>0</v>
      </c>
      <c r="S20" s="178"/>
      <c r="T20" s="178">
        <f t="shared" si="11"/>
        <v>0</v>
      </c>
    </row>
    <row r="21" spans="1:20" x14ac:dyDescent="0.25">
      <c r="A21" s="175"/>
      <c r="B21" s="836" t="s">
        <v>636</v>
      </c>
      <c r="C21" s="177"/>
      <c r="D21" s="178"/>
      <c r="E21" s="179"/>
      <c r="F21" s="177"/>
      <c r="G21" s="178"/>
      <c r="H21" s="179"/>
      <c r="I21" s="177">
        <f t="shared" si="6"/>
        <v>152.3289</v>
      </c>
      <c r="J21" s="178">
        <v>5952100</v>
      </c>
      <c r="K21" s="178">
        <f t="shared" si="1"/>
        <v>5952.1</v>
      </c>
      <c r="L21" s="834"/>
      <c r="M21" s="178"/>
      <c r="N21" s="178"/>
      <c r="O21" s="177">
        <f t="shared" si="2"/>
        <v>136.14169999999999</v>
      </c>
      <c r="P21" s="178">
        <v>5319600</v>
      </c>
      <c r="Q21" s="178">
        <f t="shared" si="3"/>
        <v>5319.6</v>
      </c>
      <c r="R21" s="177">
        <f t="shared" si="4"/>
        <v>141.38560000000001</v>
      </c>
      <c r="S21" s="178">
        <v>5524500</v>
      </c>
      <c r="T21" s="178">
        <f t="shared" si="11"/>
        <v>5524.5</v>
      </c>
    </row>
    <row r="22" spans="1:20" x14ac:dyDescent="0.25">
      <c r="A22" s="175"/>
      <c r="B22" s="176" t="s">
        <v>633</v>
      </c>
      <c r="C22" s="177"/>
      <c r="D22" s="178"/>
      <c r="E22" s="179"/>
      <c r="F22" s="177"/>
      <c r="G22" s="178"/>
      <c r="H22" s="179"/>
      <c r="I22" s="177">
        <f t="shared" si="6"/>
        <v>13.809699999999999</v>
      </c>
      <c r="J22" s="178">
        <v>539600</v>
      </c>
      <c r="K22" s="178">
        <f t="shared" si="1"/>
        <v>539.6</v>
      </c>
      <c r="L22" s="834"/>
      <c r="M22" s="178"/>
      <c r="N22" s="178"/>
      <c r="O22" s="177"/>
      <c r="P22" s="178"/>
      <c r="Q22" s="178"/>
      <c r="R22" s="177"/>
      <c r="S22" s="178"/>
      <c r="T22" s="178"/>
    </row>
    <row r="23" spans="1:20" x14ac:dyDescent="0.25">
      <c r="A23" s="175"/>
      <c r="B23" s="836" t="s">
        <v>637</v>
      </c>
      <c r="C23" s="177"/>
      <c r="D23" s="178"/>
      <c r="E23" s="179"/>
      <c r="F23" s="177"/>
      <c r="G23" s="178"/>
      <c r="H23" s="179"/>
      <c r="I23" s="177">
        <f t="shared" si="6"/>
        <v>81.064099999999996</v>
      </c>
      <c r="J23" s="178">
        <v>3167500</v>
      </c>
      <c r="K23" s="178">
        <f t="shared" si="1"/>
        <v>3167.5</v>
      </c>
      <c r="L23" s="834"/>
      <c r="M23" s="178"/>
      <c r="N23" s="178"/>
      <c r="O23" s="177">
        <f t="shared" si="2"/>
        <v>97.210400000000007</v>
      </c>
      <c r="P23" s="178">
        <v>3798400</v>
      </c>
      <c r="Q23" s="178">
        <f t="shared" si="3"/>
        <v>3798.4</v>
      </c>
      <c r="R23" s="177">
        <f t="shared" si="4"/>
        <v>141.9665</v>
      </c>
      <c r="S23" s="178">
        <v>5547200</v>
      </c>
      <c r="T23" s="178">
        <f t="shared" si="11"/>
        <v>5547.2</v>
      </c>
    </row>
    <row r="24" spans="1:20" s="186" customFormat="1" ht="28.5" x14ac:dyDescent="0.2">
      <c r="A24" s="182"/>
      <c r="B24" s="183" t="s">
        <v>278</v>
      </c>
      <c r="C24" s="184">
        <f>SUM(C17:C18)</f>
        <v>416.90369936018834</v>
      </c>
      <c r="D24" s="185">
        <f t="shared" ref="D24:E24" si="12">SUM(D17:D18)</f>
        <v>16290095.148800001</v>
      </c>
      <c r="E24" s="185">
        <f t="shared" si="12"/>
        <v>16290.095148799999</v>
      </c>
      <c r="F24" s="184">
        <f>SUM(F17:F20)</f>
        <v>654.82030000000009</v>
      </c>
      <c r="G24" s="185">
        <f>G17+G18+G19+G20</f>
        <v>25586448.490000002</v>
      </c>
      <c r="H24" s="185">
        <f>SUM(H17:H19)</f>
        <v>25586.448490000002</v>
      </c>
      <c r="I24" s="184">
        <f t="shared" ref="I24:T24" si="13">SUM(I17:I23)</f>
        <v>895.06320000000005</v>
      </c>
      <c r="J24" s="184">
        <f t="shared" si="13"/>
        <v>34973700</v>
      </c>
      <c r="K24" s="184">
        <f t="shared" si="13"/>
        <v>34973.699999999997</v>
      </c>
      <c r="L24" s="835"/>
      <c r="M24" s="184"/>
      <c r="N24" s="184"/>
      <c r="O24" s="184">
        <f t="shared" si="13"/>
        <v>895.41390000000001</v>
      </c>
      <c r="P24" s="184">
        <f t="shared" si="13"/>
        <v>34987400</v>
      </c>
      <c r="Q24" s="184">
        <f t="shared" si="13"/>
        <v>34987.4</v>
      </c>
      <c r="R24" s="184">
        <f t="shared" si="13"/>
        <v>970.91159999999991</v>
      </c>
      <c r="S24" s="184">
        <f t="shared" si="13"/>
        <v>37937400</v>
      </c>
      <c r="T24" s="184">
        <f t="shared" si="13"/>
        <v>37937.4</v>
      </c>
    </row>
    <row r="25" spans="1:20" x14ac:dyDescent="0.25">
      <c r="A25" s="189"/>
      <c r="B25" s="190" t="s">
        <v>279</v>
      </c>
      <c r="C25" s="191">
        <f>C16+C24</f>
        <v>1797.3797377847161</v>
      </c>
      <c r="D25" s="192">
        <f>D16+D24</f>
        <v>70230815.874200001</v>
      </c>
      <c r="E25" s="193">
        <f t="shared" si="9"/>
        <v>70230.815874199994</v>
      </c>
      <c r="F25" s="191">
        <f>F16+F24</f>
        <v>2823.0964000000004</v>
      </c>
      <c r="G25" s="192">
        <f>G16+G24</f>
        <v>110309672.51000002</v>
      </c>
      <c r="H25" s="193">
        <f t="shared" ref="H25" si="14">G25/1000</f>
        <v>110309.67251000002</v>
      </c>
      <c r="I25" s="191">
        <f>I16+I24</f>
        <v>3858.8397000000004</v>
      </c>
      <c r="J25" s="192">
        <f>J16+J24</f>
        <v>150780300</v>
      </c>
      <c r="K25" s="193">
        <f t="shared" ref="K25" si="15">J25/1000</f>
        <v>150780.29999999999</v>
      </c>
      <c r="L25" s="837"/>
      <c r="M25" s="193"/>
      <c r="N25" s="193"/>
      <c r="O25" s="191">
        <f>O16+O24</f>
        <v>3860.3676</v>
      </c>
      <c r="P25" s="192">
        <f>P16+P24</f>
        <v>150840000</v>
      </c>
      <c r="Q25" s="193">
        <f t="shared" ref="Q25" si="16">P25/1000</f>
        <v>150840</v>
      </c>
      <c r="R25" s="191">
        <f>R16+R24</f>
        <v>4185.8526000000002</v>
      </c>
      <c r="S25" s="192">
        <f>S16+S24</f>
        <v>163558000</v>
      </c>
      <c r="T25" s="193">
        <f t="shared" ref="T25" si="17">S25/1000</f>
        <v>163558</v>
      </c>
    </row>
    <row r="26" spans="1:20" hidden="1" x14ac:dyDescent="0.25">
      <c r="A26" s="838"/>
      <c r="B26" s="839"/>
      <c r="C26" s="840"/>
      <c r="D26" s="839"/>
      <c r="E26" s="841"/>
      <c r="F26" s="840"/>
      <c r="G26" s="839">
        <f t="shared" ref="G26:T27" si="18">G10+G18</f>
        <v>57221700</v>
      </c>
      <c r="H26" s="839">
        <f t="shared" si="18"/>
        <v>57221.700000000004</v>
      </c>
      <c r="I26" s="839">
        <f t="shared" si="18"/>
        <v>1419.8264999999999</v>
      </c>
      <c r="J26" s="839">
        <f t="shared" si="18"/>
        <v>55478300</v>
      </c>
      <c r="K26" s="839">
        <f t="shared" si="18"/>
        <v>55478.3</v>
      </c>
      <c r="L26" s="842"/>
      <c r="M26" s="839"/>
      <c r="N26" s="839"/>
      <c r="O26" s="839">
        <f t="shared" si="18"/>
        <v>1423.7908</v>
      </c>
      <c r="P26" s="839">
        <f t="shared" si="18"/>
        <v>55633200</v>
      </c>
      <c r="Q26" s="839">
        <f t="shared" si="18"/>
        <v>55633.2</v>
      </c>
      <c r="R26" s="839">
        <f t="shared" si="18"/>
        <v>1478.6277</v>
      </c>
      <c r="S26" s="839">
        <f t="shared" si="18"/>
        <v>57775900</v>
      </c>
      <c r="T26" s="839">
        <f t="shared" si="18"/>
        <v>57775.899999999994</v>
      </c>
    </row>
    <row r="27" spans="1:20" hidden="1" x14ac:dyDescent="0.25">
      <c r="A27" s="838"/>
      <c r="B27" s="839"/>
      <c r="C27" s="840"/>
      <c r="D27" s="839"/>
      <c r="E27" s="841"/>
      <c r="F27" s="840"/>
      <c r="G27" s="839">
        <f t="shared" si="18"/>
        <v>7820500</v>
      </c>
      <c r="H27" s="839">
        <f t="shared" si="18"/>
        <v>7820.5</v>
      </c>
      <c r="I27" s="839">
        <f t="shared" si="18"/>
        <v>202.30080000000001</v>
      </c>
      <c r="J27" s="839">
        <f t="shared" si="18"/>
        <v>7904700</v>
      </c>
      <c r="K27" s="839">
        <f t="shared" si="18"/>
        <v>7904.7</v>
      </c>
      <c r="L27" s="842"/>
      <c r="M27" s="839"/>
      <c r="N27" s="839"/>
      <c r="O27" s="839">
        <f t="shared" si="18"/>
        <v>210.73609999999999</v>
      </c>
      <c r="P27" s="839">
        <f t="shared" si="18"/>
        <v>8234300</v>
      </c>
      <c r="Q27" s="839">
        <f t="shared" si="18"/>
        <v>8234.2999999999993</v>
      </c>
      <c r="R27" s="839">
        <f t="shared" si="18"/>
        <v>218.84889999999999</v>
      </c>
      <c r="S27" s="839">
        <f t="shared" si="18"/>
        <v>8551300</v>
      </c>
      <c r="T27" s="839">
        <f t="shared" si="18"/>
        <v>8551.2999999999993</v>
      </c>
    </row>
    <row r="28" spans="1:20" hidden="1" x14ac:dyDescent="0.25">
      <c r="A28" s="838"/>
      <c r="B28" s="843"/>
      <c r="C28" s="844"/>
      <c r="D28" s="845"/>
      <c r="E28" s="846"/>
      <c r="F28" s="844"/>
      <c r="G28" s="845">
        <f>G26+G27</f>
        <v>65042200</v>
      </c>
      <c r="H28" s="845">
        <f>H26+H27</f>
        <v>65042.200000000004</v>
      </c>
      <c r="I28" s="845"/>
      <c r="J28" s="845"/>
      <c r="K28" s="845"/>
      <c r="L28" s="847"/>
      <c r="M28" s="845"/>
      <c r="N28" s="845"/>
      <c r="O28" s="845"/>
      <c r="P28" s="845"/>
      <c r="Q28" s="848"/>
      <c r="R28" s="845"/>
      <c r="S28" s="845"/>
      <c r="T28" s="848"/>
    </row>
    <row r="29" spans="1:20" x14ac:dyDescent="0.25">
      <c r="A29" s="174" t="s">
        <v>280</v>
      </c>
      <c r="B29" s="1622" t="s">
        <v>281</v>
      </c>
      <c r="C29" s="1623"/>
      <c r="D29" s="1623"/>
      <c r="E29" s="1623"/>
      <c r="F29" s="1623"/>
      <c r="G29" s="1623"/>
      <c r="H29" s="1623"/>
      <c r="I29" s="1623"/>
      <c r="J29" s="1623"/>
      <c r="K29" s="1623">
        <f t="shared" ref="K29:K41" si="19">J29/1000</f>
        <v>0</v>
      </c>
      <c r="L29" s="1623"/>
      <c r="M29" s="1623"/>
      <c r="N29" s="1623"/>
      <c r="O29" s="1623"/>
      <c r="P29" s="1623"/>
      <c r="Q29" s="1624"/>
      <c r="R29" s="164"/>
      <c r="S29" s="164"/>
      <c r="T29" s="164"/>
    </row>
    <row r="30" spans="1:20" x14ac:dyDescent="0.25">
      <c r="A30" s="175" t="s">
        <v>274</v>
      </c>
      <c r="B30" s="194" t="s">
        <v>282</v>
      </c>
      <c r="C30" s="195"/>
      <c r="D30" s="180">
        <v>12816272</v>
      </c>
      <c r="E30" s="196">
        <f t="shared" si="9"/>
        <v>12816.272000000001</v>
      </c>
      <c r="F30" s="197"/>
      <c r="G30" s="180">
        <f>410*D5</f>
        <v>16020340</v>
      </c>
      <c r="H30" s="196">
        <f t="shared" ref="H30:H77" si="20">G30/1000</f>
        <v>16020.34</v>
      </c>
      <c r="I30" s="197"/>
      <c r="J30" s="180">
        <v>12631608</v>
      </c>
      <c r="K30" s="180">
        <f t="shared" si="19"/>
        <v>12631.608</v>
      </c>
      <c r="L30" s="849"/>
      <c r="M30" s="180"/>
      <c r="N30" s="180"/>
      <c r="O30" s="197"/>
      <c r="P30" s="180">
        <v>12816272</v>
      </c>
      <c r="Q30" s="180">
        <f t="shared" ref="Q30:Q41" si="21">P30/1000</f>
        <v>12816.272000000001</v>
      </c>
      <c r="R30" s="197"/>
      <c r="S30" s="180">
        <v>12816272</v>
      </c>
      <c r="T30" s="180">
        <f t="shared" ref="T30:T41" si="22">S30/1000</f>
        <v>12816.272000000001</v>
      </c>
    </row>
    <row r="31" spans="1:20" x14ac:dyDescent="0.25">
      <c r="A31" s="175" t="s">
        <v>276</v>
      </c>
      <c r="B31" s="194" t="s">
        <v>283</v>
      </c>
      <c r="C31" s="195"/>
      <c r="D31" s="180">
        <v>2342170.1</v>
      </c>
      <c r="E31" s="196">
        <f t="shared" si="9"/>
        <v>2342.1701000000003</v>
      </c>
      <c r="F31" s="197"/>
      <c r="G31" s="180">
        <f>D31*0.98</f>
        <v>2295326.6979999999</v>
      </c>
      <c r="H31" s="198">
        <f t="shared" si="20"/>
        <v>2295.3266979999999</v>
      </c>
      <c r="I31" s="197"/>
      <c r="J31" s="180">
        <v>2252957.2736</v>
      </c>
      <c r="K31" s="180">
        <f t="shared" si="19"/>
        <v>2252.9572736</v>
      </c>
      <c r="L31" s="849"/>
      <c r="M31" s="180"/>
      <c r="N31" s="180"/>
      <c r="O31" s="197"/>
      <c r="P31" s="180">
        <v>2342170.1</v>
      </c>
      <c r="Q31" s="180">
        <f t="shared" si="21"/>
        <v>2342.1701000000003</v>
      </c>
      <c r="R31" s="197"/>
      <c r="S31" s="180">
        <v>2342170.1</v>
      </c>
      <c r="T31" s="180">
        <f t="shared" si="22"/>
        <v>2342.1701000000003</v>
      </c>
    </row>
    <row r="32" spans="1:20" x14ac:dyDescent="0.25">
      <c r="A32" s="175" t="s">
        <v>284</v>
      </c>
      <c r="B32" s="194" t="s">
        <v>285</v>
      </c>
      <c r="C32" s="195"/>
      <c r="D32" s="180">
        <v>1410065.11</v>
      </c>
      <c r="E32" s="196">
        <f t="shared" si="9"/>
        <v>1410.06511</v>
      </c>
      <c r="F32" s="197"/>
      <c r="G32" s="180">
        <f>D32*0.8</f>
        <v>1128052.0880000002</v>
      </c>
      <c r="H32" s="198">
        <f t="shared" si="20"/>
        <v>1128.0520880000001</v>
      </c>
      <c r="I32" s="197"/>
      <c r="J32" s="180">
        <v>1389760.2572999999</v>
      </c>
      <c r="K32" s="180">
        <f t="shared" si="19"/>
        <v>1389.7602572999999</v>
      </c>
      <c r="L32" s="849"/>
      <c r="M32" s="180"/>
      <c r="N32" s="180"/>
      <c r="O32" s="197"/>
      <c r="P32" s="180">
        <v>1410065.11</v>
      </c>
      <c r="Q32" s="180">
        <f t="shared" si="21"/>
        <v>1410.06511</v>
      </c>
      <c r="R32" s="197"/>
      <c r="S32" s="180">
        <v>1410065.11</v>
      </c>
      <c r="T32" s="180">
        <f t="shared" si="22"/>
        <v>1410.06511</v>
      </c>
    </row>
    <row r="33" spans="1:26" x14ac:dyDescent="0.25">
      <c r="A33" s="199"/>
      <c r="B33" s="200" t="s">
        <v>286</v>
      </c>
      <c r="C33" s="201">
        <f>ROUND(D33/$D$5,4)</f>
        <v>424.029</v>
      </c>
      <c r="D33" s="188">
        <f>SUM(D30:D32)</f>
        <v>16568507.209999999</v>
      </c>
      <c r="E33" s="202">
        <f t="shared" si="9"/>
        <v>16568.50721</v>
      </c>
      <c r="F33" s="177">
        <f>ROUND(G33/$G$5,4)</f>
        <v>497.61270000000002</v>
      </c>
      <c r="G33" s="188">
        <f>SUM(G30:G32)</f>
        <v>19443718.785999998</v>
      </c>
      <c r="H33" s="198">
        <f t="shared" si="20"/>
        <v>19443.718785999998</v>
      </c>
      <c r="I33" s="203">
        <f>J33/$J$5</f>
        <v>416.50011595690233</v>
      </c>
      <c r="J33" s="188">
        <f>SUM(J30:J32)</f>
        <v>16274325.530900002</v>
      </c>
      <c r="K33" s="188">
        <f t="shared" si="19"/>
        <v>16274.325530900001</v>
      </c>
      <c r="L33" s="850"/>
      <c r="M33" s="188"/>
      <c r="N33" s="188"/>
      <c r="O33" s="203">
        <f>P33/$P$5</f>
        <v>424.02895045298663</v>
      </c>
      <c r="P33" s="188">
        <f>SUM(P30:P32)</f>
        <v>16568507.209999999</v>
      </c>
      <c r="Q33" s="188">
        <f t="shared" si="21"/>
        <v>16568.50721</v>
      </c>
      <c r="R33" s="203">
        <f>S33/$P$5</f>
        <v>424.02895045298663</v>
      </c>
      <c r="S33" s="188">
        <f>SUM(S30:S32)</f>
        <v>16568507.209999999</v>
      </c>
      <c r="T33" s="188">
        <f t="shared" si="22"/>
        <v>16568.50721</v>
      </c>
    </row>
    <row r="34" spans="1:26" x14ac:dyDescent="0.25">
      <c r="A34" s="199"/>
      <c r="B34" s="200" t="s">
        <v>638</v>
      </c>
      <c r="C34" s="203">
        <f t="shared" ref="C34" si="23">D34/$D$5</f>
        <v>446.93952171199879</v>
      </c>
      <c r="D34" s="188">
        <v>17463714.871374641</v>
      </c>
      <c r="E34" s="202">
        <f t="shared" si="9"/>
        <v>17463.714871374639</v>
      </c>
      <c r="F34" s="203">
        <f>G34/$D$5</f>
        <v>520.06479774161846</v>
      </c>
      <c r="G34" s="188">
        <f>G33+G37</f>
        <v>20321011.906955998</v>
      </c>
      <c r="H34" s="204">
        <f t="shared" si="20"/>
        <v>20321.011906955999</v>
      </c>
      <c r="I34" s="201">
        <f>I33+I37</f>
        <v>439.41041595690234</v>
      </c>
      <c r="J34" s="188">
        <f>J33+J37</f>
        <v>17169522.5931</v>
      </c>
      <c r="K34" s="188">
        <f t="shared" si="19"/>
        <v>17169.522593099999</v>
      </c>
      <c r="L34" s="834"/>
      <c r="M34" s="188"/>
      <c r="N34" s="188"/>
      <c r="O34" s="201">
        <f>O33+O37</f>
        <v>446.93925045298664</v>
      </c>
      <c r="P34" s="188">
        <f>P33+P37</f>
        <v>17463704.2722</v>
      </c>
      <c r="Q34" s="188">
        <f t="shared" si="21"/>
        <v>17463.704272200001</v>
      </c>
      <c r="R34" s="201">
        <f>R33+R37</f>
        <v>446.93925045298664</v>
      </c>
      <c r="S34" s="188">
        <f>S33+S37</f>
        <v>17463704.2722</v>
      </c>
      <c r="T34" s="188">
        <f t="shared" si="22"/>
        <v>17463.704272200001</v>
      </c>
    </row>
    <row r="35" spans="1:26" x14ac:dyDescent="0.25">
      <c r="A35" s="175" t="s">
        <v>287</v>
      </c>
      <c r="B35" s="194" t="s">
        <v>288</v>
      </c>
      <c r="C35" s="203">
        <f t="shared" ref="C35" si="24">ROUND(D35/$D$5,4)</f>
        <v>0</v>
      </c>
      <c r="D35" s="205"/>
      <c r="E35" s="195">
        <f t="shared" si="9"/>
        <v>0</v>
      </c>
      <c r="F35" s="203"/>
      <c r="G35" s="205"/>
      <c r="H35" s="197">
        <f t="shared" si="20"/>
        <v>0</v>
      </c>
      <c r="I35" s="203">
        <f t="shared" ref="I35:I37" si="25">J35/$J$5</f>
        <v>0</v>
      </c>
      <c r="J35" s="205"/>
      <c r="K35" s="205">
        <f t="shared" si="19"/>
        <v>0</v>
      </c>
      <c r="L35" s="851"/>
      <c r="M35" s="205"/>
      <c r="N35" s="205"/>
      <c r="O35" s="203">
        <f>P35/$P$5</f>
        <v>0</v>
      </c>
      <c r="P35" s="205"/>
      <c r="Q35" s="205">
        <f t="shared" si="21"/>
        <v>0</v>
      </c>
      <c r="R35" s="203">
        <f>S35/$P$5</f>
        <v>0</v>
      </c>
      <c r="S35" s="205"/>
      <c r="T35" s="205">
        <f t="shared" si="22"/>
        <v>0</v>
      </c>
    </row>
    <row r="36" spans="1:26" ht="44.25" x14ac:dyDescent="0.25">
      <c r="A36" s="175" t="s">
        <v>289</v>
      </c>
      <c r="B36" s="194" t="s">
        <v>290</v>
      </c>
      <c r="C36" s="177">
        <f>ROUND(D36/$D$5,4)</f>
        <v>58.831299999999999</v>
      </c>
      <c r="D36" s="178">
        <v>2298774.2162000001</v>
      </c>
      <c r="E36" s="179">
        <f>D36/1000</f>
        <v>2298.7742162</v>
      </c>
      <c r="F36" s="177">
        <f t="shared" ref="F36:F37" si="26">ROUND(G36/$G$5,4)</f>
        <v>57.654699999999998</v>
      </c>
      <c r="G36" s="178">
        <f>D36*0.98</f>
        <v>2252798.7318760003</v>
      </c>
      <c r="H36" s="206">
        <f>G36/1000</f>
        <v>2252.7987318760001</v>
      </c>
      <c r="I36" s="177">
        <f>J36/$J$5</f>
        <v>58.831300000000006</v>
      </c>
      <c r="J36" s="178">
        <v>2298774.2162000001</v>
      </c>
      <c r="K36" s="178">
        <f>J36/1000</f>
        <v>2298.7742162</v>
      </c>
      <c r="L36" s="834"/>
      <c r="M36" s="178"/>
      <c r="N36" s="178"/>
      <c r="O36" s="177">
        <f>P36/$P$5</f>
        <v>58.831300000000006</v>
      </c>
      <c r="P36" s="178">
        <v>2298774.2162000001</v>
      </c>
      <c r="Q36" s="178">
        <f t="shared" si="21"/>
        <v>2298.7742162</v>
      </c>
      <c r="R36" s="177">
        <f>S36/$P$5</f>
        <v>58.831300000000006</v>
      </c>
      <c r="S36" s="178">
        <v>2298774.2162000001</v>
      </c>
      <c r="T36" s="178">
        <f t="shared" si="22"/>
        <v>2298.7742162</v>
      </c>
    </row>
    <row r="37" spans="1:26" ht="15.75" customHeight="1" x14ac:dyDescent="0.25">
      <c r="A37" s="175" t="s">
        <v>291</v>
      </c>
      <c r="B37" s="194" t="s">
        <v>292</v>
      </c>
      <c r="C37" s="203">
        <f>ROUND(D37/$D$5,4)</f>
        <v>22.910299999999999</v>
      </c>
      <c r="D37" s="180">
        <v>895197.06219999993</v>
      </c>
      <c r="E37" s="196">
        <f t="shared" si="9"/>
        <v>895.19706219999989</v>
      </c>
      <c r="F37" s="177">
        <f t="shared" si="26"/>
        <v>22.452100000000002</v>
      </c>
      <c r="G37" s="180">
        <f>D37*0.98</f>
        <v>877293.12095599994</v>
      </c>
      <c r="H37" s="198">
        <f t="shared" si="20"/>
        <v>877.29312095599994</v>
      </c>
      <c r="I37" s="203">
        <f t="shared" si="25"/>
        <v>22.910299999999999</v>
      </c>
      <c r="J37" s="180">
        <v>895197.06219999993</v>
      </c>
      <c r="K37" s="180">
        <f t="shared" si="19"/>
        <v>895.19706219999989</v>
      </c>
      <c r="L37" s="849"/>
      <c r="M37" s="180"/>
      <c r="N37" s="180"/>
      <c r="O37" s="203">
        <f>P37/$P$5</f>
        <v>22.910299999999999</v>
      </c>
      <c r="P37" s="180">
        <v>895197.06219999993</v>
      </c>
      <c r="Q37" s="180">
        <f t="shared" si="21"/>
        <v>895.19706219999989</v>
      </c>
      <c r="R37" s="203">
        <f>S37/$P$5</f>
        <v>22.910299999999999</v>
      </c>
      <c r="S37" s="180">
        <v>895197.06219999993</v>
      </c>
      <c r="T37" s="180">
        <f t="shared" si="22"/>
        <v>895.19706219999989</v>
      </c>
    </row>
    <row r="38" spans="1:26" ht="15.75" customHeight="1" x14ac:dyDescent="0.25">
      <c r="A38" s="175" t="s">
        <v>639</v>
      </c>
      <c r="B38" s="194" t="s">
        <v>331</v>
      </c>
      <c r="C38" s="203"/>
      <c r="D38" s="180"/>
      <c r="E38" s="196"/>
      <c r="F38" s="177"/>
      <c r="G38" s="180"/>
      <c r="H38" s="198"/>
      <c r="I38" s="203">
        <f>ROUND(J38/$J$5,4)</f>
        <v>41.424900000000001</v>
      </c>
      <c r="J38" s="180">
        <v>1618637.8929999999</v>
      </c>
      <c r="K38" s="180">
        <f t="shared" si="19"/>
        <v>1618.6378929999998</v>
      </c>
      <c r="L38" s="849"/>
      <c r="M38" s="180"/>
      <c r="N38" s="180"/>
      <c r="O38" s="203">
        <f>P38/$P$5</f>
        <v>41.424934560065516</v>
      </c>
      <c r="P38" s="180">
        <f>J38</f>
        <v>1618637.8929999999</v>
      </c>
      <c r="Q38" s="180">
        <f t="shared" si="21"/>
        <v>1618.6378929999998</v>
      </c>
      <c r="R38" s="203">
        <f>S38/$P$5</f>
        <v>41.424934560065516</v>
      </c>
      <c r="S38" s="180">
        <f>P38</f>
        <v>1618637.8929999999</v>
      </c>
      <c r="T38" s="180">
        <f t="shared" si="22"/>
        <v>1618.6378929999998</v>
      </c>
    </row>
    <row r="39" spans="1:26" s="186" customFormat="1" ht="15.75" customHeight="1" x14ac:dyDescent="0.2">
      <c r="A39" s="175"/>
      <c r="B39" s="200" t="s">
        <v>293</v>
      </c>
      <c r="C39" s="203">
        <f>ROUND(D39/$D$5,4)</f>
        <v>81.741600000000005</v>
      </c>
      <c r="D39" s="188">
        <f>SUM(D36:D37)</f>
        <v>3193971.2784000002</v>
      </c>
      <c r="E39" s="202">
        <f t="shared" si="9"/>
        <v>3193.9712784000003</v>
      </c>
      <c r="F39" s="177">
        <f>ROUND(G39/$G$5,4)</f>
        <v>80.106800000000007</v>
      </c>
      <c r="G39" s="188">
        <f>SUM(G36:G37)</f>
        <v>3130091.8528320002</v>
      </c>
      <c r="H39" s="207">
        <f t="shared" si="20"/>
        <v>3130.0918528320003</v>
      </c>
      <c r="I39" s="201">
        <f>I36+I38</f>
        <v>100.25620000000001</v>
      </c>
      <c r="J39" s="188">
        <f>J36+J38</f>
        <v>3917412.1091999998</v>
      </c>
      <c r="K39" s="188">
        <f>J39/1000</f>
        <v>3917.4121092</v>
      </c>
      <c r="L39" s="834"/>
      <c r="M39" s="188"/>
      <c r="N39" s="188"/>
      <c r="O39" s="201">
        <f>O36+O38</f>
        <v>100.25623456006552</v>
      </c>
      <c r="P39" s="188">
        <f>P36+P38</f>
        <v>3917412.1091999998</v>
      </c>
      <c r="Q39" s="188">
        <f t="shared" si="21"/>
        <v>3917.4121092</v>
      </c>
      <c r="R39" s="201">
        <f>R36+R38</f>
        <v>100.25623456006552</v>
      </c>
      <c r="S39" s="188">
        <f>S36+S38</f>
        <v>3917412.1091999998</v>
      </c>
      <c r="T39" s="188">
        <f t="shared" si="22"/>
        <v>3917.4121092</v>
      </c>
    </row>
    <row r="40" spans="1:26" s="213" customFormat="1" ht="15.75" customHeight="1" x14ac:dyDescent="0.25">
      <c r="A40" s="175"/>
      <c r="B40" s="208" t="s">
        <v>294</v>
      </c>
      <c r="C40" s="209">
        <f>C39+C33</f>
        <v>505.7706</v>
      </c>
      <c r="D40" s="210">
        <f>D33+D39</f>
        <v>19762478.488399997</v>
      </c>
      <c r="E40" s="211">
        <f>D40/1000</f>
        <v>19762.478488399996</v>
      </c>
      <c r="F40" s="212">
        <f>F33+F39</f>
        <v>577.71950000000004</v>
      </c>
      <c r="G40" s="210">
        <f>G33+G39</f>
        <v>22573810.638831999</v>
      </c>
      <c r="H40" s="211">
        <f t="shared" si="20"/>
        <v>22573.810638831997</v>
      </c>
      <c r="I40" s="209">
        <f>I34+I39</f>
        <v>539.66661595690232</v>
      </c>
      <c r="J40" s="210">
        <f>J34+J39</f>
        <v>21086934.702300001</v>
      </c>
      <c r="K40" s="210">
        <f>J40/1000</f>
        <v>21086.934702300001</v>
      </c>
      <c r="L40" s="834">
        <v>340</v>
      </c>
      <c r="M40" s="178">
        <f>I40</f>
        <v>539.66661595690232</v>
      </c>
      <c r="N40" s="178">
        <f>M40</f>
        <v>539.66661595690232</v>
      </c>
      <c r="O40" s="209">
        <f>O39+O34</f>
        <v>547.19548501305212</v>
      </c>
      <c r="P40" s="210">
        <f>P34+P39</f>
        <v>21381116.3814</v>
      </c>
      <c r="Q40" s="210">
        <f t="shared" si="21"/>
        <v>21381.116381399999</v>
      </c>
      <c r="R40" s="209">
        <f>R39+R34</f>
        <v>547.19548501305212</v>
      </c>
      <c r="S40" s="210">
        <f>S34+S39</f>
        <v>21381116.3814</v>
      </c>
      <c r="T40" s="210">
        <f t="shared" si="22"/>
        <v>21381.116381399999</v>
      </c>
    </row>
    <row r="41" spans="1:26" ht="15.75" customHeight="1" x14ac:dyDescent="0.25">
      <c r="A41" s="214"/>
      <c r="B41" s="215" t="s">
        <v>295</v>
      </c>
      <c r="C41" s="216">
        <f>C40+C25</f>
        <v>2303.1503377847162</v>
      </c>
      <c r="D41" s="215">
        <f>D25+D40</f>
        <v>89993294.362599999</v>
      </c>
      <c r="E41" s="217">
        <f t="shared" si="9"/>
        <v>89993.294362600005</v>
      </c>
      <c r="F41" s="216">
        <f>F40+F25</f>
        <v>3400.8159000000005</v>
      </c>
      <c r="G41" s="215">
        <f>G25+G40</f>
        <v>132883483.14883202</v>
      </c>
      <c r="H41" s="217">
        <f>G41/1000</f>
        <v>132883.48314883202</v>
      </c>
      <c r="I41" s="216">
        <f>I40+I25</f>
        <v>4398.5063159569027</v>
      </c>
      <c r="J41" s="215">
        <f>J25+J40</f>
        <v>171867234.70230001</v>
      </c>
      <c r="K41" s="215">
        <f t="shared" si="19"/>
        <v>171867.23470230002</v>
      </c>
      <c r="L41" s="852"/>
      <c r="M41" s="215"/>
      <c r="N41" s="215"/>
      <c r="O41" s="216">
        <f>O40+O25</f>
        <v>4407.5630850130519</v>
      </c>
      <c r="P41" s="215">
        <f>P25+P40</f>
        <v>172221116.38139999</v>
      </c>
      <c r="Q41" s="215">
        <f t="shared" si="21"/>
        <v>172221.1163814</v>
      </c>
      <c r="R41" s="216">
        <f>R40+R25</f>
        <v>4733.0480850130525</v>
      </c>
      <c r="S41" s="215">
        <f>S25+S40</f>
        <v>184939116.38139999</v>
      </c>
      <c r="T41" s="215">
        <f t="shared" si="22"/>
        <v>184939.1163814</v>
      </c>
      <c r="U41" s="169"/>
      <c r="V41" s="169"/>
      <c r="W41" s="169"/>
      <c r="X41" s="169"/>
      <c r="Y41" s="169"/>
      <c r="Z41" s="169"/>
    </row>
    <row r="42" spans="1:26" s="219" customFormat="1" ht="18.75" customHeight="1" x14ac:dyDescent="0.25">
      <c r="A42" s="218" t="s">
        <v>296</v>
      </c>
      <c r="B42" s="1625" t="s">
        <v>297</v>
      </c>
      <c r="C42" s="1626"/>
      <c r="D42" s="1626"/>
      <c r="E42" s="1626"/>
      <c r="F42" s="1626"/>
      <c r="G42" s="1626"/>
      <c r="H42" s="1626"/>
      <c r="I42" s="1626"/>
      <c r="J42" s="1626"/>
      <c r="K42" s="1626"/>
      <c r="L42" s="1626"/>
      <c r="M42" s="1626"/>
      <c r="N42" s="1626"/>
      <c r="O42" s="1626"/>
      <c r="P42" s="1626"/>
      <c r="Q42" s="1627"/>
      <c r="R42" s="169"/>
      <c r="S42" s="246"/>
      <c r="T42" s="169"/>
      <c r="U42" s="169"/>
      <c r="V42" s="169"/>
      <c r="W42" s="169"/>
      <c r="X42" s="169"/>
      <c r="Y42" s="169"/>
      <c r="Z42" s="169"/>
    </row>
    <row r="43" spans="1:26" s="219" customFormat="1" ht="20.25" customHeight="1" x14ac:dyDescent="0.25">
      <c r="A43" s="175" t="s">
        <v>298</v>
      </c>
      <c r="B43" s="1622" t="s">
        <v>299</v>
      </c>
      <c r="C43" s="1623"/>
      <c r="D43" s="1623"/>
      <c r="E43" s="1623"/>
      <c r="F43" s="1623"/>
      <c r="G43" s="1623"/>
      <c r="H43" s="1623"/>
      <c r="I43" s="1623"/>
      <c r="J43" s="1623"/>
      <c r="K43" s="1623"/>
      <c r="L43" s="1623"/>
      <c r="M43" s="1623"/>
      <c r="N43" s="1623"/>
      <c r="O43" s="1623"/>
      <c r="P43" s="1623"/>
      <c r="Q43" s="1624"/>
      <c r="R43" s="169"/>
      <c r="S43" s="169"/>
      <c r="T43" s="169"/>
      <c r="U43" s="169"/>
      <c r="V43" s="169"/>
      <c r="W43" s="169"/>
      <c r="X43" s="169"/>
      <c r="Y43" s="169"/>
      <c r="Z43" s="169"/>
    </row>
    <row r="44" spans="1:26" s="219" customFormat="1" ht="15.75" customHeight="1" x14ac:dyDescent="0.25">
      <c r="A44" s="175" t="s">
        <v>300</v>
      </c>
      <c r="B44" s="194" t="s">
        <v>301</v>
      </c>
      <c r="C44" s="203">
        <f>D44/$D$5</f>
        <v>110.11466883349543</v>
      </c>
      <c r="D44" s="180">
        <v>4302620.57</v>
      </c>
      <c r="E44" s="196">
        <f t="shared" ref="E44:E50" si="27">D44/1000</f>
        <v>4302.62057</v>
      </c>
      <c r="F44" s="177">
        <f t="shared" ref="F44:F49" si="28">ROUND(G44/$G$5,4)</f>
        <v>107.91249999999999</v>
      </c>
      <c r="G44" s="180">
        <v>4216574.43</v>
      </c>
      <c r="H44" s="198">
        <f t="shared" si="20"/>
        <v>4216.5744299999997</v>
      </c>
      <c r="I44" s="221">
        <f>J44/$J$5</f>
        <v>110.11466883349543</v>
      </c>
      <c r="J44" s="180">
        <v>4302620.57</v>
      </c>
      <c r="K44" s="180">
        <f>J44/1000</f>
        <v>4302.62057</v>
      </c>
      <c r="L44" s="849"/>
      <c r="M44" s="180"/>
      <c r="N44" s="180"/>
      <c r="O44" s="221">
        <f>P44/$P$5</f>
        <v>110.11466883349543</v>
      </c>
      <c r="P44" s="180">
        <v>4302620.57</v>
      </c>
      <c r="Q44" s="180">
        <f>P44/1000</f>
        <v>4302.62057</v>
      </c>
      <c r="R44" s="221">
        <f>S44/$P$5</f>
        <v>110.11466883349543</v>
      </c>
      <c r="S44" s="180">
        <v>4302620.57</v>
      </c>
      <c r="T44" s="180">
        <f>S44/1000</f>
        <v>4302.62057</v>
      </c>
      <c r="U44" s="169"/>
      <c r="V44" s="169"/>
      <c r="W44" s="169"/>
      <c r="X44" s="169"/>
      <c r="Y44" s="169"/>
      <c r="Z44" s="169"/>
    </row>
    <row r="45" spans="1:26" s="219" customFormat="1" ht="15.75" customHeight="1" x14ac:dyDescent="0.25">
      <c r="A45" s="175" t="s">
        <v>302</v>
      </c>
      <c r="B45" s="194" t="s">
        <v>303</v>
      </c>
      <c r="C45" s="203">
        <f>D45/$D$5</f>
        <v>125.77523289143677</v>
      </c>
      <c r="D45" s="180">
        <v>4914541.45</v>
      </c>
      <c r="E45" s="196">
        <f t="shared" si="27"/>
        <v>4914.5414500000006</v>
      </c>
      <c r="F45" s="177">
        <f t="shared" si="28"/>
        <v>123.2597</v>
      </c>
      <c r="G45" s="180">
        <v>4816248.6399999997</v>
      </c>
      <c r="H45" s="198">
        <f t="shared" si="20"/>
        <v>4816.2486399999998</v>
      </c>
      <c r="I45" s="221">
        <f>J45/$J$5</f>
        <v>125.77523289143677</v>
      </c>
      <c r="J45" s="180">
        <v>4914541.45</v>
      </c>
      <c r="K45" s="180">
        <f t="shared" ref="K45:K64" si="29">J45/1000</f>
        <v>4914.5414500000006</v>
      </c>
      <c r="L45" s="849"/>
      <c r="M45" s="180"/>
      <c r="N45" s="180"/>
      <c r="O45" s="221">
        <f>P45/$P$5</f>
        <v>125.77523289143677</v>
      </c>
      <c r="P45" s="180">
        <v>4914541.45</v>
      </c>
      <c r="Q45" s="180">
        <f t="shared" ref="Q45:Q50" si="30">P45/1000</f>
        <v>4914.5414500000006</v>
      </c>
      <c r="R45" s="221">
        <f>S45/$P$5</f>
        <v>125.77523289143677</v>
      </c>
      <c r="S45" s="180">
        <v>4914541.45</v>
      </c>
      <c r="T45" s="180">
        <f t="shared" ref="T45" si="31">S45/1000</f>
        <v>4914.5414500000006</v>
      </c>
      <c r="U45" s="169"/>
      <c r="V45" s="169"/>
      <c r="W45" s="169"/>
      <c r="X45" s="169"/>
      <c r="Y45" s="169"/>
      <c r="Z45" s="169"/>
    </row>
    <row r="46" spans="1:26" s="219" customFormat="1" ht="30" x14ac:dyDescent="0.25">
      <c r="A46" s="175" t="s">
        <v>304</v>
      </c>
      <c r="B46" s="194" t="s">
        <v>305</v>
      </c>
      <c r="C46" s="203">
        <f t="shared" ref="C46:C48" si="32">D46/$D$5</f>
        <v>0</v>
      </c>
      <c r="D46" s="180">
        <v>0</v>
      </c>
      <c r="E46" s="196">
        <f t="shared" si="27"/>
        <v>0</v>
      </c>
      <c r="F46" s="177">
        <f t="shared" si="28"/>
        <v>0</v>
      </c>
      <c r="G46" s="180">
        <v>0</v>
      </c>
      <c r="H46" s="198">
        <f>G46/1000</f>
        <v>0</v>
      </c>
      <c r="I46" s="221">
        <f>J46/$J$5</f>
        <v>0</v>
      </c>
      <c r="J46" s="180">
        <v>0</v>
      </c>
      <c r="K46" s="180">
        <f t="shared" si="29"/>
        <v>0</v>
      </c>
      <c r="L46" s="849"/>
      <c r="M46" s="180"/>
      <c r="N46" s="180"/>
      <c r="O46" s="221">
        <f t="shared" ref="O46:O48" si="33">P46/$P$5</f>
        <v>0</v>
      </c>
      <c r="P46" s="180">
        <v>0</v>
      </c>
      <c r="Q46" s="180">
        <f>P46/1000</f>
        <v>0</v>
      </c>
      <c r="R46" s="221">
        <f t="shared" ref="R46:R48" si="34">S46/$P$5</f>
        <v>0</v>
      </c>
      <c r="S46" s="180">
        <v>0</v>
      </c>
      <c r="T46" s="180">
        <f>S46/1000</f>
        <v>0</v>
      </c>
      <c r="U46" s="169"/>
      <c r="V46" s="169"/>
      <c r="W46" s="169"/>
      <c r="X46" s="169"/>
      <c r="Y46" s="169"/>
      <c r="Z46" s="169"/>
    </row>
    <row r="47" spans="1:26" s="219" customFormat="1" ht="15.75" customHeight="1" x14ac:dyDescent="0.25">
      <c r="A47" s="175" t="s">
        <v>306</v>
      </c>
      <c r="B47" s="194" t="s">
        <v>307</v>
      </c>
      <c r="C47" s="203">
        <f t="shared" si="32"/>
        <v>0</v>
      </c>
      <c r="D47" s="180">
        <v>0</v>
      </c>
      <c r="E47" s="196">
        <f t="shared" si="27"/>
        <v>0</v>
      </c>
      <c r="F47" s="177">
        <f t="shared" si="28"/>
        <v>0</v>
      </c>
      <c r="G47" s="180">
        <v>0</v>
      </c>
      <c r="H47" s="198">
        <f t="shared" ref="H47:H48" si="35">G47/1000</f>
        <v>0</v>
      </c>
      <c r="I47" s="221">
        <f t="shared" ref="I47:I48" si="36">J47/$J$5</f>
        <v>0</v>
      </c>
      <c r="J47" s="180">
        <v>0</v>
      </c>
      <c r="K47" s="180">
        <f t="shared" si="29"/>
        <v>0</v>
      </c>
      <c r="L47" s="849"/>
      <c r="M47" s="180"/>
      <c r="N47" s="180"/>
      <c r="O47" s="221">
        <f t="shared" si="33"/>
        <v>0</v>
      </c>
      <c r="P47" s="180">
        <v>0</v>
      </c>
      <c r="Q47" s="180">
        <f t="shared" ref="Q47:Q48" si="37">P47/1000</f>
        <v>0</v>
      </c>
      <c r="R47" s="221">
        <f t="shared" si="34"/>
        <v>0</v>
      </c>
      <c r="S47" s="180">
        <v>0</v>
      </c>
      <c r="T47" s="180">
        <f t="shared" ref="T47:T50" si="38">S47/1000</f>
        <v>0</v>
      </c>
      <c r="U47" s="169"/>
      <c r="V47" s="169"/>
      <c r="W47" s="169"/>
      <c r="X47" s="169"/>
      <c r="Y47" s="169"/>
      <c r="Z47" s="169"/>
    </row>
    <row r="48" spans="1:26" s="219" customFormat="1" ht="15.75" customHeight="1" x14ac:dyDescent="0.25">
      <c r="A48" s="175" t="s">
        <v>308</v>
      </c>
      <c r="B48" s="194" t="s">
        <v>309</v>
      </c>
      <c r="C48" s="203">
        <f t="shared" si="32"/>
        <v>0</v>
      </c>
      <c r="D48" s="180">
        <v>0</v>
      </c>
      <c r="E48" s="196">
        <f t="shared" si="27"/>
        <v>0</v>
      </c>
      <c r="F48" s="177">
        <f t="shared" si="28"/>
        <v>0</v>
      </c>
      <c r="G48" s="180">
        <v>0</v>
      </c>
      <c r="H48" s="198">
        <f t="shared" si="35"/>
        <v>0</v>
      </c>
      <c r="I48" s="221">
        <f t="shared" si="36"/>
        <v>0</v>
      </c>
      <c r="J48" s="180">
        <v>0</v>
      </c>
      <c r="K48" s="180">
        <f t="shared" si="29"/>
        <v>0</v>
      </c>
      <c r="L48" s="849"/>
      <c r="M48" s="180"/>
      <c r="N48" s="180"/>
      <c r="O48" s="221">
        <f t="shared" si="33"/>
        <v>0</v>
      </c>
      <c r="P48" s="180">
        <v>0</v>
      </c>
      <c r="Q48" s="180">
        <f t="shared" si="37"/>
        <v>0</v>
      </c>
      <c r="R48" s="221">
        <f t="shared" si="34"/>
        <v>0</v>
      </c>
      <c r="S48" s="180">
        <v>0</v>
      </c>
      <c r="T48" s="180">
        <f t="shared" si="38"/>
        <v>0</v>
      </c>
      <c r="U48" s="169"/>
      <c r="V48" s="169"/>
      <c r="W48" s="169"/>
      <c r="X48" s="169"/>
      <c r="Y48" s="169"/>
      <c r="Z48" s="169"/>
    </row>
    <row r="49" spans="1:26" s="219" customFormat="1" ht="21" customHeight="1" x14ac:dyDescent="0.25">
      <c r="A49" s="175" t="s">
        <v>310</v>
      </c>
      <c r="B49" s="194" t="s">
        <v>311</v>
      </c>
      <c r="C49" s="203">
        <f>D49/$D$5</f>
        <v>29.662058913855763</v>
      </c>
      <c r="D49" s="180">
        <v>1159015.29</v>
      </c>
      <c r="E49" s="196">
        <f t="shared" si="27"/>
        <v>1159.01529</v>
      </c>
      <c r="F49" s="177">
        <f t="shared" si="28"/>
        <v>29.0687</v>
      </c>
      <c r="G49" s="180">
        <v>1135830.69</v>
      </c>
      <c r="H49" s="222">
        <f t="shared" si="20"/>
        <v>1135.83069</v>
      </c>
      <c r="I49" s="223">
        <f>J49/J5</f>
        <v>29.662058913855763</v>
      </c>
      <c r="J49" s="180">
        <v>1159015.29</v>
      </c>
      <c r="K49" s="180">
        <f t="shared" si="29"/>
        <v>1159.01529</v>
      </c>
      <c r="L49" s="849"/>
      <c r="M49" s="180"/>
      <c r="N49" s="180"/>
      <c r="O49" s="221">
        <f>P49/$P$5</f>
        <v>29.662058913855763</v>
      </c>
      <c r="P49" s="180">
        <v>1159015.29</v>
      </c>
      <c r="Q49" s="180">
        <f t="shared" si="30"/>
        <v>1159.01529</v>
      </c>
      <c r="R49" s="221">
        <f>S49/$P$5</f>
        <v>29.662058913855763</v>
      </c>
      <c r="S49" s="180">
        <v>1159015.29</v>
      </c>
      <c r="T49" s="180">
        <f t="shared" si="38"/>
        <v>1159.01529</v>
      </c>
      <c r="U49" s="169"/>
      <c r="V49" s="169"/>
      <c r="W49" s="169"/>
      <c r="X49" s="169"/>
      <c r="Y49" s="169"/>
      <c r="Z49" s="169"/>
    </row>
    <row r="50" spans="1:26" s="219" customFormat="1" ht="15.75" customHeight="1" x14ac:dyDescent="0.25">
      <c r="A50" s="175"/>
      <c r="B50" s="200" t="s">
        <v>312</v>
      </c>
      <c r="C50" s="209">
        <f>D50/$D$5</f>
        <v>265.55196063878793</v>
      </c>
      <c r="D50" s="224">
        <f>SUM(D44:D49)</f>
        <v>10376177.309999999</v>
      </c>
      <c r="E50" s="225">
        <f t="shared" si="27"/>
        <v>10376.177309999999</v>
      </c>
      <c r="F50" s="209">
        <f>G50/$G$5</f>
        <v>260.24092132876081</v>
      </c>
      <c r="G50" s="224">
        <f>G44+G45+G49</f>
        <v>10168653.76</v>
      </c>
      <c r="H50" s="225">
        <f t="shared" si="20"/>
        <v>10168.653759999999</v>
      </c>
      <c r="I50" s="209">
        <f>C50</f>
        <v>265.55196063878793</v>
      </c>
      <c r="J50" s="224">
        <f>SUM(J44:J49)</f>
        <v>10376177.309999999</v>
      </c>
      <c r="K50" s="224">
        <f t="shared" si="29"/>
        <v>10376.177309999999</v>
      </c>
      <c r="L50" s="834">
        <v>223</v>
      </c>
      <c r="M50" s="178">
        <f>I50</f>
        <v>265.55196063878793</v>
      </c>
      <c r="N50" s="178">
        <f>M50</f>
        <v>265.55196063878793</v>
      </c>
      <c r="O50" s="209">
        <f>P50/P5</f>
        <v>265.55196063878793</v>
      </c>
      <c r="P50" s="224">
        <f>SUM(P44:P49)</f>
        <v>10376177.309999999</v>
      </c>
      <c r="Q50" s="224">
        <f t="shared" si="30"/>
        <v>10376.177309999999</v>
      </c>
      <c r="R50" s="209">
        <f>S50/S5</f>
        <v>265.55196063878793</v>
      </c>
      <c r="S50" s="224">
        <f>SUM(S44:S49)</f>
        <v>10376177.309999999</v>
      </c>
      <c r="T50" s="224">
        <f t="shared" si="38"/>
        <v>10376.177309999999</v>
      </c>
      <c r="U50" s="169"/>
      <c r="V50" s="169"/>
      <c r="W50" s="169"/>
      <c r="X50" s="169"/>
      <c r="Y50" s="169"/>
      <c r="Z50" s="169"/>
    </row>
    <row r="51" spans="1:26" ht="23.25" customHeight="1" x14ac:dyDescent="0.25">
      <c r="A51" s="218" t="s">
        <v>313</v>
      </c>
      <c r="B51" s="1622" t="s">
        <v>314</v>
      </c>
      <c r="C51" s="1623"/>
      <c r="D51" s="1623"/>
      <c r="E51" s="1623"/>
      <c r="F51" s="1623"/>
      <c r="G51" s="1623"/>
      <c r="H51" s="1623"/>
      <c r="I51" s="1623"/>
      <c r="J51" s="1623"/>
      <c r="K51" s="1623">
        <f>J51/1000</f>
        <v>0</v>
      </c>
      <c r="L51" s="1623"/>
      <c r="M51" s="1623"/>
      <c r="N51" s="1623"/>
      <c r="O51" s="1623"/>
      <c r="P51" s="1623"/>
      <c r="Q51" s="1624"/>
      <c r="R51" s="164"/>
      <c r="S51" s="164"/>
      <c r="T51" s="164"/>
    </row>
    <row r="52" spans="1:26" x14ac:dyDescent="0.25">
      <c r="A52" s="175" t="s">
        <v>315</v>
      </c>
      <c r="B52" s="226" t="s">
        <v>316</v>
      </c>
      <c r="C52" s="227">
        <f>D52/$D$5</f>
        <v>67.163957874801667</v>
      </c>
      <c r="D52" s="180">
        <v>2624364.4900000002</v>
      </c>
      <c r="E52" s="196">
        <f t="shared" ref="E52:E54" si="39">D52/1000</f>
        <v>2624.3644900000004</v>
      </c>
      <c r="F52" s="177">
        <f t="shared" ref="F52:F53" si="40">ROUND(G52/$G$5,4)</f>
        <v>65.820700000000002</v>
      </c>
      <c r="G52" s="180">
        <f>D52*0.98</f>
        <v>2571877.2002000003</v>
      </c>
      <c r="H52" s="196">
        <f>G52/1000</f>
        <v>2571.8772002000005</v>
      </c>
      <c r="I52" s="203">
        <f>J52/$J$5</f>
        <v>67.163957874801667</v>
      </c>
      <c r="J52" s="180">
        <v>2624364.4900000002</v>
      </c>
      <c r="K52" s="180">
        <f>J52/1000</f>
        <v>2624.3644900000004</v>
      </c>
      <c r="L52" s="849"/>
      <c r="M52" s="180"/>
      <c r="N52" s="180"/>
      <c r="O52" s="203">
        <f>P52/$P$5</f>
        <v>67.163957874801667</v>
      </c>
      <c r="P52" s="180">
        <v>2624364.4900000002</v>
      </c>
      <c r="Q52" s="180">
        <f t="shared" ref="Q52:Q54" si="41">P52/1000</f>
        <v>2624.3644900000004</v>
      </c>
      <c r="R52" s="203">
        <f>S52/$P$5</f>
        <v>67.163957874801667</v>
      </c>
      <c r="S52" s="180">
        <v>2624364.4900000002</v>
      </c>
      <c r="T52" s="180">
        <f t="shared" ref="T52:T54" si="42">S52/1000</f>
        <v>2624.3644900000004</v>
      </c>
    </row>
    <row r="53" spans="1:26" x14ac:dyDescent="0.25">
      <c r="A53" s="175" t="s">
        <v>317</v>
      </c>
      <c r="B53" s="194" t="s">
        <v>318</v>
      </c>
      <c r="C53" s="227">
        <f>D53/$D$5</f>
        <v>1.1091682448687106</v>
      </c>
      <c r="D53" s="180">
        <v>43339.64</v>
      </c>
      <c r="E53" s="196">
        <f t="shared" si="39"/>
        <v>43.339640000000003</v>
      </c>
      <c r="F53" s="177">
        <f t="shared" si="40"/>
        <v>1.087</v>
      </c>
      <c r="G53" s="180">
        <f>D53*0.98</f>
        <v>42472.847199999997</v>
      </c>
      <c r="H53" s="196">
        <f>G53/1000</f>
        <v>42.472847199999997</v>
      </c>
      <c r="I53" s="203">
        <f>J53/$J$5</f>
        <v>1.1091682448687106</v>
      </c>
      <c r="J53" s="180">
        <v>43339.64</v>
      </c>
      <c r="K53" s="180">
        <f>J53/1000</f>
        <v>43.339640000000003</v>
      </c>
      <c r="L53" s="849"/>
      <c r="M53" s="180"/>
      <c r="N53" s="180"/>
      <c r="O53" s="203">
        <f>P53/$P$5</f>
        <v>1.1091682448687106</v>
      </c>
      <c r="P53" s="180">
        <v>43339.64</v>
      </c>
      <c r="Q53" s="180">
        <f t="shared" si="41"/>
        <v>43.339640000000003</v>
      </c>
      <c r="R53" s="203">
        <f>S53/$P$5</f>
        <v>1.1091682448687106</v>
      </c>
      <c r="S53" s="180">
        <v>43339.64</v>
      </c>
      <c r="T53" s="180">
        <f t="shared" si="42"/>
        <v>43.339640000000003</v>
      </c>
    </row>
    <row r="54" spans="1:26" x14ac:dyDescent="0.25">
      <c r="A54" s="175"/>
      <c r="B54" s="200" t="s">
        <v>319</v>
      </c>
      <c r="C54" s="209">
        <f>D54/D5</f>
        <v>68.273126375595027</v>
      </c>
      <c r="D54" s="224">
        <v>2667704.14</v>
      </c>
      <c r="E54" s="225">
        <f t="shared" si="39"/>
        <v>2667.7041400000003</v>
      </c>
      <c r="F54" s="177">
        <f>ROUND(G54/$G$5,4)</f>
        <v>66.907700000000006</v>
      </c>
      <c r="G54" s="224">
        <f>SUM(G52:G53)</f>
        <v>2614350.0474000005</v>
      </c>
      <c r="H54" s="225">
        <f>G54/1000</f>
        <v>2614.3500474000007</v>
      </c>
      <c r="I54" s="209">
        <f>C54</f>
        <v>68.273126375595027</v>
      </c>
      <c r="J54" s="224">
        <f>SUM(J52:J53)</f>
        <v>2667704.1300000004</v>
      </c>
      <c r="K54" s="224">
        <f>J54/1000</f>
        <v>2667.7041300000005</v>
      </c>
      <c r="L54" s="834"/>
      <c r="M54" s="224"/>
      <c r="N54" s="224"/>
      <c r="O54" s="209">
        <f>P54/P5</f>
        <v>68.27312611967038</v>
      </c>
      <c r="P54" s="224">
        <f>SUM(P52:P53)</f>
        <v>2667704.1300000004</v>
      </c>
      <c r="Q54" s="224">
        <f t="shared" si="41"/>
        <v>2667.7041300000005</v>
      </c>
      <c r="R54" s="209">
        <f>S54/S5</f>
        <v>68.27312611967038</v>
      </c>
      <c r="S54" s="224">
        <f>SUM(S52:S53)</f>
        <v>2667704.1300000004</v>
      </c>
      <c r="T54" s="224">
        <f t="shared" si="42"/>
        <v>2667.7041300000005</v>
      </c>
    </row>
    <row r="55" spans="1:26" ht="20.25" customHeight="1" x14ac:dyDescent="0.25">
      <c r="A55" s="218" t="s">
        <v>320</v>
      </c>
      <c r="B55" s="1622" t="s">
        <v>321</v>
      </c>
      <c r="C55" s="1623"/>
      <c r="D55" s="1623"/>
      <c r="E55" s="1623"/>
      <c r="F55" s="1623"/>
      <c r="G55" s="1623"/>
      <c r="H55" s="1623"/>
      <c r="I55" s="1623"/>
      <c r="J55" s="1623"/>
      <c r="K55" s="1623"/>
      <c r="L55" s="1623"/>
      <c r="M55" s="1623"/>
      <c r="N55" s="1623"/>
      <c r="O55" s="1623"/>
      <c r="P55" s="1623"/>
      <c r="Q55" s="1624"/>
      <c r="R55" s="164"/>
      <c r="S55" s="164"/>
      <c r="T55" s="164"/>
    </row>
    <row r="56" spans="1:26" x14ac:dyDescent="0.25">
      <c r="A56" s="175" t="s">
        <v>322</v>
      </c>
      <c r="B56" s="194" t="s">
        <v>323</v>
      </c>
      <c r="C56" s="1632"/>
      <c r="D56" s="1635">
        <f>C59*D5</f>
        <v>3838887.6483999998</v>
      </c>
      <c r="E56" s="1638">
        <f t="shared" ref="E56:E59" si="43">D56/1000</f>
        <v>3838.8876483999998</v>
      </c>
      <c r="F56" s="1641"/>
      <c r="G56" s="1631">
        <f>D56*0.8</f>
        <v>3071110.1187200001</v>
      </c>
      <c r="H56" s="1638">
        <f>G56/1000</f>
        <v>3071.1101187200002</v>
      </c>
      <c r="I56" s="1644"/>
      <c r="J56" s="1631">
        <v>3838887.6483999998</v>
      </c>
      <c r="K56" s="1631">
        <f>J56/1000</f>
        <v>3838.8876483999998</v>
      </c>
      <c r="L56" s="853"/>
      <c r="M56" s="818"/>
      <c r="N56" s="818"/>
      <c r="O56" s="1644"/>
      <c r="P56" s="1631">
        <v>3838887.6483999998</v>
      </c>
      <c r="Q56" s="1631">
        <f>P56/1000</f>
        <v>3838.8876483999998</v>
      </c>
      <c r="R56" s="1644"/>
      <c r="S56" s="1631">
        <v>3838887.6483999998</v>
      </c>
      <c r="T56" s="1631">
        <f>S56/1000</f>
        <v>3838.8876483999998</v>
      </c>
    </row>
    <row r="57" spans="1:26" ht="16.149999999999999" customHeight="1" x14ac:dyDescent="0.25">
      <c r="A57" s="175" t="s">
        <v>324</v>
      </c>
      <c r="B57" s="194" t="s">
        <v>325</v>
      </c>
      <c r="C57" s="1633"/>
      <c r="D57" s="1636"/>
      <c r="E57" s="1639">
        <f t="shared" si="43"/>
        <v>0</v>
      </c>
      <c r="F57" s="1642"/>
      <c r="G57" s="1631"/>
      <c r="H57" s="1639"/>
      <c r="I57" s="1644"/>
      <c r="J57" s="1631"/>
      <c r="K57" s="1631"/>
      <c r="L57" s="853"/>
      <c r="M57" s="818"/>
      <c r="N57" s="818"/>
      <c r="O57" s="1644"/>
      <c r="P57" s="1631"/>
      <c r="Q57" s="1631"/>
      <c r="R57" s="1644"/>
      <c r="S57" s="1631"/>
      <c r="T57" s="1631"/>
    </row>
    <row r="58" spans="1:26" x14ac:dyDescent="0.25">
      <c r="A58" s="175" t="s">
        <v>326</v>
      </c>
      <c r="B58" s="194" t="s">
        <v>318</v>
      </c>
      <c r="C58" s="1634"/>
      <c r="D58" s="1637"/>
      <c r="E58" s="1640">
        <f t="shared" si="43"/>
        <v>0</v>
      </c>
      <c r="F58" s="1643"/>
      <c r="G58" s="1631"/>
      <c r="H58" s="1640"/>
      <c r="I58" s="1644"/>
      <c r="J58" s="1631"/>
      <c r="K58" s="1631"/>
      <c r="L58" s="853"/>
      <c r="M58" s="818"/>
      <c r="N58" s="818"/>
      <c r="O58" s="1644"/>
      <c r="P58" s="1631"/>
      <c r="Q58" s="1631"/>
      <c r="R58" s="1644"/>
      <c r="S58" s="1631"/>
      <c r="T58" s="1631"/>
    </row>
    <row r="59" spans="1:26" x14ac:dyDescent="0.25">
      <c r="A59" s="175"/>
      <c r="B59" s="200" t="s">
        <v>327</v>
      </c>
      <c r="C59" s="209">
        <v>98.246600000000001</v>
      </c>
      <c r="D59" s="224">
        <f>SUM(D56)</f>
        <v>3838887.6483999998</v>
      </c>
      <c r="E59" s="225">
        <f t="shared" si="43"/>
        <v>3838.8876483999998</v>
      </c>
      <c r="F59" s="177">
        <f>ROUND(G59/$G$5,4)</f>
        <v>78.597300000000004</v>
      </c>
      <c r="G59" s="224">
        <f>SUM(G56)</f>
        <v>3071110.1187200001</v>
      </c>
      <c r="H59" s="225">
        <f>G59/1000</f>
        <v>3071.1101187200002</v>
      </c>
      <c r="I59" s="209">
        <f>J59/J5</f>
        <v>98.246600000000001</v>
      </c>
      <c r="J59" s="224">
        <f>SUM(J56)</f>
        <v>3838887.6483999998</v>
      </c>
      <c r="K59" s="224">
        <f>SUM(K56)</f>
        <v>3838.8876483999998</v>
      </c>
      <c r="L59" s="851">
        <v>225</v>
      </c>
      <c r="M59" s="178">
        <f>I54+I59</f>
        <v>166.51972637559504</v>
      </c>
      <c r="N59" s="178">
        <f>M59</f>
        <v>166.51972637559504</v>
      </c>
      <c r="O59" s="209">
        <f>P59/P5</f>
        <v>98.246600000000001</v>
      </c>
      <c r="P59" s="224">
        <f>SUM(P56)</f>
        <v>3838887.6483999998</v>
      </c>
      <c r="Q59" s="224">
        <f>SUM(Q56)</f>
        <v>3838.8876483999998</v>
      </c>
      <c r="R59" s="209">
        <f>S59/S5</f>
        <v>98.246600000000001</v>
      </c>
      <c r="S59" s="224">
        <f>SUM(S56)</f>
        <v>3838887.6483999998</v>
      </c>
      <c r="T59" s="224">
        <f>SUM(T56)</f>
        <v>3838.8876483999998</v>
      </c>
    </row>
    <row r="60" spans="1:26" ht="33" customHeight="1" x14ac:dyDescent="0.25">
      <c r="A60" s="218" t="s">
        <v>328</v>
      </c>
      <c r="B60" s="1619" t="s">
        <v>329</v>
      </c>
      <c r="C60" s="1620"/>
      <c r="D60" s="1620"/>
      <c r="E60" s="1620"/>
      <c r="F60" s="1620"/>
      <c r="G60" s="1620"/>
      <c r="H60" s="1620"/>
      <c r="I60" s="1620"/>
      <c r="J60" s="1620"/>
      <c r="K60" s="1620"/>
      <c r="L60" s="1620"/>
      <c r="M60" s="1620"/>
      <c r="N60" s="1620"/>
      <c r="O60" s="1620"/>
      <c r="P60" s="1620"/>
      <c r="Q60" s="1621"/>
      <c r="R60" s="164"/>
      <c r="S60" s="164"/>
      <c r="T60" s="164"/>
    </row>
    <row r="61" spans="1:26" ht="32.25" customHeight="1" x14ac:dyDescent="0.25">
      <c r="A61" s="228" t="s">
        <v>330</v>
      </c>
      <c r="B61" s="205" t="s">
        <v>331</v>
      </c>
      <c r="C61" s="229">
        <f>D61/D5</f>
        <v>0</v>
      </c>
      <c r="D61" s="192"/>
      <c r="E61" s="193"/>
      <c r="F61" s="177">
        <f>ROUND(G61/$G$5,4)</f>
        <v>2.0478000000000001</v>
      </c>
      <c r="G61" s="192">
        <v>80016</v>
      </c>
      <c r="H61" s="193">
        <f>G61/1000</f>
        <v>80.016000000000005</v>
      </c>
      <c r="I61" s="229">
        <f>J61/J5</f>
        <v>13.686803329579773</v>
      </c>
      <c r="J61" s="854">
        <f>526288.7731-200+8709.3802</f>
        <v>534798.15330000001</v>
      </c>
      <c r="K61" s="855">
        <f>J61/1000</f>
        <v>534.79815329999997</v>
      </c>
      <c r="L61" s="851">
        <v>310</v>
      </c>
      <c r="M61" s="178">
        <f>I61</f>
        <v>13.686803329579773</v>
      </c>
      <c r="N61" s="224"/>
      <c r="O61" s="229">
        <f>P61/P5</f>
        <v>13.691921743358757</v>
      </c>
      <c r="P61" s="854">
        <f>526288.77+8709.3802</f>
        <v>534998.15020000003</v>
      </c>
      <c r="Q61" s="855">
        <f>P61/1000</f>
        <v>534.99815020000005</v>
      </c>
      <c r="R61" s="229">
        <f>S61/S5</f>
        <v>13.691921743358757</v>
      </c>
      <c r="S61" s="854">
        <f>P61</f>
        <v>534998.15020000003</v>
      </c>
      <c r="T61" s="855">
        <f>S61/1000</f>
        <v>534.99815020000005</v>
      </c>
    </row>
    <row r="62" spans="1:26" ht="20.25" customHeight="1" x14ac:dyDescent="0.25">
      <c r="A62" s="218" t="s">
        <v>332</v>
      </c>
      <c r="B62" s="1622" t="s">
        <v>333</v>
      </c>
      <c r="C62" s="1623"/>
      <c r="D62" s="1623"/>
      <c r="E62" s="1623"/>
      <c r="F62" s="1623"/>
      <c r="G62" s="1623"/>
      <c r="H62" s="1623"/>
      <c r="I62" s="1623"/>
      <c r="J62" s="1623"/>
      <c r="K62" s="1623">
        <f t="shared" si="29"/>
        <v>0</v>
      </c>
      <c r="L62" s="1623"/>
      <c r="M62" s="1623"/>
      <c r="N62" s="1623"/>
      <c r="O62" s="1623"/>
      <c r="P62" s="1623"/>
      <c r="Q62" s="1624"/>
      <c r="U62" s="169"/>
      <c r="V62" s="169"/>
      <c r="W62" s="169"/>
      <c r="X62" s="169"/>
      <c r="Y62" s="169"/>
      <c r="Z62" s="169"/>
    </row>
    <row r="63" spans="1:26" x14ac:dyDescent="0.25">
      <c r="A63" s="175" t="s">
        <v>330</v>
      </c>
      <c r="B63" s="194" t="s">
        <v>334</v>
      </c>
      <c r="C63" s="195"/>
      <c r="D63" s="180">
        <f>C64*D5</f>
        <v>550086.28</v>
      </c>
      <c r="E63" s="196">
        <f t="shared" ref="E63:E64" si="44">D63/1000</f>
        <v>550.08627999999999</v>
      </c>
      <c r="F63" s="232"/>
      <c r="G63" s="180">
        <f>D63*0.98</f>
        <v>539084.55440000002</v>
      </c>
      <c r="H63" s="198">
        <f t="shared" si="20"/>
        <v>539.0845544</v>
      </c>
      <c r="I63" s="232"/>
      <c r="J63" s="180">
        <v>550086.28</v>
      </c>
      <c r="K63" s="180">
        <f t="shared" si="29"/>
        <v>550.08627999999999</v>
      </c>
      <c r="L63" s="849"/>
      <c r="M63" s="180"/>
      <c r="N63" s="180"/>
      <c r="O63" s="232"/>
      <c r="P63" s="180">
        <v>550086.28</v>
      </c>
      <c r="Q63" s="180">
        <f t="shared" ref="Q63:Q64" si="45">P63/1000</f>
        <v>550.08627999999999</v>
      </c>
      <c r="R63" s="232"/>
      <c r="S63" s="180">
        <v>550086.28</v>
      </c>
      <c r="T63" s="180">
        <f t="shared" ref="T63:T64" si="46">S63/1000</f>
        <v>550.08627999999999</v>
      </c>
      <c r="U63" s="169"/>
      <c r="V63" s="169"/>
      <c r="W63" s="169"/>
      <c r="X63" s="169"/>
      <c r="Y63" s="169"/>
      <c r="Z63" s="169"/>
    </row>
    <row r="64" spans="1:26" ht="19.5" customHeight="1" x14ac:dyDescent="0.25">
      <c r="A64" s="175"/>
      <c r="B64" s="200" t="s">
        <v>335</v>
      </c>
      <c r="C64" s="209">
        <f>D64/$D$5</f>
        <v>14.078064185903671</v>
      </c>
      <c r="D64" s="224">
        <v>550086.28</v>
      </c>
      <c r="E64" s="225">
        <f t="shared" si="44"/>
        <v>550.08627999999999</v>
      </c>
      <c r="F64" s="177">
        <f>ROUND(G64/$G$5,4)</f>
        <v>13.7965</v>
      </c>
      <c r="G64" s="224">
        <f>G63</f>
        <v>539084.55440000002</v>
      </c>
      <c r="H64" s="225">
        <f t="shared" si="20"/>
        <v>539.0845544</v>
      </c>
      <c r="I64" s="209">
        <f>J64/J5</f>
        <v>14.078064185903671</v>
      </c>
      <c r="J64" s="224">
        <f>SUM(J63)</f>
        <v>550086.28</v>
      </c>
      <c r="K64" s="224">
        <f t="shared" si="29"/>
        <v>550.08627999999999</v>
      </c>
      <c r="L64" s="851">
        <v>221</v>
      </c>
      <c r="M64" s="178">
        <f>I64</f>
        <v>14.078064185903671</v>
      </c>
      <c r="N64" s="178">
        <f>M64</f>
        <v>14.078064185903671</v>
      </c>
      <c r="O64" s="209">
        <f>P64/P5</f>
        <v>14.078064185903671</v>
      </c>
      <c r="P64" s="224">
        <f>SUM(P63)</f>
        <v>550086.28</v>
      </c>
      <c r="Q64" s="224">
        <f t="shared" si="45"/>
        <v>550.08627999999999</v>
      </c>
      <c r="R64" s="209">
        <f>S64/S5</f>
        <v>14.078064185903671</v>
      </c>
      <c r="S64" s="224">
        <f>SUM(S63)</f>
        <v>550086.28</v>
      </c>
      <c r="T64" s="224">
        <f t="shared" si="46"/>
        <v>550.08627999999999</v>
      </c>
    </row>
    <row r="65" spans="1:20" ht="41.25" customHeight="1" x14ac:dyDescent="0.25">
      <c r="A65" s="218" t="s">
        <v>336</v>
      </c>
      <c r="B65" s="1625" t="s">
        <v>337</v>
      </c>
      <c r="C65" s="1626"/>
      <c r="D65" s="1626"/>
      <c r="E65" s="1626"/>
      <c r="F65" s="1626"/>
      <c r="G65" s="1626"/>
      <c r="H65" s="1626"/>
      <c r="I65" s="1626"/>
      <c r="J65" s="1626"/>
      <c r="K65" s="1626"/>
      <c r="L65" s="1626"/>
      <c r="M65" s="1626"/>
      <c r="N65" s="1626"/>
      <c r="O65" s="1626"/>
      <c r="P65" s="1626"/>
      <c r="Q65" s="1627"/>
      <c r="R65" s="164"/>
      <c r="S65" s="171"/>
      <c r="T65" s="171"/>
    </row>
    <row r="66" spans="1:20" ht="45" x14ac:dyDescent="0.25">
      <c r="A66" s="175" t="s">
        <v>338</v>
      </c>
      <c r="B66" s="176" t="s">
        <v>271</v>
      </c>
      <c r="C66" s="203">
        <f>D66/$D$5</f>
        <v>374.02348159901726</v>
      </c>
      <c r="D66" s="180">
        <v>14614593.52</v>
      </c>
      <c r="E66" s="196">
        <f t="shared" ref="E66:E68" si="47">D66/1000</f>
        <v>14614.59352</v>
      </c>
      <c r="F66" s="177">
        <f t="shared" ref="F66:F67" si="48">ROUND(G66/$G$5,4)</f>
        <v>388.98439999999999</v>
      </c>
      <c r="G66" s="180">
        <v>15199178.102193536</v>
      </c>
      <c r="H66" s="196">
        <f t="shared" si="20"/>
        <v>15199.178102193537</v>
      </c>
      <c r="I66" s="856">
        <f t="shared" ref="I66" si="49">J66/$J$5</f>
        <v>393.16681169063827</v>
      </c>
      <c r="J66" s="180">
        <v>15362600</v>
      </c>
      <c r="K66" s="180">
        <f>J66/1000</f>
        <v>15362.6</v>
      </c>
      <c r="L66" s="849">
        <v>211</v>
      </c>
      <c r="M66" s="180">
        <f>I66</f>
        <v>393.16681169063827</v>
      </c>
      <c r="N66" s="180"/>
      <c r="O66" s="203">
        <f>P66/$P$5</f>
        <v>409.56390438654859</v>
      </c>
      <c r="P66" s="180">
        <v>16003300</v>
      </c>
      <c r="Q66" s="180">
        <f>P66/1000</f>
        <v>16003.3</v>
      </c>
      <c r="R66" s="203">
        <f>S66/$P$5</f>
        <v>425.33910016891025</v>
      </c>
      <c r="S66" s="180">
        <v>16619700</v>
      </c>
      <c r="T66" s="180">
        <f>S66/1000</f>
        <v>16619.7</v>
      </c>
    </row>
    <row r="67" spans="1:20" ht="30" x14ac:dyDescent="0.25">
      <c r="A67" s="175" t="s">
        <v>339</v>
      </c>
      <c r="B67" s="176" t="s">
        <v>275</v>
      </c>
      <c r="C67" s="203">
        <f>D67/$D$5</f>
        <v>112.95509136510212</v>
      </c>
      <c r="D67" s="180">
        <v>4413607.24</v>
      </c>
      <c r="E67" s="196">
        <f t="shared" si="47"/>
        <v>4413.6072400000003</v>
      </c>
      <c r="F67" s="177">
        <f t="shared" si="48"/>
        <v>117.47329999999999</v>
      </c>
      <c r="G67" s="180">
        <v>4590151.7868624516</v>
      </c>
      <c r="H67" s="196">
        <f t="shared" si="20"/>
        <v>4590.1517868624514</v>
      </c>
      <c r="I67" s="856">
        <v>118.7363</v>
      </c>
      <c r="J67" s="180">
        <v>4639500</v>
      </c>
      <c r="K67" s="180">
        <f t="shared" ref="K67:K68" si="50">J67/1000</f>
        <v>4639.5</v>
      </c>
      <c r="L67" s="849">
        <v>213</v>
      </c>
      <c r="M67" s="180">
        <f>I67</f>
        <v>118.7363</v>
      </c>
      <c r="N67" s="180"/>
      <c r="O67" s="203">
        <f>P67/$P$5</f>
        <v>123.68582689256283</v>
      </c>
      <c r="P67" s="180">
        <v>4832900</v>
      </c>
      <c r="Q67" s="180">
        <f>P67/1000</f>
        <v>4832.8999999999996</v>
      </c>
      <c r="R67" s="203">
        <v>128.4512</v>
      </c>
      <c r="S67" s="180">
        <v>5019100</v>
      </c>
      <c r="T67" s="180">
        <f>S67/1000</f>
        <v>5019.1000000000004</v>
      </c>
    </row>
    <row r="68" spans="1:20" x14ac:dyDescent="0.25">
      <c r="A68" s="175"/>
      <c r="B68" s="200" t="s">
        <v>340</v>
      </c>
      <c r="C68" s="209">
        <f>D68/D5</f>
        <v>486.97857296411934</v>
      </c>
      <c r="D68" s="224">
        <f>SUM(D66:D67)</f>
        <v>19028200.759999998</v>
      </c>
      <c r="E68" s="225">
        <f t="shared" si="47"/>
        <v>19028.20076</v>
      </c>
      <c r="F68" s="212">
        <f>F66+F67</f>
        <v>506.45769999999999</v>
      </c>
      <c r="G68" s="224">
        <f>F68*G5</f>
        <v>19789328.169799998</v>
      </c>
      <c r="H68" s="225">
        <f t="shared" si="20"/>
        <v>19789.328169799999</v>
      </c>
      <c r="I68" s="209">
        <f>SUM(I66:I67)</f>
        <v>511.9031116906383</v>
      </c>
      <c r="J68" s="224">
        <f>SUM(J66:J67)</f>
        <v>20002100</v>
      </c>
      <c r="K68" s="224">
        <f t="shared" si="50"/>
        <v>20002.099999999999</v>
      </c>
      <c r="L68" s="857"/>
      <c r="M68" s="224"/>
      <c r="N68" s="224"/>
      <c r="O68" s="209">
        <f>SUM(O66:O67)</f>
        <v>533.24973127911142</v>
      </c>
      <c r="P68" s="224">
        <f>SUM(P66:P67)</f>
        <v>20836200</v>
      </c>
      <c r="Q68" s="224">
        <f t="shared" ref="Q68" si="51">SUM(Q66:Q67)</f>
        <v>20836.199999999997</v>
      </c>
      <c r="R68" s="209">
        <f>SUM(R66:R67)</f>
        <v>553.79030016891022</v>
      </c>
      <c r="S68" s="224">
        <f t="shared" ref="S68:T68" si="52">SUM(S66:S67)</f>
        <v>21638800</v>
      </c>
      <c r="T68" s="224">
        <f t="shared" si="52"/>
        <v>21638.800000000003</v>
      </c>
    </row>
    <row r="69" spans="1:20" s="219" customFormat="1" ht="18.75" x14ac:dyDescent="0.25">
      <c r="A69" s="218" t="s">
        <v>341</v>
      </c>
      <c r="B69" s="1625" t="s">
        <v>342</v>
      </c>
      <c r="C69" s="1626"/>
      <c r="D69" s="1626"/>
      <c r="E69" s="1626"/>
      <c r="F69" s="1626"/>
      <c r="G69" s="1626"/>
      <c r="H69" s="1626"/>
      <c r="I69" s="1626"/>
      <c r="J69" s="1626"/>
      <c r="K69" s="1626"/>
      <c r="L69" s="1626"/>
      <c r="M69" s="1626"/>
      <c r="N69" s="1626"/>
      <c r="O69" s="1626"/>
      <c r="P69" s="1626"/>
      <c r="Q69" s="1627"/>
      <c r="R69" s="169"/>
      <c r="S69" s="169"/>
      <c r="T69" s="169"/>
    </row>
    <row r="70" spans="1:20" x14ac:dyDescent="0.25">
      <c r="A70" s="175" t="s">
        <v>343</v>
      </c>
      <c r="B70" s="194" t="s">
        <v>344</v>
      </c>
      <c r="C70" s="203">
        <f>D70/$D$5</f>
        <v>92.489731023186778</v>
      </c>
      <c r="D70" s="180">
        <v>3613943.75</v>
      </c>
      <c r="E70" s="196">
        <f t="shared" ref="E70:E74" si="53">D70/1000</f>
        <v>3613.9437499999999</v>
      </c>
      <c r="F70" s="177">
        <f t="shared" ref="F70:F72" si="54">ROUND(G70/$G$5,4)</f>
        <v>65.3977</v>
      </c>
      <c r="G70" s="180">
        <f>ROUND(2617508.934*0.98,4)-9809.26</f>
        <v>2555349.4953000001</v>
      </c>
      <c r="H70" s="196">
        <f t="shared" si="20"/>
        <v>2555.3494952999999</v>
      </c>
      <c r="I70" s="221">
        <f>J70/$J$5</f>
        <v>92.279872805446075</v>
      </c>
      <c r="J70" s="180">
        <f>3613943.75-8200</f>
        <v>3605743.75</v>
      </c>
      <c r="K70" s="180">
        <f t="shared" ref="K70:K76" si="55">J70/1000</f>
        <v>3605.7437500000001</v>
      </c>
      <c r="L70" s="849">
        <v>226</v>
      </c>
      <c r="M70" s="180">
        <f>I70</f>
        <v>92.279872805446075</v>
      </c>
      <c r="N70" s="180">
        <f>M70</f>
        <v>92.279872805446075</v>
      </c>
      <c r="O70" s="221">
        <f>P70/$P$5</f>
        <v>92.489731023186778</v>
      </c>
      <c r="P70" s="180">
        <v>3613943.75</v>
      </c>
      <c r="Q70" s="180">
        <f t="shared" ref="Q70:Q72" si="56">P70/1000</f>
        <v>3613.9437499999999</v>
      </c>
      <c r="R70" s="221">
        <f>S70/$P$5</f>
        <v>92.489731023186778</v>
      </c>
      <c r="S70" s="180">
        <v>3613943.75</v>
      </c>
      <c r="T70" s="180">
        <f t="shared" ref="T70:T72" si="57">S70/1000</f>
        <v>3613.9437499999999</v>
      </c>
    </row>
    <row r="71" spans="1:20" x14ac:dyDescent="0.25">
      <c r="A71" s="175" t="s">
        <v>345</v>
      </c>
      <c r="B71" s="194" t="s">
        <v>288</v>
      </c>
      <c r="C71" s="203">
        <f>D71/$D$5</f>
        <v>71.978139427752467</v>
      </c>
      <c r="D71" s="180">
        <v>2812473.82</v>
      </c>
      <c r="E71" s="196">
        <f t="shared" si="53"/>
        <v>2812.4738199999997</v>
      </c>
      <c r="F71" s="177">
        <f t="shared" si="54"/>
        <v>26.0885</v>
      </c>
      <c r="G71" s="180">
        <f>1099397.9862-80016</f>
        <v>1019381.9861999999</v>
      </c>
      <c r="H71" s="196">
        <f t="shared" si="20"/>
        <v>1019.3819861999999</v>
      </c>
      <c r="I71" s="221">
        <f>J71/$J$5</f>
        <v>36.135206845984541</v>
      </c>
      <c r="J71" s="180">
        <f>1491992.6493-80016-29.577</f>
        <v>1411947.0722999999</v>
      </c>
      <c r="K71" s="180">
        <f t="shared" si="55"/>
        <v>1411.9470722999999</v>
      </c>
      <c r="L71" s="849">
        <v>310</v>
      </c>
      <c r="M71" s="180">
        <f>I71</f>
        <v>36.135206845984541</v>
      </c>
      <c r="N71" s="180">
        <f>M71+M61</f>
        <v>49.822010175564316</v>
      </c>
      <c r="O71" s="221">
        <f>P71/$P$5</f>
        <v>28.220815606285509</v>
      </c>
      <c r="P71" s="180">
        <f>1198716.149-80016-16000</f>
        <v>1102700.149</v>
      </c>
      <c r="Q71" s="180">
        <f t="shared" si="56"/>
        <v>1102.700149</v>
      </c>
      <c r="R71" s="221">
        <f>S71/$P$5</f>
        <v>28.220815606285509</v>
      </c>
      <c r="S71" s="180">
        <f>1198716.149-80016-16000</f>
        <v>1102700.149</v>
      </c>
      <c r="T71" s="180">
        <f t="shared" si="57"/>
        <v>1102.700149</v>
      </c>
    </row>
    <row r="72" spans="1:20" x14ac:dyDescent="0.25">
      <c r="A72" s="175"/>
      <c r="B72" s="200" t="s">
        <v>346</v>
      </c>
      <c r="C72" s="209">
        <f>D72/D5</f>
        <v>164.46787045093924</v>
      </c>
      <c r="D72" s="224">
        <f>SUM(D70:D71)</f>
        <v>6426417.5700000003</v>
      </c>
      <c r="E72" s="225">
        <f t="shared" si="53"/>
        <v>6426.4175700000005</v>
      </c>
      <c r="F72" s="177">
        <f t="shared" si="54"/>
        <v>91.486199999999997</v>
      </c>
      <c r="G72" s="224">
        <f>SUM(G70:G71)</f>
        <v>3574731.4814999998</v>
      </c>
      <c r="H72" s="225">
        <f t="shared" si="20"/>
        <v>3574.7314815</v>
      </c>
      <c r="I72" s="212">
        <f>I70+I71</f>
        <v>128.41507965143063</v>
      </c>
      <c r="J72" s="224">
        <f>SUM(J70:J71)</f>
        <v>5017690.8223000001</v>
      </c>
      <c r="K72" s="224">
        <f>J72/1000</f>
        <v>5017.6908223</v>
      </c>
      <c r="L72" s="857"/>
      <c r="M72" s="224"/>
      <c r="N72" s="224"/>
      <c r="O72" s="212">
        <f>P72/P5</f>
        <v>120.71054662947229</v>
      </c>
      <c r="P72" s="224">
        <f>SUM(P70:P71)</f>
        <v>4716643.8990000002</v>
      </c>
      <c r="Q72" s="224">
        <f t="shared" si="56"/>
        <v>4716.6438990000006</v>
      </c>
      <c r="R72" s="212">
        <f>S72/S5</f>
        <v>120.71054662947229</v>
      </c>
      <c r="S72" s="224">
        <f>SUM(S70:S71)</f>
        <v>4716643.8990000002</v>
      </c>
      <c r="T72" s="224">
        <f t="shared" si="57"/>
        <v>4716.6438990000006</v>
      </c>
    </row>
    <row r="73" spans="1:20" x14ac:dyDescent="0.25">
      <c r="A73" s="214"/>
      <c r="B73" s="215" t="s">
        <v>347</v>
      </c>
      <c r="C73" s="216">
        <f>C50+C64+C54+C59+C68+C72</f>
        <v>1097.5961946153452</v>
      </c>
      <c r="D73" s="215">
        <f>D50+D64+D54+D59+D68+D72</f>
        <v>42887473.708399996</v>
      </c>
      <c r="E73" s="217">
        <f t="shared" si="53"/>
        <v>42887.473708399993</v>
      </c>
      <c r="F73" s="216">
        <f>F50+F64+F54+F59+F68+F72+F61</f>
        <v>1019.5341213287609</v>
      </c>
      <c r="G73" s="215">
        <f>G50+G64+G54+G59+G68+G72+G61</f>
        <v>39837274.131820001</v>
      </c>
      <c r="H73" s="217">
        <f t="shared" si="20"/>
        <v>39837.274131819999</v>
      </c>
      <c r="I73" s="216">
        <f>I50+I64+I54+I59+I68+I72+I61</f>
        <v>1100.1547458719353</v>
      </c>
      <c r="J73" s="858">
        <f>J50+J54+J59+J61+J64+J68+J72</f>
        <v>42987444.343999997</v>
      </c>
      <c r="K73" s="215">
        <f>J73/1000</f>
        <v>42987.444343999996</v>
      </c>
      <c r="L73" s="852"/>
      <c r="M73" s="215"/>
      <c r="N73" s="215"/>
      <c r="O73" s="216">
        <f>O50+O64+O54+O59+O68+O72+O61</f>
        <v>1113.8019505963043</v>
      </c>
      <c r="P73" s="858">
        <f>P50+P64+P54+P59+P68+P72+P61</f>
        <v>43520697.417599998</v>
      </c>
      <c r="Q73" s="215">
        <f>P73/1000</f>
        <v>43520.6974176</v>
      </c>
      <c r="R73" s="216">
        <f>R50+R64+R54+R59+R68+R72+R61</f>
        <v>1134.3425194861031</v>
      </c>
      <c r="S73" s="858">
        <f>S50+S64+S54+S59+S68+S72+S61</f>
        <v>44323297.417599998</v>
      </c>
      <c r="T73" s="215">
        <f>S73/1000</f>
        <v>44323.297417599999</v>
      </c>
    </row>
    <row r="74" spans="1:20" x14ac:dyDescent="0.25">
      <c r="A74" s="214"/>
      <c r="B74" s="240"/>
      <c r="C74" s="241">
        <f>C37+C70+C73</f>
        <v>1212.996225638532</v>
      </c>
      <c r="D74" s="242">
        <f>D37+D70+D73</f>
        <v>47396614.520599999</v>
      </c>
      <c r="E74" s="241">
        <f t="shared" si="53"/>
        <v>47396.6145206</v>
      </c>
      <c r="F74" s="241">
        <f>F41+F73</f>
        <v>4420.3500213287616</v>
      </c>
      <c r="G74" s="241">
        <f t="shared" ref="G74:T74" si="58">G41+G73</f>
        <v>172720757.28065202</v>
      </c>
      <c r="H74" s="241">
        <f t="shared" si="58"/>
        <v>172720.757280652</v>
      </c>
      <c r="I74" s="241">
        <f>I41+I73</f>
        <v>5498.6610618288378</v>
      </c>
      <c r="J74" s="241">
        <f>J41+J73</f>
        <v>214854679.04629999</v>
      </c>
      <c r="K74" s="241">
        <f t="shared" si="58"/>
        <v>214854.67904630001</v>
      </c>
      <c r="L74" s="859"/>
      <c r="M74" s="241"/>
      <c r="N74" s="241"/>
      <c r="O74" s="241">
        <f>O41+O73</f>
        <v>5521.3650356093567</v>
      </c>
      <c r="P74" s="241">
        <f>P41+P73</f>
        <v>215741813.79899999</v>
      </c>
      <c r="Q74" s="241">
        <f t="shared" si="58"/>
        <v>215741.813799</v>
      </c>
      <c r="R74" s="241">
        <f t="shared" si="58"/>
        <v>5867.3906044991554</v>
      </c>
      <c r="S74" s="241">
        <f t="shared" si="58"/>
        <v>229262413.79899999</v>
      </c>
      <c r="T74" s="241">
        <f t="shared" si="58"/>
        <v>229262.413799</v>
      </c>
    </row>
    <row r="75" spans="1:20" ht="18.75" x14ac:dyDescent="0.25">
      <c r="A75" s="218" t="s">
        <v>348</v>
      </c>
      <c r="B75" s="1628" t="s">
        <v>349</v>
      </c>
      <c r="C75" s="1629"/>
      <c r="D75" s="1629"/>
      <c r="E75" s="1629"/>
      <c r="F75" s="1629"/>
      <c r="G75" s="1629"/>
      <c r="H75" s="1629"/>
      <c r="I75" s="1629"/>
      <c r="J75" s="1629"/>
      <c r="K75" s="1629"/>
      <c r="L75" s="1629"/>
      <c r="M75" s="1629"/>
      <c r="N75" s="1629"/>
      <c r="O75" s="1629"/>
      <c r="P75" s="1629"/>
      <c r="Q75" s="1630"/>
      <c r="R75" s="164"/>
      <c r="S75" s="164"/>
      <c r="T75" s="164"/>
    </row>
    <row r="76" spans="1:20" x14ac:dyDescent="0.25">
      <c r="A76" s="214" t="s">
        <v>350</v>
      </c>
      <c r="B76" s="233" t="s">
        <v>351</v>
      </c>
      <c r="C76" s="234">
        <v>150.70228289911449</v>
      </c>
      <c r="D76" s="235">
        <v>5888541</v>
      </c>
      <c r="E76" s="236">
        <f t="shared" ref="E76:E77" si="59">D76/1000</f>
        <v>5888.5410000000002</v>
      </c>
      <c r="F76" s="177">
        <f t="shared" ref="F76" si="60">ROUND(G76/$G$5,4)</f>
        <v>150.70230000000001</v>
      </c>
      <c r="G76" s="238">
        <f>D76</f>
        <v>5888541</v>
      </c>
      <c r="H76" s="238">
        <f t="shared" si="20"/>
        <v>5888.5410000000002</v>
      </c>
      <c r="I76" s="237" t="e">
        <f>J76/J5</f>
        <v>#REF!</v>
      </c>
      <c r="J76" s="235" t="e">
        <f>#REF!</f>
        <v>#REF!</v>
      </c>
      <c r="K76" s="235" t="e">
        <f t="shared" si="55"/>
        <v>#REF!</v>
      </c>
      <c r="L76" s="860">
        <v>290</v>
      </c>
      <c r="M76" s="235" t="e">
        <f>I76</f>
        <v>#REF!</v>
      </c>
      <c r="N76" s="235" t="e">
        <f>M76</f>
        <v>#REF!</v>
      </c>
      <c r="O76" s="237" t="e">
        <f>P76/P5</f>
        <v>#REF!</v>
      </c>
      <c r="P76" s="235" t="e">
        <f>J76</f>
        <v>#REF!</v>
      </c>
      <c r="Q76" s="235" t="e">
        <f t="shared" ref="Q76" si="61">P76/1000</f>
        <v>#REF!</v>
      </c>
      <c r="R76" s="237" t="e">
        <f>S76/S5</f>
        <v>#REF!</v>
      </c>
      <c r="S76" s="235" t="e">
        <f>P76</f>
        <v>#REF!</v>
      </c>
      <c r="T76" s="235" t="e">
        <f t="shared" ref="T76" si="62">S76/1000</f>
        <v>#REF!</v>
      </c>
    </row>
    <row r="77" spans="1:20" x14ac:dyDescent="0.25">
      <c r="A77" s="239"/>
      <c r="B77" s="240"/>
      <c r="C77" s="241">
        <f>C41+C73+C76</f>
        <v>3551.4488152991757</v>
      </c>
      <c r="D77" s="242">
        <f>D41+D73+D76</f>
        <v>138769309.07099998</v>
      </c>
      <c r="E77" s="241">
        <f t="shared" si="59"/>
        <v>138769.30907099997</v>
      </c>
      <c r="F77" s="241">
        <f>F41+F73+F76</f>
        <v>4571.0523213287615</v>
      </c>
      <c r="G77" s="241">
        <f>G41+G73+G76</f>
        <v>178609298.28065202</v>
      </c>
      <c r="H77" s="242">
        <f t="shared" si="20"/>
        <v>178609.29828065203</v>
      </c>
      <c r="I77" s="241" t="e">
        <f>I41+I73+I76</f>
        <v>#REF!</v>
      </c>
      <c r="J77" s="241" t="e">
        <f t="shared" ref="J77:T77" si="63">J41+J73+J76</f>
        <v>#REF!</v>
      </c>
      <c r="K77" s="243" t="e">
        <f t="shared" si="63"/>
        <v>#REF!</v>
      </c>
      <c r="L77" s="859"/>
      <c r="M77" s="241" t="e">
        <f>M9+M17+M40+M50+M59+M61+M64+M66+M67+M70+M71+M76</f>
        <v>#REF!</v>
      </c>
      <c r="N77" s="241" t="e">
        <f>N9+N17+N40+N50+N59+N61+N64+N66+N67+N70+N71+N76</f>
        <v>#REF!</v>
      </c>
      <c r="O77" s="241" t="e">
        <f t="shared" si="63"/>
        <v>#REF!</v>
      </c>
      <c r="P77" s="242" t="e">
        <f>P41+P73+P76</f>
        <v>#REF!</v>
      </c>
      <c r="Q77" s="242" t="e">
        <f t="shared" si="63"/>
        <v>#REF!</v>
      </c>
      <c r="R77" s="241" t="e">
        <f t="shared" si="63"/>
        <v>#REF!</v>
      </c>
      <c r="S77" s="242" t="e">
        <f>S41+S73+S76</f>
        <v>#REF!</v>
      </c>
      <c r="T77" s="242" t="e">
        <f t="shared" si="63"/>
        <v>#REF!</v>
      </c>
    </row>
    <row r="78" spans="1:20" x14ac:dyDescent="0.25">
      <c r="G78" s="198">
        <f>G16+G66</f>
        <v>99922402.122193545</v>
      </c>
      <c r="H78" s="198">
        <f>H16+H66</f>
        <v>99922.402122193525</v>
      </c>
      <c r="I78" s="861" t="e">
        <f>I77*39074</f>
        <v>#REF!</v>
      </c>
      <c r="J78" s="198">
        <f>J16+J66</f>
        <v>131169200</v>
      </c>
      <c r="K78" s="198">
        <f>K16+K66</f>
        <v>131169.19999999998</v>
      </c>
      <c r="L78" s="862"/>
      <c r="M78" s="198"/>
      <c r="N78" s="198"/>
      <c r="O78" s="861" t="e">
        <f>O77*39074</f>
        <v>#REF!</v>
      </c>
      <c r="P78" s="198">
        <f>P16+P66</f>
        <v>131855900</v>
      </c>
      <c r="Q78" s="198">
        <f>Q16+Q66</f>
        <v>131855.9</v>
      </c>
      <c r="R78" s="861" t="e">
        <f>R77*39074</f>
        <v>#REF!</v>
      </c>
      <c r="S78" s="198">
        <f>S16+S66</f>
        <v>142240300</v>
      </c>
      <c r="T78" s="198">
        <f>T16+T66</f>
        <v>142240.30000000002</v>
      </c>
    </row>
    <row r="79" spans="1:20" x14ac:dyDescent="0.25">
      <c r="G79" s="198">
        <f>G24+G67</f>
        <v>30176600.276862454</v>
      </c>
      <c r="H79" s="198">
        <f>H17+H67</f>
        <v>15089.98027686245</v>
      </c>
      <c r="I79" s="197"/>
      <c r="J79" s="198">
        <f>J24+J67</f>
        <v>39613200</v>
      </c>
      <c r="K79" s="198">
        <f>K24+K67</f>
        <v>39613.199999999997</v>
      </c>
      <c r="L79" s="863"/>
      <c r="M79" s="864"/>
      <c r="N79" s="864"/>
      <c r="O79" s="164"/>
      <c r="P79" s="198">
        <f>P24+P67</f>
        <v>39820300</v>
      </c>
      <c r="Q79" s="198">
        <f>Q24+Q67</f>
        <v>39820.300000000003</v>
      </c>
      <c r="R79" s="164"/>
      <c r="S79" s="198">
        <f>S24+S67</f>
        <v>42956500</v>
      </c>
      <c r="T79" s="198">
        <f>T24+T67</f>
        <v>42956.5</v>
      </c>
    </row>
    <row r="80" spans="1:20" x14ac:dyDescent="0.25">
      <c r="G80" s="198">
        <f>SUM(G78:G79)</f>
        <v>130099002.399056</v>
      </c>
      <c r="H80" s="198">
        <f>H18+H68</f>
        <v>33061.948169800002</v>
      </c>
      <c r="I80" s="197"/>
      <c r="J80" s="198">
        <f>SUM(J78:J79)</f>
        <v>170782400</v>
      </c>
      <c r="K80" s="198">
        <f>SUM(K78:K79)</f>
        <v>170782.39999999997</v>
      </c>
      <c r="L80" s="863"/>
      <c r="M80" s="864"/>
      <c r="N80" s="864"/>
      <c r="O80" s="164"/>
      <c r="P80" s="198">
        <f>SUM(P78:P79)</f>
        <v>171676200</v>
      </c>
      <c r="Q80" s="198">
        <f>SUM(Q78:Q79)</f>
        <v>171676.2</v>
      </c>
      <c r="R80" s="164"/>
      <c r="S80" s="198">
        <f>SUM(S78:S79)</f>
        <v>185196800</v>
      </c>
      <c r="T80" s="198">
        <f>SUM(T78:T79)</f>
        <v>185196.80000000002</v>
      </c>
    </row>
    <row r="81" spans="1:22" hidden="1" x14ac:dyDescent="0.25">
      <c r="G81" s="169">
        <v>121</v>
      </c>
      <c r="H81" s="865">
        <v>99922.4</v>
      </c>
      <c r="K81" s="865">
        <v>93045</v>
      </c>
      <c r="L81" s="866"/>
      <c r="M81" s="867"/>
      <c r="N81" s="867"/>
      <c r="O81" s="868" t="s">
        <v>640</v>
      </c>
      <c r="P81" s="869"/>
      <c r="Q81" s="865">
        <v>95112.3</v>
      </c>
      <c r="R81" s="868" t="s">
        <v>640</v>
      </c>
      <c r="S81" s="869"/>
      <c r="T81" s="865">
        <v>95112.3</v>
      </c>
    </row>
    <row r="82" spans="1:22" hidden="1" x14ac:dyDescent="0.25">
      <c r="G82" s="169">
        <v>123</v>
      </c>
      <c r="H82" s="865">
        <v>30176.6</v>
      </c>
      <c r="I82" s="164"/>
      <c r="K82" s="865">
        <v>28099.599999999999</v>
      </c>
      <c r="L82" s="866"/>
      <c r="M82" s="867"/>
      <c r="N82" s="867"/>
      <c r="O82" s="869"/>
      <c r="P82" s="865">
        <v>0.1</v>
      </c>
      <c r="Q82" s="865">
        <v>28724</v>
      </c>
      <c r="R82" s="869"/>
      <c r="S82" s="865">
        <v>0.1</v>
      </c>
      <c r="T82" s="865">
        <v>28724</v>
      </c>
      <c r="V82" s="186"/>
    </row>
    <row r="83" spans="1:22" hidden="1" x14ac:dyDescent="0.25">
      <c r="G83" s="169" t="s">
        <v>641</v>
      </c>
      <c r="H83" s="865">
        <f>SUM(H81:H82)</f>
        <v>130099</v>
      </c>
      <c r="K83" s="865">
        <f>SUM(K81:K82)</f>
        <v>121144.6</v>
      </c>
      <c r="L83" s="870"/>
      <c r="M83" s="865"/>
      <c r="N83" s="865"/>
      <c r="O83" s="865">
        <v>0.1</v>
      </c>
      <c r="P83" s="869"/>
      <c r="Q83" s="865">
        <f>SUM(Q81:Q82)</f>
        <v>123836.3</v>
      </c>
      <c r="R83" s="865">
        <v>0.1</v>
      </c>
      <c r="S83" s="869"/>
      <c r="T83" s="865">
        <f>SUM(T81:T82)</f>
        <v>123836.3</v>
      </c>
    </row>
    <row r="84" spans="1:22" x14ac:dyDescent="0.25">
      <c r="B84" s="245" t="s">
        <v>642</v>
      </c>
      <c r="F84" s="249"/>
      <c r="I84" s="249" t="e">
        <f>I77-I13-I12-I11-I10-I18-I19-I20-I21-I76-I14-I15-I22-I23</f>
        <v>#REF!</v>
      </c>
      <c r="O84" s="249" t="e">
        <f>O77-O13-O12-O11-O10-O18-O19-O20-O21-O76-O14-O15-O22-O23</f>
        <v>#REF!</v>
      </c>
      <c r="R84" s="249" t="e">
        <f>R77-R13-R12-R11-R10-R18-R19-R20-R21-R76-R14-R15-R22-R23</f>
        <v>#REF!</v>
      </c>
    </row>
    <row r="85" spans="1:22" x14ac:dyDescent="0.25">
      <c r="B85" s="245" t="s">
        <v>643</v>
      </c>
      <c r="F85" s="249"/>
      <c r="I85" s="249" t="e">
        <f>I84+I76</f>
        <v>#REF!</v>
      </c>
      <c r="J85" s="249" t="e">
        <f>I85*J93</f>
        <v>#REF!</v>
      </c>
      <c r="O85" s="249"/>
      <c r="R85" s="249"/>
    </row>
    <row r="86" spans="1:22" x14ac:dyDescent="0.25">
      <c r="F86" s="249"/>
      <c r="I86" s="249"/>
      <c r="O86" s="249"/>
      <c r="R86" s="249"/>
    </row>
    <row r="87" spans="1:22" x14ac:dyDescent="0.25">
      <c r="A87" s="164"/>
      <c r="B87" s="164"/>
      <c r="C87" s="164"/>
      <c r="D87" s="164"/>
      <c r="E87" s="164"/>
      <c r="J87" s="246">
        <f>J50+J54+J59+J61+J64+J68+J72</f>
        <v>42987444.343999997</v>
      </c>
      <c r="K87" s="164"/>
      <c r="L87" s="871"/>
      <c r="M87" s="164"/>
      <c r="N87" s="164"/>
      <c r="O87" s="164"/>
      <c r="P87" s="164"/>
      <c r="Q87" s="164"/>
      <c r="R87" s="164"/>
      <c r="S87" s="164"/>
      <c r="T87" s="164"/>
    </row>
    <row r="88" spans="1:22" x14ac:dyDescent="0.25">
      <c r="A88" s="164"/>
      <c r="B88" s="164"/>
      <c r="C88" s="164"/>
      <c r="D88" s="164"/>
      <c r="E88" s="164"/>
      <c r="F88" s="249"/>
      <c r="K88" s="164"/>
      <c r="L88" s="871"/>
      <c r="M88" s="164"/>
      <c r="N88" s="164"/>
      <c r="O88" s="164"/>
      <c r="P88" s="164"/>
      <c r="Q88" s="164"/>
      <c r="R88" s="164"/>
      <c r="S88" s="164"/>
      <c r="T88" s="164"/>
    </row>
    <row r="89" spans="1:22" ht="19.5" customHeight="1" x14ac:dyDescent="0.25">
      <c r="A89" s="164"/>
      <c r="B89" s="164"/>
      <c r="C89" s="164"/>
      <c r="D89" s="164"/>
      <c r="E89" s="164"/>
      <c r="I89" s="872">
        <v>5089.6455999999998</v>
      </c>
      <c r="J89" s="246">
        <v>218669600</v>
      </c>
      <c r="K89" s="164"/>
      <c r="L89" s="871"/>
      <c r="M89" s="164"/>
      <c r="N89" s="164"/>
      <c r="O89" s="164"/>
      <c r="P89" s="164"/>
      <c r="Q89" s="164"/>
      <c r="R89" s="164"/>
      <c r="S89" s="164"/>
      <c r="T89" s="164"/>
    </row>
    <row r="90" spans="1:22" x14ac:dyDescent="0.25">
      <c r="J90" s="249" t="e">
        <f>J77-J89</f>
        <v>#REF!</v>
      </c>
    </row>
    <row r="93" spans="1:22" x14ac:dyDescent="0.25">
      <c r="J93" s="169">
        <v>15498</v>
      </c>
    </row>
  </sheetData>
  <mergeCells count="50">
    <mergeCell ref="A1:K1"/>
    <mergeCell ref="A3:A6"/>
    <mergeCell ref="B3:B6"/>
    <mergeCell ref="C3:E3"/>
    <mergeCell ref="F3:H3"/>
    <mergeCell ref="I3:K3"/>
    <mergeCell ref="D5:E5"/>
    <mergeCell ref="G5:H5"/>
    <mergeCell ref="J5:K5"/>
    <mergeCell ref="O3:Q3"/>
    <mergeCell ref="R3:T3"/>
    <mergeCell ref="C4:E4"/>
    <mergeCell ref="F4:H4"/>
    <mergeCell ref="I4:K4"/>
    <mergeCell ref="O4:Q4"/>
    <mergeCell ref="R4:T4"/>
    <mergeCell ref="B51:Q51"/>
    <mergeCell ref="P5:Q5"/>
    <mergeCell ref="S5:T5"/>
    <mergeCell ref="C6:D6"/>
    <mergeCell ref="F6:G6"/>
    <mergeCell ref="I6:J6"/>
    <mergeCell ref="O6:P6"/>
    <mergeCell ref="R6:S6"/>
    <mergeCell ref="B7:T7"/>
    <mergeCell ref="B8:T8"/>
    <mergeCell ref="B29:Q29"/>
    <mergeCell ref="B42:Q42"/>
    <mergeCell ref="B43:Q43"/>
    <mergeCell ref="T56:T58"/>
    <mergeCell ref="B55:Q55"/>
    <mergeCell ref="C56:C58"/>
    <mergeCell ref="D56:D58"/>
    <mergeCell ref="E56:E58"/>
    <mergeCell ref="F56:F58"/>
    <mergeCell ref="G56:G58"/>
    <mergeCell ref="H56:H58"/>
    <mergeCell ref="I56:I58"/>
    <mergeCell ref="J56:J58"/>
    <mergeCell ref="K56:K58"/>
    <mergeCell ref="O56:O58"/>
    <mergeCell ref="P56:P58"/>
    <mergeCell ref="Q56:Q58"/>
    <mergeCell ref="R56:R58"/>
    <mergeCell ref="S56:S58"/>
    <mergeCell ref="B60:Q60"/>
    <mergeCell ref="B62:Q62"/>
    <mergeCell ref="B65:Q65"/>
    <mergeCell ref="B69:Q69"/>
    <mergeCell ref="B75:Q75"/>
  </mergeCells>
  <pageMargins left="0.70866141732283472" right="0.70866141732283472" top="0.15748031496062992" bottom="0.15748031496062992" header="0.31496062992125984" footer="0.31496062992125984"/>
  <pageSetup paperSize="8" scale="81" orientation="portrait" r:id="rId1"/>
  <colBreaks count="1" manualBreakCount="1">
    <brk id="20" max="1048575" man="1"/>
  </colBreak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W194"/>
  <sheetViews>
    <sheetView workbookViewId="0">
      <selection activeCell="B32" sqref="B32"/>
    </sheetView>
  </sheetViews>
  <sheetFormatPr defaultRowHeight="15" x14ac:dyDescent="0.25"/>
  <cols>
    <col min="2" max="2" width="24.140625" style="932" customWidth="1"/>
    <col min="3" max="3" width="41.28515625" style="932" customWidth="1"/>
    <col min="4" max="4" width="32.28515625" style="913" customWidth="1"/>
    <col min="5" max="5" width="20.5703125" style="913" customWidth="1"/>
    <col min="6" max="6" width="18.140625" customWidth="1"/>
    <col min="7" max="7" width="16" hidden="1" customWidth="1"/>
    <col min="8" max="8" width="17.5703125" hidden="1" customWidth="1"/>
    <col min="9" max="9" width="1.140625" hidden="1" customWidth="1"/>
    <col min="10" max="10" width="16.85546875" customWidth="1"/>
    <col min="11" max="11" width="18.28515625" customWidth="1"/>
    <col min="12" max="12" width="17.28515625" style="933" customWidth="1"/>
    <col min="13" max="13" width="10.42578125" style="933" customWidth="1"/>
    <col min="14" max="14" width="20.140625" style="892" customWidth="1"/>
    <col min="15" max="15" width="18.7109375" style="892" customWidth="1"/>
    <col min="16" max="16" width="16" customWidth="1"/>
    <col min="17" max="17" width="14.5703125" style="888" customWidth="1"/>
    <col min="18" max="18" width="30.5703125" customWidth="1"/>
    <col min="19" max="19" width="17.140625" customWidth="1"/>
    <col min="20" max="20" width="11.5703125" bestFit="1" customWidth="1"/>
    <col min="22" max="22" width="14.7109375" customWidth="1"/>
    <col min="23" max="23" width="10.28515625" bestFit="1" customWidth="1"/>
    <col min="24" max="24" width="11" style="889" bestFit="1" customWidth="1"/>
    <col min="25" max="25" width="9.140625" style="889"/>
    <col min="26" max="26" width="21.85546875" style="889" customWidth="1"/>
    <col min="27" max="27" width="9.140625" style="889"/>
    <col min="28" max="28" width="15.140625" style="889" bestFit="1" customWidth="1"/>
    <col min="29" max="29" width="13.85546875" style="889" bestFit="1" customWidth="1"/>
    <col min="30" max="30" width="25" style="889" customWidth="1"/>
    <col min="31" max="33" width="9.140625" style="889"/>
  </cols>
  <sheetData>
    <row r="1" spans="1:127" ht="18" x14ac:dyDescent="0.25">
      <c r="B1" s="1675" t="s">
        <v>647</v>
      </c>
      <c r="C1" s="1675"/>
      <c r="D1" s="1675"/>
      <c r="E1" s="1675"/>
      <c r="F1" s="1675"/>
      <c r="G1" s="1675"/>
      <c r="H1" s="1675"/>
      <c r="I1" s="1675"/>
      <c r="J1" s="1675"/>
      <c r="K1" s="1675"/>
      <c r="L1" s="1675"/>
      <c r="M1" s="1675"/>
      <c r="N1" s="1675"/>
      <c r="O1" s="887"/>
    </row>
    <row r="2" spans="1:127" s="985" customFormat="1" ht="60" customHeight="1" x14ac:dyDescent="0.25">
      <c r="A2" s="982" t="s">
        <v>255</v>
      </c>
      <c r="B2" s="982" t="s">
        <v>648</v>
      </c>
      <c r="C2" s="982" t="s">
        <v>874</v>
      </c>
      <c r="D2" s="982" t="s">
        <v>649</v>
      </c>
      <c r="E2" s="982" t="s">
        <v>650</v>
      </c>
      <c r="F2" s="983" t="s">
        <v>902</v>
      </c>
      <c r="G2" s="983" t="s">
        <v>651</v>
      </c>
      <c r="H2" s="983" t="s">
        <v>652</v>
      </c>
      <c r="I2" s="983" t="s">
        <v>653</v>
      </c>
      <c r="J2" s="983" t="s">
        <v>901</v>
      </c>
      <c r="K2" s="983" t="s">
        <v>869</v>
      </c>
      <c r="L2" s="890" t="s">
        <v>654</v>
      </c>
      <c r="M2" s="891" t="s">
        <v>655</v>
      </c>
      <c r="N2" s="984"/>
      <c r="T2" s="986"/>
      <c r="U2" s="986"/>
      <c r="V2" s="986"/>
      <c r="W2" s="986"/>
      <c r="X2" s="986"/>
      <c r="Y2" s="986"/>
      <c r="Z2" s="986"/>
      <c r="AA2" s="986"/>
      <c r="AB2" s="986"/>
      <c r="AC2" s="986"/>
    </row>
    <row r="3" spans="1:127" ht="60.75" customHeight="1" x14ac:dyDescent="0.25">
      <c r="A3" s="939">
        <v>1</v>
      </c>
      <c r="B3" s="893" t="s">
        <v>656</v>
      </c>
      <c r="C3" s="907" t="s">
        <v>876</v>
      </c>
      <c r="D3" s="955" t="s">
        <v>657</v>
      </c>
      <c r="E3" s="894">
        <v>550000</v>
      </c>
      <c r="F3" s="895">
        <v>191579.68</v>
      </c>
      <c r="G3" s="896"/>
      <c r="H3" s="896"/>
      <c r="I3" s="896"/>
      <c r="J3" s="896"/>
      <c r="K3" s="980">
        <f>F3</f>
        <v>191579.68</v>
      </c>
      <c r="L3" s="897" t="s">
        <v>658</v>
      </c>
      <c r="M3" s="898">
        <v>226</v>
      </c>
      <c r="N3" s="898">
        <v>243</v>
      </c>
      <c r="O3" s="899" t="s">
        <v>659</v>
      </c>
      <c r="Q3"/>
      <c r="R3" s="949">
        <f>E3-F3</f>
        <v>358420.32</v>
      </c>
      <c r="T3" s="889"/>
      <c r="U3" s="889"/>
      <c r="V3" s="889"/>
      <c r="W3" s="889"/>
      <c r="AD3"/>
      <c r="AE3"/>
      <c r="AF3"/>
      <c r="AG3"/>
    </row>
    <row r="4" spans="1:127" ht="52.5" customHeight="1" x14ac:dyDescent="0.25">
      <c r="A4" s="939">
        <v>2</v>
      </c>
      <c r="B4" s="893" t="s">
        <v>660</v>
      </c>
      <c r="C4" s="907" t="s">
        <v>877</v>
      </c>
      <c r="D4" s="955" t="s">
        <v>661</v>
      </c>
      <c r="E4" s="894">
        <v>26386727.399999999</v>
      </c>
      <c r="F4" s="895">
        <v>3707535.9099999992</v>
      </c>
      <c r="G4" s="896"/>
      <c r="H4" s="896"/>
      <c r="I4" s="896"/>
      <c r="J4" s="896"/>
      <c r="K4" s="980">
        <f>F4</f>
        <v>3707535.9099999992</v>
      </c>
      <c r="L4" s="897" t="s">
        <v>658</v>
      </c>
      <c r="M4" s="897">
        <v>225</v>
      </c>
      <c r="N4" s="898">
        <v>243</v>
      </c>
      <c r="O4" s="899" t="s">
        <v>662</v>
      </c>
      <c r="Q4"/>
      <c r="T4" s="889"/>
      <c r="U4" s="889"/>
      <c r="V4" s="889"/>
      <c r="W4" s="889"/>
      <c r="AD4"/>
      <c r="AE4"/>
      <c r="AF4"/>
      <c r="AG4"/>
    </row>
    <row r="5" spans="1:127" ht="51" customHeight="1" x14ac:dyDescent="0.25">
      <c r="A5" s="939">
        <v>3</v>
      </c>
      <c r="B5" s="893" t="s">
        <v>663</v>
      </c>
      <c r="C5" s="953" t="s">
        <v>878</v>
      </c>
      <c r="D5" s="955" t="s">
        <v>664</v>
      </c>
      <c r="E5" s="460">
        <v>105000</v>
      </c>
      <c r="F5" s="895">
        <v>105000</v>
      </c>
      <c r="G5" s="896"/>
      <c r="H5" s="896"/>
      <c r="I5" s="896"/>
      <c r="J5" s="896"/>
      <c r="K5" s="980">
        <f>F5</f>
        <v>105000</v>
      </c>
      <c r="L5" s="897" t="s">
        <v>658</v>
      </c>
      <c r="M5" s="897">
        <v>226</v>
      </c>
      <c r="N5" s="898">
        <v>243</v>
      </c>
      <c r="O5" s="899" t="s">
        <v>665</v>
      </c>
      <c r="Q5"/>
      <c r="T5" s="889"/>
      <c r="U5" s="889"/>
      <c r="V5" s="889"/>
      <c r="W5" s="889"/>
      <c r="AD5"/>
      <c r="AE5"/>
      <c r="AF5"/>
      <c r="AG5"/>
    </row>
    <row r="6" spans="1:127" ht="78.75" x14ac:dyDescent="0.25">
      <c r="A6" s="939">
        <v>4</v>
      </c>
      <c r="B6" s="893" t="s">
        <v>666</v>
      </c>
      <c r="C6" s="953" t="s">
        <v>879</v>
      </c>
      <c r="D6" s="955" t="s">
        <v>667</v>
      </c>
      <c r="E6" s="460">
        <v>1460286</v>
      </c>
      <c r="F6" s="273">
        <v>1460286</v>
      </c>
      <c r="G6" s="896"/>
      <c r="H6" s="896"/>
      <c r="I6" s="896"/>
      <c r="J6" s="896"/>
      <c r="K6" s="980">
        <f>F6</f>
        <v>1460286</v>
      </c>
      <c r="L6" s="897" t="s">
        <v>668</v>
      </c>
      <c r="M6" s="897">
        <v>310</v>
      </c>
      <c r="N6" s="898">
        <v>244</v>
      </c>
      <c r="O6" s="899" t="s">
        <v>669</v>
      </c>
      <c r="Q6"/>
      <c r="T6" s="889"/>
      <c r="U6" s="889"/>
      <c r="V6" s="889"/>
      <c r="W6" s="889"/>
      <c r="AD6"/>
      <c r="AE6"/>
      <c r="AF6"/>
      <c r="AG6"/>
    </row>
    <row r="7" spans="1:127" ht="78.75" x14ac:dyDescent="0.25">
      <c r="A7" s="939">
        <v>5</v>
      </c>
      <c r="B7" s="893" t="s">
        <v>666</v>
      </c>
      <c r="C7" s="953" t="s">
        <v>879</v>
      </c>
      <c r="D7" s="955" t="s">
        <v>903</v>
      </c>
      <c r="E7" s="460">
        <v>1354535</v>
      </c>
      <c r="F7" s="273">
        <v>1354535</v>
      </c>
      <c r="G7" s="896"/>
      <c r="H7" s="896"/>
      <c r="I7" s="896"/>
      <c r="J7" s="980">
        <f>F7-K7</f>
        <v>304411.98</v>
      </c>
      <c r="K7" s="980">
        <f>E7-T7</f>
        <v>1050123.02</v>
      </c>
      <c r="L7" s="897" t="s">
        <v>668</v>
      </c>
      <c r="M7" s="898">
        <v>310</v>
      </c>
      <c r="N7" s="898">
        <v>244</v>
      </c>
      <c r="O7" s="899" t="s">
        <v>669</v>
      </c>
      <c r="Q7"/>
      <c r="T7" s="889">
        <v>304411.98</v>
      </c>
      <c r="U7" s="889"/>
      <c r="V7" s="889"/>
      <c r="W7" s="889"/>
      <c r="AD7"/>
      <c r="AE7"/>
      <c r="AF7"/>
      <c r="AG7"/>
    </row>
    <row r="8" spans="1:127" s="906" customFormat="1" ht="21" customHeight="1" x14ac:dyDescent="0.25">
      <c r="B8" s="900" t="s">
        <v>670</v>
      </c>
      <c r="C8" s="900" t="s">
        <v>898</v>
      </c>
      <c r="D8" s="900"/>
      <c r="E8" s="901"/>
      <c r="F8" s="901">
        <f>SUM(F3:F7)</f>
        <v>6818936.5899999999</v>
      </c>
      <c r="G8" s="902"/>
      <c r="H8" s="902"/>
      <c r="I8" s="902"/>
      <c r="J8" s="901">
        <f>J7</f>
        <v>304411.98</v>
      </c>
      <c r="K8" s="901">
        <f>K3+K4+K5+K6+K7</f>
        <v>6514524.6099999994</v>
      </c>
      <c r="L8" s="903"/>
      <c r="M8" s="903"/>
      <c r="N8" s="903"/>
      <c r="O8" s="904"/>
      <c r="P8" s="904"/>
      <c r="Q8" s="904"/>
      <c r="R8" s="904"/>
      <c r="S8" s="904"/>
      <c r="T8" s="904"/>
      <c r="U8" s="905"/>
      <c r="V8" s="905"/>
      <c r="W8" s="905"/>
      <c r="X8" s="905"/>
      <c r="Y8" s="905"/>
      <c r="Z8" s="905"/>
      <c r="AA8" s="905"/>
      <c r="AB8" s="905"/>
      <c r="AC8" s="905"/>
      <c r="AD8" s="905"/>
      <c r="AE8" s="904"/>
      <c r="AF8" s="904"/>
      <c r="AG8" s="904"/>
      <c r="AH8" s="904"/>
      <c r="AI8" s="904"/>
      <c r="AJ8" s="904"/>
      <c r="AK8" s="904"/>
      <c r="AL8" s="904"/>
      <c r="AM8" s="904"/>
      <c r="AN8" s="904"/>
      <c r="AO8" s="904"/>
      <c r="AP8" s="904"/>
      <c r="AQ8" s="904"/>
      <c r="AR8" s="904"/>
      <c r="AS8" s="904"/>
      <c r="AT8" s="904"/>
      <c r="AU8" s="904"/>
      <c r="AV8" s="904"/>
      <c r="AW8" s="904"/>
      <c r="AX8" s="904"/>
      <c r="AY8" s="904"/>
      <c r="AZ8" s="904"/>
      <c r="BA8" s="904"/>
      <c r="BB8" s="904"/>
      <c r="BC8" s="904"/>
      <c r="BD8" s="904"/>
      <c r="BE8" s="904"/>
      <c r="BF8" s="904"/>
      <c r="BG8" s="904"/>
      <c r="BH8" s="904"/>
      <c r="BI8" s="904"/>
      <c r="BJ8" s="904"/>
      <c r="BK8" s="904"/>
      <c r="BL8" s="904"/>
      <c r="BM8" s="904"/>
      <c r="BN8" s="904"/>
      <c r="BO8" s="904"/>
      <c r="BP8" s="904"/>
      <c r="BQ8" s="904"/>
      <c r="BR8" s="904"/>
      <c r="BS8" s="904"/>
      <c r="BT8" s="904"/>
      <c r="BU8" s="904"/>
      <c r="BV8" s="904"/>
      <c r="BW8" s="904"/>
      <c r="BX8" s="904"/>
      <c r="BY8" s="904"/>
      <c r="BZ8" s="904"/>
      <c r="CA8" s="904"/>
      <c r="CB8" s="904"/>
      <c r="CC8" s="904"/>
      <c r="CD8" s="904"/>
      <c r="CE8" s="904"/>
      <c r="CF8" s="904"/>
      <c r="CG8" s="904"/>
      <c r="CH8" s="904"/>
      <c r="CI8" s="904"/>
      <c r="CJ8" s="904"/>
      <c r="CK8" s="904"/>
      <c r="CL8" s="904"/>
      <c r="CM8" s="904"/>
      <c r="CN8" s="904"/>
      <c r="CO8" s="904"/>
      <c r="CP8" s="904"/>
      <c r="CQ8" s="904"/>
      <c r="CR8" s="904"/>
      <c r="CS8" s="904"/>
      <c r="CT8" s="904"/>
      <c r="CU8" s="904"/>
      <c r="CV8" s="904"/>
      <c r="CW8" s="904"/>
      <c r="CX8" s="904"/>
      <c r="CY8" s="904"/>
      <c r="CZ8" s="904"/>
      <c r="DA8" s="904"/>
      <c r="DB8" s="904"/>
      <c r="DC8" s="904"/>
      <c r="DD8" s="904"/>
      <c r="DE8" s="904"/>
      <c r="DF8" s="904"/>
      <c r="DG8" s="904"/>
      <c r="DH8" s="904"/>
      <c r="DI8" s="904"/>
      <c r="DJ8" s="904"/>
      <c r="DK8" s="904"/>
      <c r="DL8" s="904"/>
      <c r="DM8" s="904"/>
      <c r="DN8" s="904"/>
      <c r="DO8" s="904"/>
      <c r="DP8" s="904"/>
      <c r="DQ8" s="904"/>
      <c r="DR8" s="904"/>
      <c r="DS8" s="904"/>
      <c r="DT8" s="904"/>
      <c r="DU8" s="904"/>
      <c r="DV8" s="904"/>
      <c r="DW8" s="904"/>
    </row>
    <row r="9" spans="1:127" ht="18" customHeight="1" x14ac:dyDescent="0.25">
      <c r="B9" s="1676" t="s">
        <v>671</v>
      </c>
      <c r="C9" s="1676"/>
      <c r="D9" s="1676"/>
      <c r="E9" s="1676"/>
      <c r="F9" s="1676"/>
      <c r="G9" s="1676"/>
      <c r="H9" s="1676"/>
      <c r="I9" s="1676"/>
      <c r="J9" s="1676"/>
      <c r="K9" s="1676"/>
      <c r="L9" s="1676"/>
      <c r="M9" s="1676"/>
      <c r="N9" s="1676"/>
      <c r="O9" s="887"/>
    </row>
    <row r="10" spans="1:127" s="985" customFormat="1" ht="54.75" customHeight="1" x14ac:dyDescent="0.25">
      <c r="A10" s="982" t="s">
        <v>255</v>
      </c>
      <c r="B10" s="982" t="s">
        <v>648</v>
      </c>
      <c r="C10" s="982" t="s">
        <v>874</v>
      </c>
      <c r="D10" s="982" t="s">
        <v>649</v>
      </c>
      <c r="E10" s="982" t="s">
        <v>650</v>
      </c>
      <c r="F10" s="983" t="s">
        <v>902</v>
      </c>
      <c r="G10" s="983" t="s">
        <v>651</v>
      </c>
      <c r="H10" s="983" t="s">
        <v>652</v>
      </c>
      <c r="I10" s="983" t="s">
        <v>653</v>
      </c>
      <c r="J10" s="983" t="s">
        <v>901</v>
      </c>
      <c r="K10" s="983" t="s">
        <v>869</v>
      </c>
      <c r="L10" s="890" t="s">
        <v>672</v>
      </c>
      <c r="M10" s="890" t="s">
        <v>673</v>
      </c>
      <c r="N10" s="898" t="s">
        <v>674</v>
      </c>
      <c r="U10" s="986"/>
      <c r="V10" s="986"/>
      <c r="W10" s="986"/>
      <c r="X10" s="986"/>
      <c r="Y10" s="986"/>
      <c r="Z10" s="986"/>
      <c r="AA10" s="986"/>
      <c r="AB10" s="986"/>
      <c r="AC10" s="986"/>
      <c r="AD10" s="986"/>
    </row>
    <row r="11" spans="1:127" ht="31.5" x14ac:dyDescent="0.25">
      <c r="A11" s="939">
        <v>6</v>
      </c>
      <c r="B11" s="893" t="s">
        <v>675</v>
      </c>
      <c r="C11" s="907" t="s">
        <v>880</v>
      </c>
      <c r="D11" s="907" t="s">
        <v>676</v>
      </c>
      <c r="E11" s="908">
        <v>21502563.440000001</v>
      </c>
      <c r="F11" s="908">
        <v>2864683.8200000022</v>
      </c>
      <c r="G11" s="909"/>
      <c r="H11" s="909"/>
      <c r="I11" s="909"/>
      <c r="J11" s="909"/>
      <c r="K11" s="980">
        <f>F11</f>
        <v>2864683.8200000022</v>
      </c>
      <c r="L11" s="910" t="s">
        <v>658</v>
      </c>
      <c r="M11" s="910">
        <v>225</v>
      </c>
      <c r="N11" s="897">
        <v>243</v>
      </c>
      <c r="O11"/>
      <c r="P11" s="899" t="s">
        <v>677</v>
      </c>
      <c r="Q11"/>
      <c r="U11" s="889"/>
      <c r="V11" s="889"/>
      <c r="W11" s="889"/>
      <c r="AE11"/>
      <c r="AF11"/>
      <c r="AG11"/>
    </row>
    <row r="12" spans="1:127" ht="31.5" x14ac:dyDescent="0.25">
      <c r="A12" s="939">
        <v>7</v>
      </c>
      <c r="B12" s="893" t="s">
        <v>678</v>
      </c>
      <c r="C12" s="955"/>
      <c r="D12" s="955" t="s">
        <v>679</v>
      </c>
      <c r="E12" s="908">
        <v>43221.23</v>
      </c>
      <c r="F12" s="908">
        <v>43221.23</v>
      </c>
      <c r="G12" s="911"/>
      <c r="H12" s="911"/>
      <c r="I12" s="911"/>
      <c r="J12" s="908">
        <f>F12</f>
        <v>43221.23</v>
      </c>
      <c r="K12" s="989"/>
      <c r="L12" s="898" t="s">
        <v>658</v>
      </c>
      <c r="M12" s="898">
        <v>226</v>
      </c>
      <c r="N12" s="897">
        <v>243</v>
      </c>
      <c r="O12"/>
      <c r="Q12"/>
      <c r="U12" s="889"/>
      <c r="V12" s="889"/>
      <c r="W12" s="889"/>
      <c r="AE12"/>
      <c r="AF12"/>
      <c r="AG12"/>
    </row>
    <row r="13" spans="1:127" ht="31.5" x14ac:dyDescent="0.25">
      <c r="A13" s="939">
        <v>8</v>
      </c>
      <c r="B13" s="893" t="s">
        <v>680</v>
      </c>
      <c r="C13" s="955"/>
      <c r="D13" s="955" t="s">
        <v>681</v>
      </c>
      <c r="E13" s="908">
        <v>6692895</v>
      </c>
      <c r="F13" s="912">
        <v>1163008</v>
      </c>
      <c r="G13" s="909"/>
      <c r="H13" s="909"/>
      <c r="I13" s="909"/>
      <c r="J13" s="908">
        <f t="shared" ref="J13:J14" si="0">F13</f>
        <v>1163008</v>
      </c>
      <c r="K13" s="990"/>
      <c r="L13" s="890" t="s">
        <v>682</v>
      </c>
      <c r="M13" s="890">
        <v>226</v>
      </c>
      <c r="N13" s="898">
        <v>244</v>
      </c>
      <c r="O13"/>
      <c r="Q13"/>
      <c r="U13" s="889"/>
      <c r="V13" s="889"/>
      <c r="W13" s="889"/>
      <c r="AE13"/>
      <c r="AF13"/>
      <c r="AG13"/>
    </row>
    <row r="14" spans="1:127" ht="54.75" customHeight="1" x14ac:dyDescent="0.25">
      <c r="A14" s="939">
        <v>9</v>
      </c>
      <c r="B14" s="893" t="s">
        <v>683</v>
      </c>
      <c r="C14" s="955"/>
      <c r="D14" s="955" t="s">
        <v>684</v>
      </c>
      <c r="E14" s="908">
        <v>1183678</v>
      </c>
      <c r="F14" s="912">
        <v>197700</v>
      </c>
      <c r="G14" s="911"/>
      <c r="H14" s="911"/>
      <c r="I14" s="911"/>
      <c r="J14" s="908">
        <f t="shared" si="0"/>
        <v>197700</v>
      </c>
      <c r="K14" s="989"/>
      <c r="L14" s="898" t="s">
        <v>685</v>
      </c>
      <c r="M14" s="898">
        <v>310</v>
      </c>
      <c r="N14" s="898">
        <v>244</v>
      </c>
      <c r="O14" s="913"/>
      <c r="P14" s="913"/>
      <c r="Q14" s="913"/>
      <c r="R14" s="913"/>
      <c r="S14" s="913"/>
      <c r="T14" s="913"/>
      <c r="U14" s="914"/>
      <c r="V14" s="914"/>
      <c r="W14" s="914"/>
      <c r="X14" s="914"/>
      <c r="Y14" s="914"/>
      <c r="Z14" s="914"/>
      <c r="AA14" s="914"/>
      <c r="AB14" s="914"/>
      <c r="AC14" s="914"/>
      <c r="AD14" s="914"/>
      <c r="AE14" s="913"/>
      <c r="AF14" s="913"/>
      <c r="AG14" s="913"/>
      <c r="AH14" s="913"/>
      <c r="AI14" s="913"/>
      <c r="AJ14" s="913"/>
      <c r="AK14" s="913"/>
      <c r="AL14" s="913"/>
      <c r="AM14" s="913"/>
      <c r="AN14" s="913"/>
      <c r="AO14" s="913"/>
      <c r="AP14" s="913"/>
      <c r="AQ14" s="913"/>
      <c r="AR14" s="913"/>
      <c r="AS14" s="913"/>
      <c r="AT14" s="913"/>
      <c r="AU14" s="913"/>
      <c r="AV14" s="913"/>
      <c r="AW14" s="913"/>
      <c r="AX14" s="913"/>
      <c r="AY14" s="913"/>
      <c r="AZ14" s="913"/>
      <c r="BA14" s="913"/>
      <c r="BB14" s="913"/>
      <c r="BC14" s="913"/>
      <c r="BD14" s="913"/>
      <c r="BE14" s="913"/>
      <c r="BF14" s="913"/>
      <c r="BG14" s="913"/>
      <c r="BH14" s="913"/>
      <c r="BI14" s="913"/>
      <c r="BJ14" s="913"/>
      <c r="BK14" s="913"/>
      <c r="BL14" s="913"/>
      <c r="BM14" s="913"/>
      <c r="BN14" s="913"/>
      <c r="BO14" s="913"/>
      <c r="BP14" s="913"/>
      <c r="BQ14" s="913"/>
      <c r="BR14" s="913"/>
      <c r="BS14" s="913"/>
      <c r="BT14" s="913"/>
      <c r="BU14" s="913"/>
      <c r="BV14" s="913"/>
      <c r="BW14" s="913"/>
      <c r="BX14" s="913"/>
      <c r="BY14" s="913"/>
      <c r="BZ14" s="913"/>
      <c r="CA14" s="913"/>
      <c r="CB14" s="913"/>
      <c r="CC14" s="913"/>
      <c r="CD14" s="913"/>
      <c r="CE14" s="913"/>
      <c r="CF14" s="913"/>
      <c r="CG14" s="913"/>
      <c r="CH14" s="913"/>
      <c r="CI14" s="913"/>
      <c r="CJ14" s="913"/>
      <c r="CK14" s="913"/>
      <c r="CL14" s="913"/>
      <c r="CM14" s="913"/>
      <c r="CN14" s="913"/>
      <c r="CO14" s="913"/>
      <c r="CP14" s="913"/>
      <c r="CQ14" s="913"/>
      <c r="CR14" s="913"/>
      <c r="CS14" s="913"/>
      <c r="CT14" s="913"/>
      <c r="CU14" s="913"/>
      <c r="CV14" s="913"/>
      <c r="CW14" s="913"/>
      <c r="CX14" s="913"/>
      <c r="CY14" s="913"/>
      <c r="CZ14" s="913"/>
      <c r="DA14" s="913"/>
      <c r="DB14" s="913"/>
      <c r="DC14" s="913"/>
      <c r="DD14" s="913"/>
      <c r="DE14" s="913"/>
      <c r="DF14" s="913"/>
      <c r="DG14" s="913"/>
      <c r="DH14" s="913"/>
      <c r="DI14" s="913"/>
      <c r="DJ14" s="913"/>
      <c r="DK14" s="913"/>
      <c r="DL14" s="913"/>
      <c r="DM14" s="913"/>
      <c r="DN14" s="913"/>
      <c r="DO14" s="913"/>
      <c r="DP14" s="913"/>
      <c r="DQ14" s="913"/>
      <c r="DR14" s="913"/>
      <c r="DS14" s="913"/>
      <c r="DT14" s="913"/>
      <c r="DU14" s="913"/>
      <c r="DV14" s="913"/>
      <c r="DW14" s="913"/>
    </row>
    <row r="15" spans="1:127" ht="87" customHeight="1" x14ac:dyDescent="0.25">
      <c r="A15" s="939">
        <v>10</v>
      </c>
      <c r="B15" s="893" t="s">
        <v>686</v>
      </c>
      <c r="C15" s="961" t="s">
        <v>881</v>
      </c>
      <c r="D15" s="955" t="s">
        <v>687</v>
      </c>
      <c r="E15" s="908">
        <v>17267799.32</v>
      </c>
      <c r="F15" s="908">
        <v>2715436.6899999995</v>
      </c>
      <c r="G15" s="911"/>
      <c r="H15" s="911"/>
      <c r="I15" s="911"/>
      <c r="J15" s="911"/>
      <c r="K15" s="981">
        <f>F15</f>
        <v>2715436.6899999995</v>
      </c>
      <c r="L15" s="898" t="s">
        <v>658</v>
      </c>
      <c r="M15" s="898">
        <v>225</v>
      </c>
      <c r="N15" s="897">
        <v>243</v>
      </c>
      <c r="O15" s="913"/>
      <c r="P15" s="945" t="s">
        <v>688</v>
      </c>
      <c r="Q15" s="913"/>
      <c r="R15" s="913"/>
      <c r="S15" s="913"/>
      <c r="T15" s="913"/>
      <c r="U15" s="914"/>
      <c r="V15" s="914"/>
      <c r="W15" s="914"/>
      <c r="X15" s="914"/>
      <c r="Y15" s="914"/>
      <c r="Z15" s="914"/>
      <c r="AA15" s="914"/>
      <c r="AB15" s="914"/>
      <c r="AC15" s="914"/>
      <c r="AD15" s="914"/>
      <c r="AE15" s="913"/>
      <c r="AF15" s="913"/>
      <c r="AG15" s="913"/>
      <c r="AH15" s="913"/>
      <c r="AI15" s="913"/>
      <c r="AJ15" s="913"/>
      <c r="AK15" s="913"/>
      <c r="AL15" s="913"/>
      <c r="AM15" s="913"/>
      <c r="AN15" s="913"/>
      <c r="AO15" s="913"/>
      <c r="AP15" s="913"/>
      <c r="AQ15" s="913"/>
      <c r="AR15" s="913"/>
      <c r="AS15" s="913"/>
      <c r="AT15" s="913"/>
      <c r="AU15" s="913"/>
      <c r="AV15" s="913"/>
      <c r="AW15" s="913"/>
      <c r="AX15" s="913"/>
      <c r="AY15" s="913"/>
      <c r="AZ15" s="913"/>
      <c r="BA15" s="913"/>
      <c r="BB15" s="913"/>
      <c r="BC15" s="913"/>
      <c r="BD15" s="913"/>
      <c r="BE15" s="913"/>
      <c r="BF15" s="913"/>
      <c r="BG15" s="913"/>
      <c r="BH15" s="913"/>
      <c r="BI15" s="913"/>
      <c r="BJ15" s="913"/>
      <c r="BK15" s="913"/>
      <c r="BL15" s="913"/>
      <c r="BM15" s="913"/>
      <c r="BN15" s="913"/>
      <c r="BO15" s="913"/>
      <c r="BP15" s="913"/>
      <c r="BQ15" s="913"/>
      <c r="BR15" s="913"/>
      <c r="BS15" s="913"/>
      <c r="BT15" s="913"/>
      <c r="BU15" s="913"/>
      <c r="BV15" s="913"/>
      <c r="BW15" s="913"/>
      <c r="BX15" s="913"/>
      <c r="BY15" s="913"/>
      <c r="BZ15" s="913"/>
      <c r="CA15" s="913"/>
      <c r="CB15" s="913"/>
      <c r="CC15" s="913"/>
      <c r="CD15" s="913"/>
      <c r="CE15" s="913"/>
      <c r="CF15" s="913"/>
      <c r="CG15" s="913"/>
      <c r="CH15" s="913"/>
      <c r="CI15" s="913"/>
      <c r="CJ15" s="913"/>
      <c r="CK15" s="913"/>
      <c r="CL15" s="913"/>
      <c r="CM15" s="913"/>
      <c r="CN15" s="913"/>
      <c r="CO15" s="913"/>
      <c r="CP15" s="913"/>
      <c r="CQ15" s="913"/>
      <c r="CR15" s="913"/>
      <c r="CS15" s="913"/>
      <c r="CT15" s="913"/>
      <c r="CU15" s="913"/>
      <c r="CV15" s="913"/>
      <c r="CW15" s="913"/>
      <c r="CX15" s="913"/>
      <c r="CY15" s="913"/>
      <c r="CZ15" s="913"/>
      <c r="DA15" s="913"/>
      <c r="DB15" s="913"/>
      <c r="DC15" s="913"/>
      <c r="DD15" s="913"/>
      <c r="DE15" s="913"/>
      <c r="DF15" s="913"/>
      <c r="DG15" s="913"/>
      <c r="DH15" s="913"/>
      <c r="DI15" s="913"/>
      <c r="DJ15" s="913"/>
      <c r="DK15" s="913"/>
      <c r="DL15" s="913"/>
      <c r="DM15" s="913"/>
      <c r="DN15" s="913"/>
      <c r="DO15" s="913"/>
      <c r="DP15" s="913"/>
      <c r="DQ15" s="913"/>
      <c r="DR15" s="913"/>
      <c r="DS15" s="913"/>
      <c r="DT15" s="913"/>
      <c r="DU15" s="913"/>
      <c r="DV15" s="913"/>
      <c r="DW15" s="913"/>
    </row>
    <row r="16" spans="1:127" ht="71.25" customHeight="1" x14ac:dyDescent="0.25">
      <c r="A16" s="939">
        <v>11</v>
      </c>
      <c r="B16" s="893" t="s">
        <v>689</v>
      </c>
      <c r="C16" s="961" t="s">
        <v>884</v>
      </c>
      <c r="D16" s="955" t="s">
        <v>690</v>
      </c>
      <c r="E16" s="908">
        <v>69587870</v>
      </c>
      <c r="F16" s="908">
        <v>69209073.780000001</v>
      </c>
      <c r="G16" s="911"/>
      <c r="H16" s="911"/>
      <c r="I16" s="911"/>
      <c r="J16" s="911"/>
      <c r="K16" s="981">
        <f>F16</f>
        <v>69209073.780000001</v>
      </c>
      <c r="L16" s="898" t="s">
        <v>658</v>
      </c>
      <c r="M16" s="898">
        <v>225</v>
      </c>
      <c r="N16" s="897">
        <v>243</v>
      </c>
      <c r="O16" s="915"/>
      <c r="P16" s="913"/>
      <c r="Q16" s="913"/>
      <c r="R16" s="913"/>
      <c r="S16" s="913"/>
      <c r="T16" s="913"/>
      <c r="U16" s="914"/>
      <c r="V16" s="914"/>
      <c r="W16" s="914"/>
      <c r="X16" s="914"/>
      <c r="Y16" s="914"/>
      <c r="Z16" s="914"/>
      <c r="AA16" s="914"/>
      <c r="AB16" s="914"/>
      <c r="AC16" s="914"/>
      <c r="AD16" s="914"/>
      <c r="AE16" s="913"/>
      <c r="AF16" s="913"/>
      <c r="AG16" s="913"/>
      <c r="AH16" s="913"/>
      <c r="AI16" s="913"/>
      <c r="AJ16" s="913"/>
      <c r="AK16" s="913"/>
      <c r="AL16" s="913"/>
      <c r="AM16" s="913"/>
      <c r="AN16" s="913"/>
      <c r="AO16" s="913"/>
      <c r="AP16" s="913"/>
      <c r="AQ16" s="913"/>
      <c r="AR16" s="913"/>
      <c r="AS16" s="913"/>
      <c r="AT16" s="913"/>
      <c r="AU16" s="913"/>
      <c r="AV16" s="913"/>
      <c r="AW16" s="913"/>
      <c r="AX16" s="913"/>
      <c r="AY16" s="913"/>
      <c r="AZ16" s="913"/>
      <c r="BA16" s="913"/>
      <c r="BB16" s="913"/>
      <c r="BC16" s="913"/>
      <c r="BD16" s="913"/>
      <c r="BE16" s="913"/>
      <c r="BF16" s="913"/>
      <c r="BG16" s="913"/>
      <c r="BH16" s="913"/>
      <c r="BI16" s="913"/>
      <c r="BJ16" s="913"/>
      <c r="BK16" s="913"/>
      <c r="BL16" s="913"/>
      <c r="BM16" s="913"/>
      <c r="BN16" s="913"/>
      <c r="BO16" s="913"/>
      <c r="BP16" s="913"/>
      <c r="BQ16" s="913"/>
      <c r="BR16" s="913"/>
      <c r="BS16" s="913"/>
      <c r="BT16" s="913"/>
      <c r="BU16" s="913"/>
      <c r="BV16" s="913"/>
      <c r="BW16" s="913"/>
      <c r="BX16" s="913"/>
      <c r="BY16" s="913"/>
      <c r="BZ16" s="913"/>
      <c r="CA16" s="913"/>
      <c r="CB16" s="913"/>
      <c r="CC16" s="913"/>
      <c r="CD16" s="913"/>
      <c r="CE16" s="913"/>
      <c r="CF16" s="913"/>
      <c r="CG16" s="913"/>
      <c r="CH16" s="913"/>
      <c r="CI16" s="913"/>
      <c r="CJ16" s="913"/>
      <c r="CK16" s="913"/>
      <c r="CL16" s="913"/>
      <c r="CM16" s="913"/>
      <c r="CN16" s="913"/>
      <c r="CO16" s="913"/>
      <c r="CP16" s="913"/>
      <c r="CQ16" s="913"/>
      <c r="CR16" s="913"/>
      <c r="CS16" s="913"/>
      <c r="CT16" s="913"/>
      <c r="CU16" s="913"/>
      <c r="CV16" s="913"/>
      <c r="CW16" s="913"/>
      <c r="CX16" s="913"/>
      <c r="CY16" s="913"/>
      <c r="CZ16" s="913"/>
      <c r="DA16" s="913"/>
      <c r="DB16" s="913"/>
      <c r="DC16" s="913"/>
      <c r="DD16" s="913"/>
      <c r="DE16" s="913"/>
      <c r="DF16" s="913"/>
      <c r="DG16" s="913"/>
      <c r="DH16" s="913"/>
      <c r="DI16" s="913"/>
      <c r="DJ16" s="913"/>
      <c r="DK16" s="913"/>
      <c r="DL16" s="913"/>
      <c r="DM16" s="913"/>
      <c r="DN16" s="913"/>
      <c r="DO16" s="913"/>
      <c r="DP16" s="913"/>
      <c r="DQ16" s="913"/>
      <c r="DR16" s="913"/>
      <c r="DS16" s="913"/>
      <c r="DT16" s="913"/>
      <c r="DU16" s="913"/>
      <c r="DV16" s="913"/>
      <c r="DW16" s="913"/>
    </row>
    <row r="17" spans="1:127" ht="66.75" customHeight="1" x14ac:dyDescent="0.25">
      <c r="A17" s="939">
        <v>12</v>
      </c>
      <c r="B17" s="893" t="s">
        <v>689</v>
      </c>
      <c r="C17" s="961" t="s">
        <v>884</v>
      </c>
      <c r="D17" s="955" t="s">
        <v>690</v>
      </c>
      <c r="E17" s="908">
        <f>94673610-E18</f>
        <v>37224554.799999997</v>
      </c>
      <c r="F17" s="908">
        <v>37224554.799999997</v>
      </c>
      <c r="G17" s="911"/>
      <c r="H17" s="911"/>
      <c r="I17" s="911"/>
      <c r="J17" s="911"/>
      <c r="K17" s="981">
        <f>F17</f>
        <v>37224554.799999997</v>
      </c>
      <c r="L17" s="898" t="s">
        <v>685</v>
      </c>
      <c r="M17" s="898">
        <v>310</v>
      </c>
      <c r="N17" s="898">
        <v>244</v>
      </c>
      <c r="O17" s="913"/>
      <c r="P17" s="913"/>
      <c r="Q17" s="913"/>
      <c r="R17" s="913"/>
      <c r="S17" s="913"/>
      <c r="T17" s="913"/>
      <c r="U17" s="914"/>
      <c r="V17" s="914"/>
      <c r="W17" s="914"/>
      <c r="X17" s="914"/>
      <c r="Y17" s="914"/>
      <c r="Z17" s="914"/>
      <c r="AA17" s="914"/>
      <c r="AB17" s="914"/>
      <c r="AC17" s="914"/>
      <c r="AD17" s="914"/>
      <c r="AE17" s="913"/>
      <c r="AF17" s="913"/>
      <c r="AG17" s="913"/>
      <c r="AH17" s="913"/>
      <c r="AI17" s="913"/>
      <c r="AJ17" s="913"/>
      <c r="AK17" s="913"/>
      <c r="AL17" s="913"/>
      <c r="AM17" s="913"/>
      <c r="AN17" s="913"/>
      <c r="AO17" s="913"/>
      <c r="AP17" s="913"/>
      <c r="AQ17" s="913"/>
      <c r="AR17" s="913"/>
      <c r="AS17" s="913"/>
      <c r="AT17" s="913"/>
      <c r="AU17" s="913"/>
      <c r="AV17" s="913"/>
      <c r="AW17" s="913"/>
      <c r="AX17" s="913"/>
      <c r="AY17" s="913"/>
      <c r="AZ17" s="913"/>
      <c r="BA17" s="913"/>
      <c r="BB17" s="913"/>
      <c r="BC17" s="913"/>
      <c r="BD17" s="913"/>
      <c r="BE17" s="913"/>
      <c r="BF17" s="913"/>
      <c r="BG17" s="913"/>
      <c r="BH17" s="913"/>
      <c r="BI17" s="913"/>
      <c r="BJ17" s="913"/>
      <c r="BK17" s="913"/>
      <c r="BL17" s="913"/>
      <c r="BM17" s="913"/>
      <c r="BN17" s="913"/>
      <c r="BO17" s="913"/>
      <c r="BP17" s="913"/>
      <c r="BQ17" s="913"/>
      <c r="BR17" s="913"/>
      <c r="BS17" s="913"/>
      <c r="BT17" s="913"/>
      <c r="BU17" s="913"/>
      <c r="BV17" s="913"/>
      <c r="BW17" s="913"/>
      <c r="BX17" s="913"/>
      <c r="BY17" s="913"/>
      <c r="BZ17" s="913"/>
      <c r="CA17" s="913"/>
      <c r="CB17" s="913"/>
      <c r="CC17" s="913"/>
      <c r="CD17" s="913"/>
      <c r="CE17" s="913"/>
      <c r="CF17" s="913"/>
      <c r="CG17" s="913"/>
      <c r="CH17" s="913"/>
      <c r="CI17" s="913"/>
      <c r="CJ17" s="913"/>
      <c r="CK17" s="913"/>
      <c r="CL17" s="913"/>
      <c r="CM17" s="913"/>
      <c r="CN17" s="913"/>
      <c r="CO17" s="913"/>
      <c r="CP17" s="913"/>
      <c r="CQ17" s="913"/>
      <c r="CR17" s="913"/>
      <c r="CS17" s="913"/>
      <c r="CT17" s="913"/>
      <c r="CU17" s="913"/>
      <c r="CV17" s="913"/>
      <c r="CW17" s="913"/>
      <c r="CX17" s="913"/>
      <c r="CY17" s="913"/>
      <c r="CZ17" s="913"/>
      <c r="DA17" s="913"/>
      <c r="DB17" s="913"/>
      <c r="DC17" s="913"/>
      <c r="DD17" s="913"/>
      <c r="DE17" s="913"/>
      <c r="DF17" s="913"/>
      <c r="DG17" s="913"/>
      <c r="DH17" s="913"/>
      <c r="DI17" s="913"/>
      <c r="DJ17" s="913"/>
      <c r="DK17" s="913"/>
      <c r="DL17" s="913"/>
      <c r="DM17" s="913"/>
      <c r="DN17" s="913"/>
      <c r="DO17" s="913"/>
      <c r="DP17" s="913"/>
      <c r="DQ17" s="913"/>
      <c r="DR17" s="913"/>
      <c r="DS17" s="913"/>
      <c r="DT17" s="913"/>
      <c r="DU17" s="913"/>
      <c r="DV17" s="913"/>
      <c r="DW17" s="913"/>
    </row>
    <row r="18" spans="1:127" ht="66.75" customHeight="1" x14ac:dyDescent="0.25">
      <c r="A18" s="939">
        <v>13</v>
      </c>
      <c r="B18" s="893" t="s">
        <v>689</v>
      </c>
      <c r="C18" s="955"/>
      <c r="D18" s="955" t="s">
        <v>690</v>
      </c>
      <c r="E18" s="908">
        <v>57449055.200000003</v>
      </c>
      <c r="F18" s="908">
        <v>860103.18000000715</v>
      </c>
      <c r="G18" s="911"/>
      <c r="H18" s="911"/>
      <c r="I18" s="911"/>
      <c r="J18" s="908">
        <f>F18</f>
        <v>860103.18000000715</v>
      </c>
      <c r="K18" s="944"/>
      <c r="L18" s="916" t="s">
        <v>685</v>
      </c>
      <c r="M18" s="916">
        <v>310</v>
      </c>
      <c r="N18" s="916">
        <v>243</v>
      </c>
      <c r="O18" s="913"/>
      <c r="P18" s="913"/>
      <c r="Q18" s="913"/>
      <c r="R18" s="913"/>
      <c r="S18" s="913"/>
      <c r="T18" s="913"/>
      <c r="U18" s="914"/>
      <c r="V18" s="914"/>
      <c r="W18" s="914"/>
      <c r="X18" s="914"/>
      <c r="Y18" s="914"/>
      <c r="Z18" s="914"/>
      <c r="AA18" s="914"/>
      <c r="AB18" s="914"/>
      <c r="AC18" s="914"/>
      <c r="AD18" s="914"/>
      <c r="AE18" s="913"/>
      <c r="AF18" s="913"/>
      <c r="AG18" s="913"/>
      <c r="AH18" s="913"/>
      <c r="AI18" s="913"/>
      <c r="AJ18" s="913"/>
      <c r="AK18" s="913"/>
      <c r="AL18" s="913"/>
      <c r="AM18" s="913"/>
      <c r="AN18" s="913"/>
      <c r="AO18" s="913"/>
      <c r="AP18" s="913"/>
      <c r="AQ18" s="913"/>
      <c r="AR18" s="913"/>
      <c r="AS18" s="913"/>
      <c r="AT18" s="913"/>
      <c r="AU18" s="913"/>
      <c r="AV18" s="913"/>
      <c r="AW18" s="913"/>
      <c r="AX18" s="913"/>
      <c r="AY18" s="913"/>
      <c r="AZ18" s="913"/>
      <c r="BA18" s="913"/>
      <c r="BB18" s="913"/>
      <c r="BC18" s="913"/>
      <c r="BD18" s="913"/>
      <c r="BE18" s="913"/>
      <c r="BF18" s="913"/>
      <c r="BG18" s="913"/>
      <c r="BH18" s="913"/>
      <c r="BI18" s="913"/>
      <c r="BJ18" s="913"/>
      <c r="BK18" s="913"/>
      <c r="BL18" s="913"/>
      <c r="BM18" s="913"/>
      <c r="BN18" s="913"/>
      <c r="BO18" s="913"/>
      <c r="BP18" s="913"/>
      <c r="BQ18" s="913"/>
      <c r="BR18" s="913"/>
      <c r="BS18" s="913"/>
      <c r="BT18" s="913"/>
      <c r="BU18" s="913"/>
      <c r="BV18" s="913"/>
      <c r="BW18" s="913"/>
      <c r="BX18" s="913"/>
      <c r="BY18" s="913"/>
      <c r="BZ18" s="913"/>
      <c r="CA18" s="913"/>
      <c r="CB18" s="913"/>
      <c r="CC18" s="913"/>
      <c r="CD18" s="913"/>
      <c r="CE18" s="913"/>
      <c r="CF18" s="913"/>
      <c r="CG18" s="913"/>
      <c r="CH18" s="913"/>
      <c r="CI18" s="913"/>
      <c r="CJ18" s="913"/>
      <c r="CK18" s="913"/>
      <c r="CL18" s="913"/>
      <c r="CM18" s="913"/>
      <c r="CN18" s="913"/>
      <c r="CO18" s="913"/>
      <c r="CP18" s="913"/>
      <c r="CQ18" s="913"/>
      <c r="CR18" s="913"/>
      <c r="CS18" s="913"/>
      <c r="CT18" s="913"/>
      <c r="CU18" s="913"/>
      <c r="CV18" s="913"/>
      <c r="CW18" s="913"/>
      <c r="CX18" s="913"/>
      <c r="CY18" s="913"/>
      <c r="CZ18" s="913"/>
      <c r="DA18" s="913"/>
      <c r="DB18" s="913"/>
      <c r="DC18" s="913"/>
      <c r="DD18" s="913"/>
      <c r="DE18" s="913"/>
      <c r="DF18" s="913"/>
      <c r="DG18" s="913"/>
      <c r="DH18" s="913"/>
      <c r="DI18" s="913"/>
      <c r="DJ18" s="913"/>
      <c r="DK18" s="913"/>
      <c r="DL18" s="913"/>
      <c r="DM18" s="913"/>
      <c r="DN18" s="913"/>
      <c r="DO18" s="913"/>
      <c r="DP18" s="913"/>
      <c r="DQ18" s="913"/>
      <c r="DR18" s="913"/>
      <c r="DS18" s="913"/>
      <c r="DT18" s="913"/>
      <c r="DU18" s="913"/>
      <c r="DV18" s="913"/>
      <c r="DW18" s="913"/>
    </row>
    <row r="19" spans="1:127" ht="69" customHeight="1" x14ac:dyDescent="0.25">
      <c r="A19" s="939">
        <v>14</v>
      </c>
      <c r="B19" s="893" t="s">
        <v>691</v>
      </c>
      <c r="C19" s="961" t="s">
        <v>882</v>
      </c>
      <c r="D19" s="955" t="s">
        <v>692</v>
      </c>
      <c r="E19" s="908">
        <v>51409675.670000002</v>
      </c>
      <c r="F19" s="908">
        <v>47483994.050000004</v>
      </c>
      <c r="G19" s="911"/>
      <c r="H19" s="911"/>
      <c r="I19" s="911"/>
      <c r="J19" s="911"/>
      <c r="K19" s="981">
        <f>F19</f>
        <v>47483994.050000004</v>
      </c>
      <c r="L19" s="898" t="s">
        <v>658</v>
      </c>
      <c r="M19" s="898">
        <v>225</v>
      </c>
      <c r="N19" s="898">
        <v>243</v>
      </c>
      <c r="O19" s="913"/>
      <c r="P19" s="899" t="s">
        <v>693</v>
      </c>
      <c r="Q19" s="913"/>
      <c r="R19" s="913"/>
      <c r="S19" s="913"/>
      <c r="T19" s="913"/>
      <c r="U19" s="914"/>
      <c r="V19" s="914"/>
      <c r="W19" s="914"/>
      <c r="X19" s="914"/>
      <c r="Y19" s="914"/>
      <c r="Z19" s="914"/>
      <c r="AA19" s="914"/>
      <c r="AB19" s="914"/>
      <c r="AC19" s="914"/>
      <c r="AD19" s="914"/>
      <c r="AE19" s="913"/>
      <c r="AF19" s="913"/>
      <c r="AG19" s="913"/>
      <c r="AH19" s="913"/>
      <c r="AI19" s="913"/>
      <c r="AJ19" s="913"/>
      <c r="AK19" s="913"/>
      <c r="AL19" s="913"/>
      <c r="AM19" s="913"/>
      <c r="AN19" s="913"/>
      <c r="AO19" s="913"/>
      <c r="AP19" s="913"/>
      <c r="AQ19" s="913"/>
      <c r="AR19" s="913"/>
      <c r="AS19" s="913"/>
      <c r="AT19" s="913"/>
      <c r="AU19" s="913"/>
      <c r="AV19" s="913"/>
      <c r="AW19" s="913"/>
      <c r="AX19" s="913"/>
      <c r="AY19" s="913"/>
      <c r="AZ19" s="913"/>
      <c r="BA19" s="913"/>
      <c r="BB19" s="913"/>
      <c r="BC19" s="913"/>
      <c r="BD19" s="913"/>
      <c r="BE19" s="913"/>
      <c r="BF19" s="913"/>
      <c r="BG19" s="913"/>
      <c r="BH19" s="913"/>
      <c r="BI19" s="913"/>
      <c r="BJ19" s="913"/>
      <c r="BK19" s="913"/>
      <c r="BL19" s="913"/>
      <c r="BM19" s="913"/>
      <c r="BN19" s="913"/>
      <c r="BO19" s="913"/>
      <c r="BP19" s="913"/>
      <c r="BQ19" s="913"/>
      <c r="BR19" s="913"/>
      <c r="BS19" s="913"/>
      <c r="BT19" s="913"/>
      <c r="BU19" s="913"/>
      <c r="BV19" s="913"/>
      <c r="BW19" s="913"/>
      <c r="BX19" s="913"/>
      <c r="BY19" s="913"/>
      <c r="BZ19" s="913"/>
      <c r="CA19" s="913"/>
      <c r="CB19" s="913"/>
      <c r="CC19" s="913"/>
      <c r="CD19" s="913"/>
      <c r="CE19" s="913"/>
      <c r="CF19" s="913"/>
      <c r="CG19" s="913"/>
      <c r="CH19" s="913"/>
      <c r="CI19" s="913"/>
      <c r="CJ19" s="913"/>
      <c r="CK19" s="913"/>
      <c r="CL19" s="913"/>
      <c r="CM19" s="913"/>
      <c r="CN19" s="913"/>
      <c r="CO19" s="913"/>
      <c r="CP19" s="913"/>
      <c r="CQ19" s="913"/>
      <c r="CR19" s="913"/>
      <c r="CS19" s="913"/>
      <c r="CT19" s="913"/>
      <c r="CU19" s="913"/>
      <c r="CV19" s="913"/>
      <c r="CW19" s="913"/>
      <c r="CX19" s="913"/>
      <c r="CY19" s="913"/>
      <c r="CZ19" s="913"/>
      <c r="DA19" s="913"/>
      <c r="DB19" s="913"/>
      <c r="DC19" s="913"/>
      <c r="DD19" s="913"/>
      <c r="DE19" s="913"/>
      <c r="DF19" s="913"/>
      <c r="DG19" s="913"/>
      <c r="DH19" s="913"/>
      <c r="DI19" s="913"/>
      <c r="DJ19" s="913"/>
      <c r="DK19" s="913"/>
      <c r="DL19" s="913"/>
      <c r="DM19" s="913"/>
      <c r="DN19" s="913"/>
      <c r="DO19" s="913"/>
      <c r="DP19" s="913"/>
      <c r="DQ19" s="913"/>
      <c r="DR19" s="913"/>
      <c r="DS19" s="913"/>
      <c r="DT19" s="913"/>
      <c r="DU19" s="913"/>
      <c r="DV19" s="913"/>
      <c r="DW19" s="913"/>
    </row>
    <row r="20" spans="1:127" ht="51.75" customHeight="1" x14ac:dyDescent="0.25">
      <c r="A20" s="939">
        <v>15</v>
      </c>
      <c r="B20" s="893" t="s">
        <v>694</v>
      </c>
      <c r="C20" s="964" t="s">
        <v>883</v>
      </c>
      <c r="D20" s="955" t="s">
        <v>695</v>
      </c>
      <c r="E20" s="908">
        <v>2922268.15</v>
      </c>
      <c r="F20" s="908">
        <v>1324341.7999999998</v>
      </c>
      <c r="G20" s="911"/>
      <c r="H20" s="911"/>
      <c r="I20" s="911"/>
      <c r="J20" s="911"/>
      <c r="K20" s="981">
        <f>F20</f>
        <v>1324341.7999999998</v>
      </c>
      <c r="L20" s="898" t="s">
        <v>696</v>
      </c>
      <c r="M20" s="898">
        <v>225</v>
      </c>
      <c r="N20" s="898">
        <v>244</v>
      </c>
      <c r="O20" s="913"/>
      <c r="P20" s="899" t="s">
        <v>697</v>
      </c>
      <c r="Q20" s="913"/>
      <c r="R20" s="913"/>
      <c r="S20" s="913"/>
      <c r="T20" s="913"/>
      <c r="U20" s="914"/>
      <c r="V20" s="914"/>
      <c r="W20" s="914"/>
      <c r="X20" s="914"/>
      <c r="Y20" s="914"/>
      <c r="Z20" s="914"/>
      <c r="AA20" s="914"/>
      <c r="AB20" s="914"/>
      <c r="AC20" s="914"/>
      <c r="AD20" s="914"/>
      <c r="AE20" s="913"/>
      <c r="AF20" s="913"/>
      <c r="AG20" s="913"/>
      <c r="AH20" s="913"/>
      <c r="AI20" s="913"/>
      <c r="AJ20" s="913"/>
      <c r="AK20" s="913"/>
      <c r="AL20" s="913"/>
      <c r="AM20" s="913"/>
      <c r="AN20" s="913"/>
      <c r="AO20" s="913"/>
      <c r="AP20" s="913"/>
      <c r="AQ20" s="913"/>
      <c r="AR20" s="913"/>
      <c r="AS20" s="913"/>
      <c r="AT20" s="913"/>
      <c r="AU20" s="913"/>
      <c r="AV20" s="913"/>
      <c r="AW20" s="913"/>
      <c r="AX20" s="913"/>
      <c r="AY20" s="913"/>
      <c r="AZ20" s="913"/>
      <c r="BA20" s="913"/>
      <c r="BB20" s="913"/>
      <c r="BC20" s="913"/>
      <c r="BD20" s="913"/>
      <c r="BE20" s="913"/>
      <c r="BF20" s="913"/>
      <c r="BG20" s="913"/>
      <c r="BH20" s="913"/>
      <c r="BI20" s="913"/>
      <c r="BJ20" s="913"/>
      <c r="BK20" s="913"/>
      <c r="BL20" s="913"/>
      <c r="BM20" s="913"/>
      <c r="BN20" s="913"/>
      <c r="BO20" s="913"/>
      <c r="BP20" s="913"/>
      <c r="BQ20" s="913"/>
      <c r="BR20" s="913"/>
      <c r="BS20" s="913"/>
      <c r="BT20" s="913"/>
      <c r="BU20" s="913"/>
      <c r="BV20" s="913"/>
      <c r="BW20" s="913"/>
      <c r="BX20" s="913"/>
      <c r="BY20" s="913"/>
      <c r="BZ20" s="913"/>
      <c r="CA20" s="913"/>
      <c r="CB20" s="913"/>
      <c r="CC20" s="913"/>
      <c r="CD20" s="913"/>
      <c r="CE20" s="913"/>
      <c r="CF20" s="913"/>
      <c r="CG20" s="913"/>
      <c r="CH20" s="913"/>
      <c r="CI20" s="913"/>
      <c r="CJ20" s="913"/>
      <c r="CK20" s="913"/>
      <c r="CL20" s="913"/>
      <c r="CM20" s="913"/>
      <c r="CN20" s="913"/>
      <c r="CO20" s="913"/>
      <c r="CP20" s="913"/>
      <c r="CQ20" s="913"/>
      <c r="CR20" s="913"/>
      <c r="CS20" s="913"/>
      <c r="CT20" s="913"/>
      <c r="CU20" s="913"/>
      <c r="CV20" s="913"/>
      <c r="CW20" s="913"/>
      <c r="CX20" s="913"/>
      <c r="CY20" s="913"/>
      <c r="CZ20" s="913"/>
      <c r="DA20" s="913"/>
      <c r="DB20" s="913"/>
      <c r="DC20" s="913"/>
      <c r="DD20" s="913"/>
      <c r="DE20" s="913"/>
      <c r="DF20" s="913"/>
      <c r="DG20" s="913"/>
      <c r="DH20" s="913"/>
      <c r="DI20" s="913"/>
      <c r="DJ20" s="913"/>
      <c r="DK20" s="913"/>
      <c r="DL20" s="913"/>
      <c r="DM20" s="913"/>
      <c r="DN20" s="913"/>
      <c r="DO20" s="913"/>
      <c r="DP20" s="913"/>
      <c r="DQ20" s="913"/>
      <c r="DR20" s="913"/>
      <c r="DS20" s="913"/>
      <c r="DT20" s="913"/>
      <c r="DU20" s="913"/>
      <c r="DV20" s="913"/>
      <c r="DW20" s="913"/>
    </row>
    <row r="21" spans="1:127" ht="59.25" customHeight="1" x14ac:dyDescent="0.25">
      <c r="A21" s="939">
        <v>16</v>
      </c>
      <c r="B21" s="893" t="s">
        <v>698</v>
      </c>
      <c r="C21" s="965" t="s">
        <v>885</v>
      </c>
      <c r="D21" s="955" t="s">
        <v>699</v>
      </c>
      <c r="E21" s="908">
        <v>1460909.62</v>
      </c>
      <c r="F21" s="908">
        <v>644630.35000000009</v>
      </c>
      <c r="G21" s="911"/>
      <c r="H21" s="911"/>
      <c r="I21" s="911"/>
      <c r="J21" s="911"/>
      <c r="K21" s="981">
        <f>F21</f>
        <v>644630.35000000009</v>
      </c>
      <c r="L21" s="898" t="s">
        <v>696</v>
      </c>
      <c r="M21" s="898">
        <v>225</v>
      </c>
      <c r="N21" s="898">
        <v>244</v>
      </c>
      <c r="O21" s="913"/>
      <c r="P21" s="899" t="s">
        <v>697</v>
      </c>
      <c r="Q21" s="913"/>
      <c r="R21" s="913"/>
      <c r="S21" s="913"/>
      <c r="T21" s="913"/>
      <c r="U21" s="914"/>
      <c r="V21" s="914"/>
      <c r="W21" s="914"/>
      <c r="X21" s="914"/>
      <c r="Y21" s="914"/>
      <c r="Z21" s="914"/>
      <c r="AA21" s="914"/>
      <c r="AB21" s="914"/>
      <c r="AC21" s="914"/>
      <c r="AD21" s="914"/>
      <c r="AE21" s="913"/>
      <c r="AF21" s="913"/>
      <c r="AG21" s="913"/>
      <c r="AH21" s="913"/>
      <c r="AI21" s="913"/>
      <c r="AJ21" s="913"/>
      <c r="AK21" s="913"/>
      <c r="AL21" s="913"/>
      <c r="AM21" s="913"/>
      <c r="AN21" s="913"/>
      <c r="AO21" s="913"/>
      <c r="AP21" s="913"/>
      <c r="AQ21" s="913"/>
      <c r="AR21" s="913"/>
      <c r="AS21" s="913"/>
      <c r="AT21" s="913"/>
      <c r="AU21" s="913"/>
      <c r="AV21" s="913"/>
      <c r="AW21" s="913"/>
      <c r="AX21" s="913"/>
      <c r="AY21" s="913"/>
      <c r="AZ21" s="913"/>
      <c r="BA21" s="913"/>
      <c r="BB21" s="913"/>
      <c r="BC21" s="913"/>
      <c r="BD21" s="913"/>
      <c r="BE21" s="913"/>
      <c r="BF21" s="913"/>
      <c r="BG21" s="913"/>
      <c r="BH21" s="913"/>
      <c r="BI21" s="913"/>
      <c r="BJ21" s="913"/>
      <c r="BK21" s="913"/>
      <c r="BL21" s="913"/>
      <c r="BM21" s="913"/>
      <c r="BN21" s="913"/>
      <c r="BO21" s="913"/>
      <c r="BP21" s="913"/>
      <c r="BQ21" s="913"/>
      <c r="BR21" s="913"/>
      <c r="BS21" s="913"/>
      <c r="BT21" s="913"/>
      <c r="BU21" s="913"/>
      <c r="BV21" s="913"/>
      <c r="BW21" s="913"/>
      <c r="BX21" s="913"/>
      <c r="BY21" s="913"/>
      <c r="BZ21" s="913"/>
      <c r="CA21" s="913"/>
      <c r="CB21" s="913"/>
      <c r="CC21" s="913"/>
      <c r="CD21" s="913"/>
      <c r="CE21" s="913"/>
      <c r="CF21" s="913"/>
      <c r="CG21" s="913"/>
      <c r="CH21" s="913"/>
      <c r="CI21" s="913"/>
      <c r="CJ21" s="913"/>
      <c r="CK21" s="913"/>
      <c r="CL21" s="913"/>
      <c r="CM21" s="913"/>
      <c r="CN21" s="913"/>
      <c r="CO21" s="913"/>
      <c r="CP21" s="913"/>
      <c r="CQ21" s="913"/>
      <c r="CR21" s="913"/>
      <c r="CS21" s="913"/>
      <c r="CT21" s="913"/>
      <c r="CU21" s="913"/>
      <c r="CV21" s="913"/>
      <c r="CW21" s="913"/>
      <c r="CX21" s="913"/>
      <c r="CY21" s="913"/>
      <c r="CZ21" s="913"/>
      <c r="DA21" s="913"/>
      <c r="DB21" s="913"/>
      <c r="DC21" s="913"/>
      <c r="DD21" s="913"/>
      <c r="DE21" s="913"/>
      <c r="DF21" s="913"/>
      <c r="DG21" s="913"/>
      <c r="DH21" s="913"/>
      <c r="DI21" s="913"/>
      <c r="DJ21" s="913"/>
      <c r="DK21" s="913"/>
      <c r="DL21" s="913"/>
      <c r="DM21" s="913"/>
      <c r="DN21" s="913"/>
      <c r="DO21" s="913"/>
      <c r="DP21" s="913"/>
      <c r="DQ21" s="913"/>
      <c r="DR21" s="913"/>
      <c r="DS21" s="913"/>
      <c r="DT21" s="913"/>
      <c r="DU21" s="913"/>
      <c r="DV21" s="913"/>
      <c r="DW21" s="913"/>
    </row>
    <row r="22" spans="1:127" ht="84" customHeight="1" x14ac:dyDescent="0.25">
      <c r="A22" s="939">
        <v>17</v>
      </c>
      <c r="B22" s="893" t="s">
        <v>680</v>
      </c>
      <c r="C22" s="966"/>
      <c r="D22" s="955" t="s">
        <v>700</v>
      </c>
      <c r="E22" s="908">
        <v>6069500</v>
      </c>
      <c r="F22" s="908">
        <v>2352117</v>
      </c>
      <c r="G22" s="911"/>
      <c r="H22" s="911"/>
      <c r="I22" s="911"/>
      <c r="J22" s="908">
        <f>F22</f>
        <v>2352117</v>
      </c>
      <c r="K22" s="989"/>
      <c r="L22" s="898" t="s">
        <v>682</v>
      </c>
      <c r="M22" s="898">
        <v>226</v>
      </c>
      <c r="N22" s="898">
        <v>244</v>
      </c>
      <c r="O22" s="913"/>
      <c r="P22" s="913"/>
      <c r="Q22" s="913"/>
      <c r="R22" s="913"/>
      <c r="S22" s="913"/>
      <c r="T22" s="913"/>
      <c r="U22" s="914"/>
      <c r="V22" s="914"/>
      <c r="W22" s="914"/>
      <c r="X22" s="914"/>
      <c r="Y22" s="914"/>
      <c r="Z22" s="914"/>
      <c r="AA22" s="914"/>
      <c r="AB22" s="914"/>
      <c r="AC22" s="914"/>
      <c r="AD22" s="914"/>
      <c r="AE22" s="913"/>
      <c r="AF22" s="913"/>
      <c r="AG22" s="913"/>
      <c r="AH22" s="913"/>
      <c r="AI22" s="913"/>
      <c r="AJ22" s="913"/>
      <c r="AK22" s="913"/>
      <c r="AL22" s="913"/>
      <c r="AM22" s="913"/>
      <c r="AN22" s="913"/>
      <c r="AO22" s="913"/>
      <c r="AP22" s="913"/>
      <c r="AQ22" s="913"/>
      <c r="AR22" s="913"/>
      <c r="AS22" s="913"/>
      <c r="AT22" s="913"/>
      <c r="AU22" s="913"/>
      <c r="AV22" s="913"/>
      <c r="AW22" s="913"/>
      <c r="AX22" s="913"/>
      <c r="AY22" s="913"/>
      <c r="AZ22" s="913"/>
      <c r="BA22" s="913"/>
      <c r="BB22" s="913"/>
      <c r="BC22" s="913"/>
      <c r="BD22" s="913"/>
      <c r="BE22" s="913"/>
      <c r="BF22" s="913"/>
      <c r="BG22" s="913"/>
      <c r="BH22" s="913"/>
      <c r="BI22" s="913"/>
      <c r="BJ22" s="913"/>
      <c r="BK22" s="913"/>
      <c r="BL22" s="913"/>
      <c r="BM22" s="913"/>
      <c r="BN22" s="913"/>
      <c r="BO22" s="913"/>
      <c r="BP22" s="913"/>
      <c r="BQ22" s="913"/>
      <c r="BR22" s="913"/>
      <c r="BS22" s="913"/>
      <c r="BT22" s="913"/>
      <c r="BU22" s="913"/>
      <c r="BV22" s="913"/>
      <c r="BW22" s="913"/>
      <c r="BX22" s="913"/>
      <c r="BY22" s="913"/>
      <c r="BZ22" s="913"/>
      <c r="CA22" s="913"/>
      <c r="CB22" s="913"/>
      <c r="CC22" s="913"/>
      <c r="CD22" s="913"/>
      <c r="CE22" s="913"/>
      <c r="CF22" s="913"/>
      <c r="CG22" s="913"/>
      <c r="CH22" s="913"/>
      <c r="CI22" s="913"/>
      <c r="CJ22" s="913"/>
      <c r="CK22" s="913"/>
      <c r="CL22" s="913"/>
      <c r="CM22" s="913"/>
      <c r="CN22" s="913"/>
      <c r="CO22" s="913"/>
      <c r="CP22" s="913"/>
      <c r="CQ22" s="913"/>
      <c r="CR22" s="913"/>
      <c r="CS22" s="913"/>
      <c r="CT22" s="913"/>
      <c r="CU22" s="913"/>
      <c r="CV22" s="913"/>
      <c r="CW22" s="913"/>
      <c r="CX22" s="913"/>
      <c r="CY22" s="913"/>
      <c r="CZ22" s="913"/>
      <c r="DA22" s="913"/>
      <c r="DB22" s="913"/>
      <c r="DC22" s="913"/>
      <c r="DD22" s="913"/>
      <c r="DE22" s="913"/>
      <c r="DF22" s="913"/>
      <c r="DG22" s="913"/>
      <c r="DH22" s="913"/>
      <c r="DI22" s="913"/>
      <c r="DJ22" s="913"/>
      <c r="DK22" s="913"/>
      <c r="DL22" s="913"/>
      <c r="DM22" s="913"/>
      <c r="DN22" s="913"/>
      <c r="DO22" s="913"/>
      <c r="DP22" s="913"/>
      <c r="DQ22" s="913"/>
      <c r="DR22" s="913"/>
      <c r="DS22" s="913"/>
      <c r="DT22" s="913"/>
      <c r="DU22" s="913"/>
      <c r="DV22" s="913"/>
      <c r="DW22" s="913"/>
    </row>
    <row r="23" spans="1:127" s="913" customFormat="1" ht="62.45" customHeight="1" x14ac:dyDescent="0.25">
      <c r="A23" s="939">
        <v>18</v>
      </c>
      <c r="B23" s="893" t="s">
        <v>701</v>
      </c>
      <c r="C23" s="907" t="s">
        <v>886</v>
      </c>
      <c r="D23" s="955" t="s">
        <v>702</v>
      </c>
      <c r="E23" s="908">
        <v>2437500</v>
      </c>
      <c r="F23" s="908">
        <v>2437500</v>
      </c>
      <c r="G23" s="911"/>
      <c r="H23" s="911"/>
      <c r="I23" s="911"/>
      <c r="J23" s="911"/>
      <c r="K23" s="981">
        <f>F23</f>
        <v>2437500</v>
      </c>
      <c r="L23" s="897" t="s">
        <v>685</v>
      </c>
      <c r="M23" s="897">
        <v>310</v>
      </c>
      <c r="N23" s="897">
        <v>244</v>
      </c>
      <c r="P23" s="899" t="s">
        <v>703</v>
      </c>
      <c r="U23" s="914"/>
      <c r="V23" s="914"/>
      <c r="W23" s="914"/>
      <c r="X23" s="914"/>
      <c r="Y23" s="914"/>
      <c r="Z23" s="914"/>
      <c r="AA23" s="914"/>
      <c r="AB23" s="914"/>
      <c r="AC23" s="914"/>
      <c r="AD23" s="914"/>
    </row>
    <row r="24" spans="1:127" ht="66.599999999999994" customHeight="1" x14ac:dyDescent="0.25">
      <c r="A24" s="939">
        <v>19</v>
      </c>
      <c r="B24" s="893" t="s">
        <v>704</v>
      </c>
      <c r="C24" s="955"/>
      <c r="D24" s="955" t="s">
        <v>705</v>
      </c>
      <c r="E24" s="908">
        <v>95000</v>
      </c>
      <c r="F24" s="908">
        <v>95000</v>
      </c>
      <c r="G24" s="911"/>
      <c r="H24" s="911"/>
      <c r="I24" s="911"/>
      <c r="J24" s="908">
        <f>F24</f>
        <v>95000</v>
      </c>
      <c r="K24" s="989"/>
      <c r="L24" s="898" t="s">
        <v>706</v>
      </c>
      <c r="M24" s="898">
        <v>226</v>
      </c>
      <c r="N24" s="898">
        <v>243</v>
      </c>
      <c r="O24" s="913"/>
      <c r="P24" s="913"/>
      <c r="Q24" s="913"/>
      <c r="R24" s="913"/>
      <c r="S24" s="913"/>
      <c r="T24" s="913"/>
      <c r="U24" s="914"/>
      <c r="V24" s="914"/>
      <c r="W24" s="914"/>
      <c r="X24" s="914"/>
      <c r="Y24" s="914"/>
      <c r="Z24" s="914"/>
      <c r="AA24" s="914"/>
      <c r="AB24" s="914"/>
      <c r="AC24" s="914"/>
      <c r="AD24" s="914"/>
      <c r="AE24" s="913"/>
      <c r="AF24" s="913"/>
      <c r="AG24" s="913"/>
      <c r="AH24" s="913"/>
      <c r="AI24" s="913"/>
      <c r="AJ24" s="913"/>
      <c r="AK24" s="913"/>
      <c r="AL24" s="913"/>
      <c r="AM24" s="913"/>
      <c r="AN24" s="913"/>
      <c r="AO24" s="913"/>
      <c r="AP24" s="913"/>
      <c r="AQ24" s="913"/>
      <c r="AR24" s="913"/>
      <c r="AS24" s="913"/>
      <c r="AT24" s="913"/>
      <c r="AU24" s="913"/>
      <c r="AV24" s="913"/>
      <c r="AW24" s="913"/>
      <c r="AX24" s="913"/>
      <c r="AY24" s="913"/>
      <c r="AZ24" s="913"/>
      <c r="BA24" s="913"/>
      <c r="BB24" s="913"/>
      <c r="BC24" s="913"/>
      <c r="BD24" s="913"/>
      <c r="BE24" s="913"/>
      <c r="BF24" s="913"/>
      <c r="BG24" s="913"/>
      <c r="BH24" s="913"/>
      <c r="BI24" s="913"/>
      <c r="BJ24" s="913"/>
      <c r="BK24" s="913"/>
      <c r="BL24" s="913"/>
      <c r="BM24" s="913"/>
      <c r="BN24" s="913"/>
      <c r="BO24" s="913"/>
      <c r="BP24" s="913"/>
      <c r="BQ24" s="913"/>
      <c r="BR24" s="913"/>
      <c r="BS24" s="913"/>
      <c r="BT24" s="913"/>
      <c r="BU24" s="913"/>
      <c r="BV24" s="913"/>
      <c r="BW24" s="913"/>
      <c r="BX24" s="913"/>
      <c r="BY24" s="913"/>
      <c r="BZ24" s="913"/>
      <c r="CA24" s="913"/>
      <c r="CB24" s="913"/>
      <c r="CC24" s="913"/>
      <c r="CD24" s="913"/>
      <c r="CE24" s="913"/>
      <c r="CF24" s="913"/>
      <c r="CG24" s="913"/>
      <c r="CH24" s="913"/>
      <c r="CI24" s="913"/>
      <c r="CJ24" s="913"/>
      <c r="CK24" s="913"/>
      <c r="CL24" s="913"/>
      <c r="CM24" s="913"/>
      <c r="CN24" s="913"/>
      <c r="CO24" s="913"/>
      <c r="CP24" s="913"/>
      <c r="CQ24" s="913"/>
      <c r="CR24" s="913"/>
      <c r="CS24" s="913"/>
      <c r="CT24" s="913"/>
      <c r="CU24" s="913"/>
      <c r="CV24" s="913"/>
      <c r="CW24" s="913"/>
      <c r="CX24" s="913"/>
      <c r="CY24" s="913"/>
      <c r="CZ24" s="913"/>
      <c r="DA24" s="913"/>
      <c r="DB24" s="913"/>
      <c r="DC24" s="913"/>
      <c r="DD24" s="913"/>
      <c r="DE24" s="913"/>
      <c r="DF24" s="913"/>
      <c r="DG24" s="913"/>
      <c r="DH24" s="913"/>
      <c r="DI24" s="913"/>
      <c r="DJ24" s="913"/>
      <c r="DK24" s="913"/>
      <c r="DL24" s="913"/>
      <c r="DM24" s="913"/>
      <c r="DN24" s="913"/>
      <c r="DO24" s="913"/>
      <c r="DP24" s="913"/>
      <c r="DQ24" s="913"/>
      <c r="DR24" s="913"/>
      <c r="DS24" s="913"/>
      <c r="DT24" s="913"/>
      <c r="DU24" s="913"/>
      <c r="DV24" s="913"/>
      <c r="DW24" s="913"/>
    </row>
    <row r="25" spans="1:127" ht="54.75" customHeight="1" x14ac:dyDescent="0.25">
      <c r="A25" s="939">
        <v>20</v>
      </c>
      <c r="B25" s="893" t="s">
        <v>707</v>
      </c>
      <c r="C25" s="955"/>
      <c r="D25" s="955" t="s">
        <v>708</v>
      </c>
      <c r="E25" s="908">
        <v>18891468</v>
      </c>
      <c r="F25" s="908">
        <v>14946116.970000001</v>
      </c>
      <c r="G25" s="911"/>
      <c r="H25" s="911"/>
      <c r="I25" s="911"/>
      <c r="J25" s="908">
        <f>F25</f>
        <v>14946116.970000001</v>
      </c>
      <c r="K25" s="989"/>
      <c r="L25" s="898" t="s">
        <v>709</v>
      </c>
      <c r="M25" s="898">
        <v>226</v>
      </c>
      <c r="N25" s="898">
        <v>244</v>
      </c>
      <c r="O25" s="913"/>
      <c r="P25" s="913"/>
      <c r="Q25" s="913"/>
      <c r="R25" s="913"/>
      <c r="S25" s="913"/>
      <c r="T25" s="913"/>
      <c r="U25" s="914"/>
      <c r="V25" s="914"/>
      <c r="W25" s="914"/>
      <c r="X25" s="914"/>
      <c r="Y25" s="914"/>
      <c r="Z25" s="914"/>
      <c r="AA25" s="914"/>
      <c r="AB25" s="914"/>
      <c r="AC25" s="914"/>
      <c r="AD25" s="914"/>
      <c r="AE25" s="913"/>
      <c r="AF25" s="913"/>
      <c r="AG25" s="913"/>
      <c r="AH25" s="913"/>
      <c r="AI25" s="913"/>
      <c r="AJ25" s="913"/>
      <c r="AK25" s="913"/>
      <c r="AL25" s="913"/>
      <c r="AM25" s="913"/>
      <c r="AN25" s="913"/>
      <c r="AO25" s="913"/>
      <c r="AP25" s="913"/>
      <c r="AQ25" s="913"/>
      <c r="AR25" s="913"/>
      <c r="AS25" s="913"/>
      <c r="AT25" s="913"/>
      <c r="AU25" s="913"/>
      <c r="AV25" s="913"/>
      <c r="AW25" s="913"/>
      <c r="AX25" s="913"/>
      <c r="AY25" s="913"/>
      <c r="AZ25" s="913"/>
      <c r="BA25" s="913"/>
      <c r="BB25" s="913"/>
      <c r="BC25" s="913"/>
      <c r="BD25" s="913"/>
      <c r="BE25" s="913"/>
      <c r="BF25" s="913"/>
      <c r="BG25" s="913"/>
      <c r="BH25" s="913"/>
      <c r="BI25" s="913"/>
      <c r="BJ25" s="913"/>
      <c r="BK25" s="913"/>
      <c r="BL25" s="913"/>
      <c r="BM25" s="913"/>
      <c r="BN25" s="913"/>
      <c r="BO25" s="913"/>
      <c r="BP25" s="913"/>
      <c r="BQ25" s="913"/>
      <c r="BR25" s="913"/>
      <c r="BS25" s="913"/>
      <c r="BT25" s="913"/>
      <c r="BU25" s="913"/>
      <c r="BV25" s="913"/>
      <c r="BW25" s="913"/>
      <c r="BX25" s="913"/>
      <c r="BY25" s="913"/>
      <c r="BZ25" s="913"/>
      <c r="CA25" s="913"/>
      <c r="CB25" s="913"/>
      <c r="CC25" s="913"/>
      <c r="CD25" s="913"/>
      <c r="CE25" s="913"/>
      <c r="CF25" s="913"/>
      <c r="CG25" s="913"/>
      <c r="CH25" s="913"/>
      <c r="CI25" s="913"/>
      <c r="CJ25" s="913"/>
      <c r="CK25" s="913"/>
      <c r="CL25" s="913"/>
      <c r="CM25" s="913"/>
      <c r="CN25" s="913"/>
      <c r="CO25" s="913"/>
      <c r="CP25" s="913"/>
      <c r="CQ25" s="913"/>
      <c r="CR25" s="913"/>
      <c r="CS25" s="913"/>
      <c r="CT25" s="913"/>
      <c r="CU25" s="913"/>
      <c r="CV25" s="913"/>
      <c r="CW25" s="913"/>
      <c r="CX25" s="913"/>
      <c r="CY25" s="913"/>
      <c r="CZ25" s="913"/>
      <c r="DA25" s="913"/>
      <c r="DB25" s="913"/>
      <c r="DC25" s="913"/>
      <c r="DD25" s="913"/>
      <c r="DE25" s="913"/>
      <c r="DF25" s="913"/>
      <c r="DG25" s="913"/>
      <c r="DH25" s="913"/>
      <c r="DI25" s="913"/>
      <c r="DJ25" s="913"/>
      <c r="DK25" s="913"/>
      <c r="DL25" s="913"/>
      <c r="DM25" s="913"/>
      <c r="DN25" s="913"/>
      <c r="DO25" s="913"/>
      <c r="DP25" s="913"/>
      <c r="DQ25" s="913"/>
      <c r="DR25" s="913"/>
      <c r="DS25" s="913"/>
      <c r="DT25" s="913"/>
      <c r="DU25" s="913"/>
      <c r="DV25" s="913"/>
      <c r="DW25" s="913"/>
    </row>
    <row r="26" spans="1:127" ht="71.25" customHeight="1" x14ac:dyDescent="0.25">
      <c r="A26" s="939">
        <v>21</v>
      </c>
      <c r="B26" s="893" t="s">
        <v>710</v>
      </c>
      <c r="C26" s="907" t="s">
        <v>887</v>
      </c>
      <c r="D26" s="955" t="s">
        <v>711</v>
      </c>
      <c r="E26" s="908">
        <v>251207913.68000001</v>
      </c>
      <c r="F26" s="908">
        <v>18680928.939999998</v>
      </c>
      <c r="G26" s="911"/>
      <c r="H26" s="911"/>
      <c r="I26" s="911"/>
      <c r="J26" s="911"/>
      <c r="K26" s="981">
        <f>F26</f>
        <v>18680928.939999998</v>
      </c>
      <c r="L26" s="897" t="s">
        <v>696</v>
      </c>
      <c r="M26" s="898">
        <v>225</v>
      </c>
      <c r="N26" s="898">
        <v>244</v>
      </c>
      <c r="O26" s="923">
        <v>161020580.43000001</v>
      </c>
      <c r="P26" s="945">
        <f>E26-O26</f>
        <v>90187333.25</v>
      </c>
      <c r="Q26" s="897">
        <v>71506404.310000002</v>
      </c>
      <c r="R26" s="946">
        <f>P26-Q26</f>
        <v>18680928.939999998</v>
      </c>
      <c r="S26" s="913"/>
      <c r="T26" s="913"/>
      <c r="U26" s="914"/>
      <c r="V26" s="914"/>
      <c r="W26" s="914"/>
      <c r="X26" s="914"/>
      <c r="Y26" s="914"/>
      <c r="Z26" s="914"/>
      <c r="AA26" s="914"/>
      <c r="AB26" s="914"/>
      <c r="AC26" s="914"/>
      <c r="AD26" s="914"/>
      <c r="AE26" s="913"/>
      <c r="AF26" s="913"/>
      <c r="AG26" s="913"/>
      <c r="AH26" s="913"/>
      <c r="AI26" s="913"/>
      <c r="AJ26" s="913"/>
      <c r="AK26" s="913"/>
      <c r="AL26" s="913"/>
      <c r="AM26" s="913"/>
      <c r="AN26" s="913"/>
      <c r="AO26" s="913"/>
      <c r="AP26" s="913"/>
      <c r="AQ26" s="913"/>
      <c r="AR26" s="913"/>
      <c r="AS26" s="913"/>
      <c r="AT26" s="913"/>
      <c r="AU26" s="913"/>
      <c r="AV26" s="913"/>
      <c r="AW26" s="913"/>
      <c r="AX26" s="913"/>
      <c r="AY26" s="913"/>
      <c r="AZ26" s="913"/>
      <c r="BA26" s="913"/>
      <c r="BB26" s="913"/>
      <c r="BC26" s="913"/>
      <c r="BD26" s="913"/>
      <c r="BE26" s="913"/>
      <c r="BF26" s="913"/>
      <c r="BG26" s="913"/>
      <c r="BH26" s="913"/>
      <c r="BI26" s="913"/>
      <c r="BJ26" s="913"/>
      <c r="BK26" s="913"/>
      <c r="BL26" s="913"/>
      <c r="BM26" s="913"/>
      <c r="BN26" s="913"/>
      <c r="BO26" s="913"/>
      <c r="BP26" s="913"/>
      <c r="BQ26" s="913"/>
      <c r="BR26" s="913"/>
      <c r="BS26" s="913"/>
      <c r="BT26" s="913"/>
      <c r="BU26" s="913"/>
      <c r="BV26" s="913"/>
      <c r="BW26" s="913"/>
      <c r="BX26" s="913"/>
      <c r="BY26" s="913"/>
      <c r="BZ26" s="913"/>
      <c r="CA26" s="913"/>
      <c r="CB26" s="913"/>
      <c r="CC26" s="913"/>
      <c r="CD26" s="913"/>
      <c r="CE26" s="913"/>
      <c r="CF26" s="913"/>
      <c r="CG26" s="913"/>
      <c r="CH26" s="913"/>
      <c r="CI26" s="913"/>
      <c r="CJ26" s="913"/>
      <c r="CK26" s="913"/>
      <c r="CL26" s="913"/>
      <c r="CM26" s="913"/>
      <c r="CN26" s="913"/>
      <c r="CO26" s="913"/>
      <c r="CP26" s="913"/>
      <c r="CQ26" s="913"/>
      <c r="CR26" s="913"/>
      <c r="CS26" s="913"/>
      <c r="CT26" s="913"/>
      <c r="CU26" s="913"/>
      <c r="CV26" s="913"/>
      <c r="CW26" s="913"/>
      <c r="CX26" s="913"/>
      <c r="CY26" s="913"/>
      <c r="CZ26" s="913"/>
      <c r="DA26" s="913"/>
      <c r="DB26" s="913"/>
      <c r="DC26" s="913"/>
      <c r="DD26" s="913"/>
      <c r="DE26" s="913"/>
      <c r="DF26" s="913"/>
      <c r="DG26" s="913"/>
      <c r="DH26" s="913"/>
      <c r="DI26" s="913"/>
      <c r="DJ26" s="913"/>
      <c r="DK26" s="913"/>
      <c r="DL26" s="913"/>
      <c r="DM26" s="913"/>
      <c r="DN26" s="913"/>
      <c r="DO26" s="913"/>
      <c r="DP26" s="913"/>
      <c r="DQ26" s="913"/>
      <c r="DR26" s="913"/>
      <c r="DS26" s="913"/>
      <c r="DT26" s="913"/>
      <c r="DU26" s="913"/>
      <c r="DV26" s="913"/>
      <c r="DW26" s="913"/>
    </row>
    <row r="27" spans="1:127" ht="54.75" customHeight="1" x14ac:dyDescent="0.25">
      <c r="A27" s="939">
        <v>22</v>
      </c>
      <c r="B27" s="893" t="s">
        <v>712</v>
      </c>
      <c r="C27" s="961" t="s">
        <v>888</v>
      </c>
      <c r="D27" s="955" t="s">
        <v>713</v>
      </c>
      <c r="E27" s="908">
        <v>2995000</v>
      </c>
      <c r="F27" s="908">
        <v>3701.7599999997765</v>
      </c>
      <c r="G27" s="911"/>
      <c r="H27" s="911"/>
      <c r="I27" s="911"/>
      <c r="J27" s="911"/>
      <c r="K27" s="981">
        <f>F27</f>
        <v>3701.7599999997765</v>
      </c>
      <c r="L27" s="897" t="s">
        <v>696</v>
      </c>
      <c r="M27" s="898">
        <v>225</v>
      </c>
      <c r="N27" s="898">
        <v>244</v>
      </c>
      <c r="O27" s="913"/>
      <c r="P27" s="899" t="s">
        <v>714</v>
      </c>
      <c r="Q27" s="913"/>
      <c r="R27" s="913"/>
      <c r="S27" s="913"/>
      <c r="T27" s="913"/>
      <c r="U27" s="914"/>
      <c r="V27" s="914"/>
      <c r="W27" s="914"/>
      <c r="X27" s="914"/>
      <c r="Y27" s="914"/>
      <c r="Z27" s="914"/>
      <c r="AA27" s="914"/>
      <c r="AB27" s="914"/>
      <c r="AC27" s="914"/>
      <c r="AD27" s="914"/>
      <c r="AE27" s="913"/>
      <c r="AF27" s="913"/>
      <c r="AG27" s="913"/>
      <c r="AH27" s="913"/>
      <c r="AI27" s="913"/>
      <c r="AJ27" s="913"/>
      <c r="AK27" s="913"/>
      <c r="AL27" s="913"/>
      <c r="AM27" s="913"/>
      <c r="AN27" s="913"/>
      <c r="AO27" s="913"/>
      <c r="AP27" s="913"/>
      <c r="AQ27" s="913"/>
      <c r="AR27" s="913"/>
      <c r="AS27" s="913"/>
      <c r="AT27" s="913"/>
      <c r="AU27" s="913"/>
      <c r="AV27" s="913"/>
      <c r="AW27" s="913"/>
      <c r="AX27" s="913"/>
      <c r="AY27" s="913"/>
      <c r="AZ27" s="913"/>
      <c r="BA27" s="913"/>
      <c r="BB27" s="913"/>
      <c r="BC27" s="913"/>
      <c r="BD27" s="913"/>
      <c r="BE27" s="913"/>
      <c r="BF27" s="913"/>
      <c r="BG27" s="913"/>
      <c r="BH27" s="913"/>
      <c r="BI27" s="913"/>
      <c r="BJ27" s="913"/>
      <c r="BK27" s="913"/>
      <c r="BL27" s="913"/>
      <c r="BM27" s="913"/>
      <c r="BN27" s="913"/>
      <c r="BO27" s="913"/>
      <c r="BP27" s="913"/>
      <c r="BQ27" s="913"/>
      <c r="BR27" s="913"/>
      <c r="BS27" s="913"/>
      <c r="BT27" s="913"/>
      <c r="BU27" s="913"/>
      <c r="BV27" s="913"/>
      <c r="BW27" s="913"/>
      <c r="BX27" s="913"/>
      <c r="BY27" s="913"/>
      <c r="BZ27" s="913"/>
      <c r="CA27" s="913"/>
      <c r="CB27" s="913"/>
      <c r="CC27" s="913"/>
      <c r="CD27" s="913"/>
      <c r="CE27" s="913"/>
      <c r="CF27" s="913"/>
      <c r="CG27" s="913"/>
      <c r="CH27" s="913"/>
      <c r="CI27" s="913"/>
      <c r="CJ27" s="913"/>
      <c r="CK27" s="913"/>
      <c r="CL27" s="913"/>
      <c r="CM27" s="913"/>
      <c r="CN27" s="913"/>
      <c r="CO27" s="913"/>
      <c r="CP27" s="913"/>
      <c r="CQ27" s="913"/>
      <c r="CR27" s="913"/>
      <c r="CS27" s="913"/>
      <c r="CT27" s="913"/>
      <c r="CU27" s="913"/>
      <c r="CV27" s="913"/>
      <c r="CW27" s="913"/>
      <c r="CX27" s="913"/>
      <c r="CY27" s="913"/>
      <c r="CZ27" s="913"/>
      <c r="DA27" s="913"/>
      <c r="DB27" s="913"/>
      <c r="DC27" s="913"/>
      <c r="DD27" s="913"/>
      <c r="DE27" s="913"/>
      <c r="DF27" s="913"/>
      <c r="DG27" s="913"/>
      <c r="DH27" s="913"/>
      <c r="DI27" s="913"/>
      <c r="DJ27" s="913"/>
      <c r="DK27" s="913"/>
      <c r="DL27" s="913"/>
      <c r="DM27" s="913"/>
      <c r="DN27" s="913"/>
      <c r="DO27" s="913"/>
      <c r="DP27" s="913"/>
      <c r="DQ27" s="913"/>
      <c r="DR27" s="913"/>
      <c r="DS27" s="913"/>
      <c r="DT27" s="913"/>
      <c r="DU27" s="913"/>
      <c r="DV27" s="913"/>
      <c r="DW27" s="913"/>
    </row>
    <row r="28" spans="1:127" ht="54.75" customHeight="1" x14ac:dyDescent="0.25">
      <c r="A28" s="939">
        <v>23</v>
      </c>
      <c r="B28" s="893" t="s">
        <v>715</v>
      </c>
      <c r="C28" s="955"/>
      <c r="D28" s="955" t="s">
        <v>716</v>
      </c>
      <c r="E28" s="908">
        <v>14000</v>
      </c>
      <c r="F28" s="908">
        <v>14000</v>
      </c>
      <c r="G28" s="911"/>
      <c r="H28" s="911"/>
      <c r="I28" s="911"/>
      <c r="J28" s="908">
        <f>F28</f>
        <v>14000</v>
      </c>
      <c r="K28" s="989"/>
      <c r="L28" s="898" t="s">
        <v>717</v>
      </c>
      <c r="M28" s="898">
        <v>310</v>
      </c>
      <c r="N28" s="898">
        <v>244</v>
      </c>
      <c r="O28" s="913"/>
      <c r="P28" s="913"/>
      <c r="Q28" s="913"/>
      <c r="R28" s="913"/>
      <c r="S28" s="913"/>
      <c r="T28" s="913"/>
      <c r="U28" s="914"/>
      <c r="V28" s="914"/>
      <c r="W28" s="914"/>
      <c r="X28" s="914"/>
      <c r="Y28" s="914"/>
      <c r="Z28" s="914"/>
      <c r="AA28" s="914"/>
      <c r="AB28" s="914"/>
      <c r="AC28" s="914"/>
      <c r="AD28" s="914"/>
      <c r="AE28" s="913"/>
      <c r="AF28" s="913"/>
      <c r="AG28" s="913"/>
      <c r="AH28" s="913"/>
      <c r="AI28" s="913"/>
      <c r="AJ28" s="913"/>
      <c r="AK28" s="913"/>
      <c r="AL28" s="913"/>
      <c r="AM28" s="913"/>
      <c r="AN28" s="913"/>
      <c r="AO28" s="913"/>
      <c r="AP28" s="913"/>
      <c r="AQ28" s="913"/>
      <c r="AR28" s="913"/>
      <c r="AS28" s="913"/>
      <c r="AT28" s="913"/>
      <c r="AU28" s="913"/>
      <c r="AV28" s="913"/>
      <c r="AW28" s="913"/>
      <c r="AX28" s="913"/>
      <c r="AY28" s="913"/>
      <c r="AZ28" s="913"/>
      <c r="BA28" s="913"/>
      <c r="BB28" s="913"/>
      <c r="BC28" s="913"/>
      <c r="BD28" s="913"/>
      <c r="BE28" s="913"/>
      <c r="BF28" s="913"/>
      <c r="BG28" s="913"/>
      <c r="BH28" s="913"/>
      <c r="BI28" s="913"/>
      <c r="BJ28" s="913"/>
      <c r="BK28" s="913"/>
      <c r="BL28" s="913"/>
      <c r="BM28" s="913"/>
      <c r="BN28" s="913"/>
      <c r="BO28" s="913"/>
      <c r="BP28" s="913"/>
      <c r="BQ28" s="913"/>
      <c r="BR28" s="913"/>
      <c r="BS28" s="913"/>
      <c r="BT28" s="913"/>
      <c r="BU28" s="913"/>
      <c r="BV28" s="913"/>
      <c r="BW28" s="913"/>
      <c r="BX28" s="913"/>
      <c r="BY28" s="913"/>
      <c r="BZ28" s="913"/>
      <c r="CA28" s="913"/>
      <c r="CB28" s="913"/>
      <c r="CC28" s="913"/>
      <c r="CD28" s="913"/>
      <c r="CE28" s="913"/>
      <c r="CF28" s="913"/>
      <c r="CG28" s="913"/>
      <c r="CH28" s="913"/>
      <c r="CI28" s="913"/>
      <c r="CJ28" s="913"/>
      <c r="CK28" s="913"/>
      <c r="CL28" s="913"/>
      <c r="CM28" s="913"/>
      <c r="CN28" s="913"/>
      <c r="CO28" s="913"/>
      <c r="CP28" s="913"/>
      <c r="CQ28" s="913"/>
      <c r="CR28" s="913"/>
      <c r="CS28" s="913"/>
      <c r="CT28" s="913"/>
      <c r="CU28" s="913"/>
      <c r="CV28" s="913"/>
      <c r="CW28" s="913"/>
      <c r="CX28" s="913"/>
      <c r="CY28" s="913"/>
      <c r="CZ28" s="913"/>
      <c r="DA28" s="913"/>
      <c r="DB28" s="913"/>
      <c r="DC28" s="913"/>
      <c r="DD28" s="913"/>
      <c r="DE28" s="913"/>
      <c r="DF28" s="913"/>
      <c r="DG28" s="913"/>
      <c r="DH28" s="913"/>
      <c r="DI28" s="913"/>
      <c r="DJ28" s="913"/>
      <c r="DK28" s="913"/>
      <c r="DL28" s="913"/>
      <c r="DM28" s="913"/>
      <c r="DN28" s="913"/>
      <c r="DO28" s="913"/>
      <c r="DP28" s="913"/>
      <c r="DQ28" s="913"/>
      <c r="DR28" s="913"/>
      <c r="DS28" s="913"/>
      <c r="DT28" s="913"/>
      <c r="DU28" s="913"/>
      <c r="DV28" s="913"/>
      <c r="DW28" s="913"/>
    </row>
    <row r="29" spans="1:127" s="906" customFormat="1" ht="21" customHeight="1" x14ac:dyDescent="0.25">
      <c r="B29" s="900" t="s">
        <v>718</v>
      </c>
      <c r="C29" s="900" t="s">
        <v>899</v>
      </c>
      <c r="D29" s="900"/>
      <c r="E29" s="901"/>
      <c r="F29" s="901">
        <f>SUM(F11:F28)</f>
        <v>202260112.37</v>
      </c>
      <c r="G29" s="901">
        <f t="shared" ref="G29:J29" si="1">SUM(G11:G28)</f>
        <v>0</v>
      </c>
      <c r="H29" s="901">
        <f t="shared" si="1"/>
        <v>0</v>
      </c>
      <c r="I29" s="901">
        <f t="shared" si="1"/>
        <v>0</v>
      </c>
      <c r="J29" s="901">
        <f t="shared" si="1"/>
        <v>19671266.38000001</v>
      </c>
      <c r="K29" s="901">
        <f>K11+K12+K13+K14+K15+K16+K17+K18+K19+K20+K21+K22+K23+K24+K25+K26+K27+K28</f>
        <v>182588845.99000001</v>
      </c>
      <c r="L29" s="903"/>
      <c r="M29" s="903"/>
      <c r="N29" s="903"/>
      <c r="O29" s="904"/>
      <c r="P29" s="904"/>
      <c r="Q29" s="904"/>
      <c r="R29" s="904"/>
      <c r="S29" s="904"/>
      <c r="T29" s="904"/>
      <c r="U29" s="905"/>
      <c r="V29" s="905"/>
      <c r="W29" s="905"/>
      <c r="X29" s="905"/>
      <c r="Y29" s="905"/>
      <c r="Z29" s="905"/>
      <c r="AA29" s="905"/>
      <c r="AB29" s="905"/>
      <c r="AC29" s="905"/>
      <c r="AD29" s="905"/>
      <c r="AE29" s="904"/>
      <c r="AF29" s="904"/>
      <c r="AG29" s="904"/>
      <c r="AH29" s="904"/>
      <c r="AI29" s="904"/>
      <c r="AJ29" s="904"/>
      <c r="AK29" s="904"/>
      <c r="AL29" s="904"/>
      <c r="AM29" s="904"/>
      <c r="AN29" s="904"/>
      <c r="AO29" s="904"/>
      <c r="AP29" s="904"/>
      <c r="AQ29" s="904"/>
      <c r="AR29" s="904"/>
      <c r="AS29" s="904"/>
      <c r="AT29" s="904"/>
      <c r="AU29" s="904"/>
      <c r="AV29" s="904"/>
      <c r="AW29" s="904"/>
      <c r="AX29" s="904"/>
      <c r="AY29" s="904"/>
      <c r="AZ29" s="904"/>
      <c r="BA29" s="904"/>
      <c r="BB29" s="904"/>
      <c r="BC29" s="904"/>
      <c r="BD29" s="904"/>
      <c r="BE29" s="904"/>
      <c r="BF29" s="904"/>
      <c r="BG29" s="904"/>
      <c r="BH29" s="904"/>
      <c r="BI29" s="904"/>
      <c r="BJ29" s="904"/>
      <c r="BK29" s="904"/>
      <c r="BL29" s="904"/>
      <c r="BM29" s="904"/>
      <c r="BN29" s="904"/>
      <c r="BO29" s="904"/>
      <c r="BP29" s="904"/>
      <c r="BQ29" s="904"/>
      <c r="BR29" s="904"/>
      <c r="BS29" s="904"/>
      <c r="BT29" s="904"/>
      <c r="BU29" s="904"/>
      <c r="BV29" s="904"/>
      <c r="BW29" s="904"/>
      <c r="BX29" s="904"/>
      <c r="BY29" s="904"/>
      <c r="BZ29" s="904"/>
      <c r="CA29" s="904"/>
      <c r="CB29" s="904"/>
      <c r="CC29" s="904"/>
      <c r="CD29" s="904"/>
      <c r="CE29" s="904"/>
      <c r="CF29" s="904"/>
      <c r="CG29" s="904"/>
      <c r="CH29" s="904"/>
      <c r="CI29" s="904"/>
      <c r="CJ29" s="904"/>
      <c r="CK29" s="904"/>
      <c r="CL29" s="904"/>
      <c r="CM29" s="904"/>
      <c r="CN29" s="904"/>
      <c r="CO29" s="904"/>
      <c r="CP29" s="904"/>
      <c r="CQ29" s="904"/>
      <c r="CR29" s="904"/>
      <c r="CS29" s="904"/>
      <c r="CT29" s="904"/>
      <c r="CU29" s="904"/>
      <c r="CV29" s="904"/>
      <c r="CW29" s="904"/>
      <c r="CX29" s="904"/>
      <c r="CY29" s="904"/>
      <c r="CZ29" s="904"/>
      <c r="DA29" s="904"/>
      <c r="DB29" s="904"/>
      <c r="DC29" s="904"/>
      <c r="DD29" s="904"/>
      <c r="DE29" s="904"/>
      <c r="DF29" s="904"/>
      <c r="DG29" s="904"/>
      <c r="DH29" s="904"/>
      <c r="DI29" s="904"/>
      <c r="DJ29" s="904"/>
      <c r="DK29" s="904"/>
      <c r="DL29" s="904"/>
      <c r="DM29" s="904"/>
      <c r="DN29" s="904"/>
      <c r="DO29" s="904"/>
      <c r="DP29" s="904"/>
      <c r="DQ29" s="904"/>
      <c r="DR29" s="904"/>
      <c r="DS29" s="904"/>
      <c r="DT29" s="904"/>
      <c r="DU29" s="904"/>
      <c r="DV29" s="904"/>
      <c r="DW29" s="904"/>
    </row>
    <row r="30" spans="1:127" ht="18" customHeight="1" thickBot="1" x14ac:dyDescent="0.3">
      <c r="B30" s="1675" t="s">
        <v>719</v>
      </c>
      <c r="C30" s="1675"/>
      <c r="D30" s="1675"/>
      <c r="E30" s="1675"/>
      <c r="F30" s="1675"/>
      <c r="G30" s="1675"/>
      <c r="H30" s="1675"/>
      <c r="I30" s="1675"/>
      <c r="J30" s="1675"/>
      <c r="K30" s="1675"/>
      <c r="L30" s="1677"/>
      <c r="M30" s="1677"/>
      <c r="N30" s="887"/>
      <c r="O30" s="887"/>
    </row>
    <row r="31" spans="1:127" s="950" customFormat="1" ht="49.5" customHeight="1" x14ac:dyDescent="0.25">
      <c r="A31" s="982" t="s">
        <v>255</v>
      </c>
      <c r="B31" s="982" t="s">
        <v>648</v>
      </c>
      <c r="C31" s="982" t="s">
        <v>875</v>
      </c>
      <c r="D31" s="982" t="s">
        <v>649</v>
      </c>
      <c r="E31" s="982" t="s">
        <v>650</v>
      </c>
      <c r="F31" s="983" t="s">
        <v>902</v>
      </c>
      <c r="G31" s="982" t="s">
        <v>651</v>
      </c>
      <c r="H31" s="982" t="s">
        <v>652</v>
      </c>
      <c r="I31" s="982" t="s">
        <v>653</v>
      </c>
      <c r="J31" s="983" t="s">
        <v>901</v>
      </c>
      <c r="K31" s="982" t="s">
        <v>869</v>
      </c>
      <c r="L31" s="917" t="s">
        <v>672</v>
      </c>
      <c r="M31" s="910" t="s">
        <v>673</v>
      </c>
      <c r="N31" s="897" t="s">
        <v>674</v>
      </c>
      <c r="V31" s="987"/>
      <c r="W31" s="987"/>
      <c r="X31" s="987"/>
      <c r="Y31" s="987"/>
      <c r="Z31" s="987"/>
      <c r="AA31" s="987"/>
      <c r="AB31" s="987"/>
      <c r="AC31" s="987"/>
      <c r="AD31" s="987"/>
      <c r="AE31" s="987"/>
    </row>
    <row r="32" spans="1:127" s="913" customFormat="1" ht="38.25" x14ac:dyDescent="0.25">
      <c r="A32" s="939">
        <v>24</v>
      </c>
      <c r="B32" s="918" t="s">
        <v>720</v>
      </c>
      <c r="C32" s="918" t="s">
        <v>720</v>
      </c>
      <c r="D32" s="954" t="s">
        <v>721</v>
      </c>
      <c r="E32" s="919">
        <v>3674041.01</v>
      </c>
      <c r="F32" s="919">
        <v>1343074.9299999997</v>
      </c>
      <c r="G32" s="920"/>
      <c r="H32" s="920"/>
      <c r="I32" s="920"/>
      <c r="J32" s="920"/>
      <c r="K32" s="920">
        <f>F32</f>
        <v>1343074.9299999997</v>
      </c>
      <c r="L32" s="921" t="s">
        <v>696</v>
      </c>
      <c r="M32" s="922" t="s">
        <v>722</v>
      </c>
      <c r="N32" s="921" t="s">
        <v>723</v>
      </c>
      <c r="O32" s="923"/>
    </row>
    <row r="33" spans="1:16" s="913" customFormat="1" ht="38.25" x14ac:dyDescent="0.25">
      <c r="A33" s="939">
        <v>25</v>
      </c>
      <c r="B33" s="996" t="s">
        <v>724</v>
      </c>
      <c r="C33" s="967" t="s">
        <v>889</v>
      </c>
      <c r="D33" s="954" t="s">
        <v>725</v>
      </c>
      <c r="E33" s="919">
        <v>10476098.710000001</v>
      </c>
      <c r="F33" s="919">
        <v>537177.8900000006</v>
      </c>
      <c r="G33" s="920"/>
      <c r="H33" s="920"/>
      <c r="I33" s="920"/>
      <c r="J33" s="920"/>
      <c r="K33" s="920">
        <f>F33</f>
        <v>537177.8900000006</v>
      </c>
      <c r="L33" s="921" t="s">
        <v>696</v>
      </c>
      <c r="M33" s="922" t="s">
        <v>726</v>
      </c>
      <c r="N33" s="921" t="s">
        <v>727</v>
      </c>
      <c r="O33" s="923"/>
      <c r="P33" s="913" t="s">
        <v>728</v>
      </c>
    </row>
    <row r="34" spans="1:16" s="913" customFormat="1" ht="15.75" x14ac:dyDescent="0.25">
      <c r="A34" s="1678">
        <v>26</v>
      </c>
      <c r="B34" s="995" t="s">
        <v>729</v>
      </c>
      <c r="C34" s="1669" t="s">
        <v>890</v>
      </c>
      <c r="D34" s="1669" t="s">
        <v>730</v>
      </c>
      <c r="E34" s="919">
        <v>2944364.53</v>
      </c>
      <c r="F34" s="919">
        <v>2944364.53</v>
      </c>
      <c r="G34" s="920"/>
      <c r="H34" s="920"/>
      <c r="I34" s="920"/>
      <c r="J34" s="920"/>
      <c r="K34" s="920">
        <f>F34</f>
        <v>2944364.53</v>
      </c>
      <c r="L34" s="921" t="s">
        <v>668</v>
      </c>
      <c r="M34" s="922" t="s">
        <v>731</v>
      </c>
      <c r="N34" s="921" t="s">
        <v>727</v>
      </c>
      <c r="O34" s="923"/>
      <c r="P34" s="913" t="s">
        <v>728</v>
      </c>
    </row>
    <row r="35" spans="1:16" s="913" customFormat="1" ht="15.75" x14ac:dyDescent="0.25">
      <c r="A35" s="1679"/>
      <c r="B35" s="995" t="s">
        <v>729</v>
      </c>
      <c r="C35" s="1669"/>
      <c r="D35" s="1669"/>
      <c r="E35" s="919">
        <v>17281.43</v>
      </c>
      <c r="F35" s="919">
        <v>17281.43</v>
      </c>
      <c r="G35" s="920"/>
      <c r="H35" s="920"/>
      <c r="I35" s="920"/>
      <c r="J35" s="920"/>
      <c r="K35" s="920">
        <f>F35</f>
        <v>17281.43</v>
      </c>
      <c r="L35" s="921" t="s">
        <v>717</v>
      </c>
      <c r="M35" s="922" t="s">
        <v>732</v>
      </c>
      <c r="N35" s="921" t="s">
        <v>727</v>
      </c>
      <c r="O35" s="923"/>
      <c r="P35" s="913" t="s">
        <v>728</v>
      </c>
    </row>
    <row r="36" spans="1:16" s="913" customFormat="1" ht="15.75" x14ac:dyDescent="0.25">
      <c r="A36" s="1680"/>
      <c r="B36" s="995" t="s">
        <v>729</v>
      </c>
      <c r="C36" s="1669"/>
      <c r="D36" s="1669"/>
      <c r="E36" s="919">
        <v>415873.38</v>
      </c>
      <c r="F36" s="919">
        <v>415873.38</v>
      </c>
      <c r="G36" s="920"/>
      <c r="H36" s="920"/>
      <c r="I36" s="920"/>
      <c r="J36" s="920"/>
      <c r="K36" s="920">
        <f>F36</f>
        <v>415873.38</v>
      </c>
      <c r="L36" s="921" t="s">
        <v>717</v>
      </c>
      <c r="M36" s="922" t="s">
        <v>731</v>
      </c>
      <c r="N36" s="921" t="s">
        <v>727</v>
      </c>
      <c r="O36" s="923"/>
      <c r="P36" s="913" t="s">
        <v>728</v>
      </c>
    </row>
    <row r="37" spans="1:16" s="913" customFormat="1" ht="63" x14ac:dyDescent="0.25">
      <c r="A37" s="939">
        <v>27</v>
      </c>
      <c r="B37" s="995" t="s">
        <v>733</v>
      </c>
      <c r="C37" s="995"/>
      <c r="D37" s="995" t="s">
        <v>734</v>
      </c>
      <c r="E37" s="919">
        <v>21411046.370000001</v>
      </c>
      <c r="F37" s="919">
        <v>21411046.370000001</v>
      </c>
      <c r="G37" s="920"/>
      <c r="H37" s="920"/>
      <c r="I37" s="920"/>
      <c r="J37" s="920">
        <f>F37</f>
        <v>21411046.370000001</v>
      </c>
      <c r="K37" s="920"/>
      <c r="L37" s="921" t="s">
        <v>658</v>
      </c>
      <c r="M37" s="922" t="s">
        <v>726</v>
      </c>
      <c r="N37" s="921" t="s">
        <v>735</v>
      </c>
      <c r="O37" s="923"/>
    </row>
    <row r="38" spans="1:16" s="913" customFormat="1" ht="47.25" customHeight="1" x14ac:dyDescent="0.25">
      <c r="A38" s="1678">
        <v>28</v>
      </c>
      <c r="B38" s="1669" t="s">
        <v>736</v>
      </c>
      <c r="C38" s="1669"/>
      <c r="D38" s="1669" t="s">
        <v>737</v>
      </c>
      <c r="E38" s="919">
        <v>1012434.22</v>
      </c>
      <c r="F38" s="919">
        <v>1012434.22</v>
      </c>
      <c r="G38" s="920"/>
      <c r="H38" s="920"/>
      <c r="I38" s="920"/>
      <c r="J38" s="920">
        <f t="shared" ref="J38:J39" si="2">F38</f>
        <v>1012434.22</v>
      </c>
      <c r="K38" s="920"/>
      <c r="L38" s="921" t="s">
        <v>685</v>
      </c>
      <c r="M38" s="922" t="s">
        <v>731</v>
      </c>
      <c r="N38" s="921" t="s">
        <v>727</v>
      </c>
      <c r="O38" s="923"/>
    </row>
    <row r="39" spans="1:16" s="913" customFormat="1" ht="37.5" customHeight="1" x14ac:dyDescent="0.25">
      <c r="A39" s="1680"/>
      <c r="B39" s="1669"/>
      <c r="C39" s="1669"/>
      <c r="D39" s="1669"/>
      <c r="E39" s="919">
        <v>78186</v>
      </c>
      <c r="F39" s="919">
        <v>78186</v>
      </c>
      <c r="G39" s="920"/>
      <c r="H39" s="920"/>
      <c r="I39" s="920"/>
      <c r="J39" s="920">
        <f t="shared" si="2"/>
        <v>78186</v>
      </c>
      <c r="K39" s="920" t="s">
        <v>252</v>
      </c>
      <c r="L39" s="921" t="s">
        <v>717</v>
      </c>
      <c r="M39" s="922" t="s">
        <v>731</v>
      </c>
      <c r="N39" s="921" t="s">
        <v>727</v>
      </c>
      <c r="O39" s="923"/>
    </row>
    <row r="40" spans="1:16" s="913" customFormat="1" ht="31.5" x14ac:dyDescent="0.25">
      <c r="A40" s="939">
        <v>29</v>
      </c>
      <c r="B40" s="995" t="s">
        <v>738</v>
      </c>
      <c r="C40" s="964" t="s">
        <v>891</v>
      </c>
      <c r="D40" s="995" t="s">
        <v>739</v>
      </c>
      <c r="E40" s="919">
        <v>2472695.19</v>
      </c>
      <c r="F40" s="919">
        <v>54410</v>
      </c>
      <c r="G40" s="920"/>
      <c r="H40" s="920"/>
      <c r="I40" s="920"/>
      <c r="J40" s="920"/>
      <c r="K40" s="920">
        <f>F40</f>
        <v>54410</v>
      </c>
      <c r="L40" s="921" t="s">
        <v>717</v>
      </c>
      <c r="M40" s="922" t="s">
        <v>732</v>
      </c>
      <c r="N40" s="921" t="s">
        <v>727</v>
      </c>
      <c r="O40" s="923"/>
      <c r="P40" s="913" t="s">
        <v>728</v>
      </c>
    </row>
    <row r="41" spans="1:16" s="913" customFormat="1" ht="17.25" customHeight="1" x14ac:dyDescent="0.25">
      <c r="A41" s="1678">
        <v>30</v>
      </c>
      <c r="B41" s="1670" t="s">
        <v>740</v>
      </c>
      <c r="C41" s="1674" t="s">
        <v>892</v>
      </c>
      <c r="D41" s="1672" t="s">
        <v>741</v>
      </c>
      <c r="E41" s="919">
        <v>194300</v>
      </c>
      <c r="F41" s="919">
        <v>194300</v>
      </c>
      <c r="G41" s="920"/>
      <c r="H41" s="920"/>
      <c r="I41" s="920"/>
      <c r="J41" s="920"/>
      <c r="K41" s="920">
        <f>F41</f>
        <v>194300</v>
      </c>
      <c r="L41" s="921" t="s">
        <v>668</v>
      </c>
      <c r="M41" s="922" t="s">
        <v>731</v>
      </c>
      <c r="N41" s="921" t="s">
        <v>727</v>
      </c>
      <c r="O41" s="923"/>
      <c r="P41" s="913" t="s">
        <v>742</v>
      </c>
    </row>
    <row r="42" spans="1:16" s="913" customFormat="1" ht="15.75" x14ac:dyDescent="0.25">
      <c r="A42" s="1680"/>
      <c r="B42" s="1670"/>
      <c r="C42" s="1674"/>
      <c r="D42" s="1672"/>
      <c r="E42" s="919">
        <v>1632491.1</v>
      </c>
      <c r="F42" s="919">
        <v>16324.920000000158</v>
      </c>
      <c r="G42" s="920"/>
      <c r="H42" s="920"/>
      <c r="I42" s="920"/>
      <c r="J42" s="920"/>
      <c r="K42" s="920">
        <f>F42</f>
        <v>16324.920000000158</v>
      </c>
      <c r="L42" s="921" t="s">
        <v>717</v>
      </c>
      <c r="M42" s="922" t="s">
        <v>732</v>
      </c>
      <c r="N42" s="921" t="s">
        <v>727</v>
      </c>
      <c r="O42" s="923"/>
      <c r="P42" s="913" t="s">
        <v>742</v>
      </c>
    </row>
    <row r="43" spans="1:16" s="913" customFormat="1" ht="63" x14ac:dyDescent="0.25">
      <c r="A43" s="939">
        <v>31</v>
      </c>
      <c r="B43" s="956" t="s">
        <v>743</v>
      </c>
      <c r="C43" s="272" t="s">
        <v>893</v>
      </c>
      <c r="D43" s="954" t="s">
        <v>744</v>
      </c>
      <c r="E43" s="919">
        <v>31858025.879999999</v>
      </c>
      <c r="F43" s="919">
        <v>6231751.7899999991</v>
      </c>
      <c r="G43" s="920"/>
      <c r="H43" s="920"/>
      <c r="I43" s="920"/>
      <c r="J43" s="920"/>
      <c r="K43" s="920">
        <f>F43</f>
        <v>6231751.7899999991</v>
      </c>
      <c r="L43" s="921" t="s">
        <v>658</v>
      </c>
      <c r="M43" s="922" t="s">
        <v>726</v>
      </c>
      <c r="N43" s="921" t="s">
        <v>735</v>
      </c>
      <c r="O43" s="923"/>
      <c r="P43" s="913" t="s">
        <v>728</v>
      </c>
    </row>
    <row r="44" spans="1:16" s="913" customFormat="1" ht="15.75" customHeight="1" x14ac:dyDescent="0.25">
      <c r="A44" s="1678">
        <v>32</v>
      </c>
      <c r="B44" s="1669" t="s">
        <v>745</v>
      </c>
      <c r="C44" s="1669"/>
      <c r="D44" s="1672" t="s">
        <v>746</v>
      </c>
      <c r="E44" s="919">
        <v>7929650</v>
      </c>
      <c r="F44" s="919">
        <v>0</v>
      </c>
      <c r="G44" s="920"/>
      <c r="H44" s="920"/>
      <c r="I44" s="920"/>
      <c r="J44" s="920"/>
      <c r="K44" s="920"/>
      <c r="L44" s="921" t="s">
        <v>668</v>
      </c>
      <c r="M44" s="921" t="s">
        <v>731</v>
      </c>
      <c r="N44" s="922" t="s">
        <v>727</v>
      </c>
      <c r="O44" s="923"/>
    </row>
    <row r="45" spans="1:16" s="913" customFormat="1" ht="15.75" x14ac:dyDescent="0.25">
      <c r="A45" s="1680"/>
      <c r="B45" s="1669"/>
      <c r="C45" s="1669"/>
      <c r="D45" s="1672"/>
      <c r="E45" s="919">
        <v>1229940</v>
      </c>
      <c r="F45" s="919">
        <v>244600</v>
      </c>
      <c r="G45" s="920"/>
      <c r="H45" s="920"/>
      <c r="I45" s="920"/>
      <c r="J45" s="920">
        <f>F45</f>
        <v>244600</v>
      </c>
      <c r="K45" s="920"/>
      <c r="L45" s="921" t="s">
        <v>717</v>
      </c>
      <c r="M45" s="921" t="s">
        <v>731</v>
      </c>
      <c r="N45" s="922" t="s">
        <v>727</v>
      </c>
      <c r="O45" s="923"/>
    </row>
    <row r="46" spans="1:16" s="913" customFormat="1" ht="15.75" customHeight="1" x14ac:dyDescent="0.25">
      <c r="A46" s="1678">
        <v>33</v>
      </c>
      <c r="B46" s="1669" t="s">
        <v>745</v>
      </c>
      <c r="C46" s="1674" t="s">
        <v>894</v>
      </c>
      <c r="D46" s="1672" t="s">
        <v>747</v>
      </c>
      <c r="E46" s="919">
        <v>10902060</v>
      </c>
      <c r="F46" s="919">
        <v>1307500</v>
      </c>
      <c r="G46" s="920"/>
      <c r="H46" s="920"/>
      <c r="I46" s="920"/>
      <c r="J46" s="920"/>
      <c r="K46" s="920">
        <f>F46</f>
        <v>1307500</v>
      </c>
      <c r="L46" s="921" t="s">
        <v>668</v>
      </c>
      <c r="M46" s="921" t="s">
        <v>731</v>
      </c>
      <c r="N46" s="922" t="s">
        <v>727</v>
      </c>
      <c r="O46" s="923"/>
      <c r="P46" s="913" t="s">
        <v>783</v>
      </c>
    </row>
    <row r="47" spans="1:16" s="913" customFormat="1" ht="15.75" x14ac:dyDescent="0.25">
      <c r="A47" s="1679"/>
      <c r="B47" s="1669"/>
      <c r="C47" s="1674"/>
      <c r="D47" s="1672"/>
      <c r="E47" s="919">
        <v>1033200</v>
      </c>
      <c r="F47" s="919">
        <v>1033200</v>
      </c>
      <c r="G47" s="920"/>
      <c r="H47" s="920"/>
      <c r="I47" s="920"/>
      <c r="J47" s="920">
        <f>F47</f>
        <v>1033200</v>
      </c>
      <c r="K47" s="920"/>
      <c r="L47" s="921" t="s">
        <v>717</v>
      </c>
      <c r="M47" s="921" t="s">
        <v>731</v>
      </c>
      <c r="N47" s="922" t="s">
        <v>727</v>
      </c>
      <c r="O47" s="923"/>
    </row>
    <row r="48" spans="1:16" s="913" customFormat="1" ht="15.75" x14ac:dyDescent="0.25">
      <c r="A48" s="1680"/>
      <c r="B48" s="1669"/>
      <c r="C48" s="1674"/>
      <c r="D48" s="1672"/>
      <c r="E48" s="919">
        <v>1435000</v>
      </c>
      <c r="F48" s="919">
        <v>1435000</v>
      </c>
      <c r="G48" s="920"/>
      <c r="H48" s="920"/>
      <c r="I48" s="920"/>
      <c r="J48" s="920">
        <f t="shared" ref="J48:J50" si="3">F48</f>
        <v>1435000</v>
      </c>
      <c r="K48" s="920"/>
      <c r="L48" s="921" t="s">
        <v>717</v>
      </c>
      <c r="M48" s="921" t="s">
        <v>732</v>
      </c>
      <c r="N48" s="922" t="s">
        <v>727</v>
      </c>
      <c r="O48" s="923"/>
    </row>
    <row r="49" spans="1:16" s="913" customFormat="1" ht="38.25" customHeight="1" x14ac:dyDescent="0.25">
      <c r="A49" s="939">
        <v>34</v>
      </c>
      <c r="B49" s="995" t="s">
        <v>748</v>
      </c>
      <c r="C49" s="995"/>
      <c r="D49" s="954" t="s">
        <v>749</v>
      </c>
      <c r="E49" s="919">
        <v>5570000</v>
      </c>
      <c r="F49" s="919">
        <v>1600000</v>
      </c>
      <c r="G49" s="920"/>
      <c r="H49" s="920"/>
      <c r="I49" s="920"/>
      <c r="J49" s="920">
        <f t="shared" si="3"/>
        <v>1600000</v>
      </c>
      <c r="K49" s="920"/>
      <c r="L49" s="921" t="s">
        <v>750</v>
      </c>
      <c r="M49" s="921" t="s">
        <v>751</v>
      </c>
      <c r="N49" s="922" t="s">
        <v>727</v>
      </c>
      <c r="O49" s="923"/>
    </row>
    <row r="50" spans="1:16" s="913" customFormat="1" ht="42.75" customHeight="1" x14ac:dyDescent="0.25">
      <c r="A50" s="939">
        <v>35</v>
      </c>
      <c r="B50" s="995" t="s">
        <v>752</v>
      </c>
      <c r="C50" s="995"/>
      <c r="D50" s="954" t="s">
        <v>753</v>
      </c>
      <c r="E50" s="919">
        <v>102266.68</v>
      </c>
      <c r="F50" s="919">
        <v>102266.68</v>
      </c>
      <c r="G50" s="920"/>
      <c r="H50" s="920"/>
      <c r="I50" s="920"/>
      <c r="J50" s="920">
        <f t="shared" si="3"/>
        <v>102266.68</v>
      </c>
      <c r="K50" s="920"/>
      <c r="L50" s="921" t="s">
        <v>717</v>
      </c>
      <c r="M50" s="921" t="s">
        <v>731</v>
      </c>
      <c r="N50" s="922" t="s">
        <v>727</v>
      </c>
      <c r="O50" s="923"/>
    </row>
    <row r="51" spans="1:16" s="913" customFormat="1" ht="63.75" customHeight="1" x14ac:dyDescent="0.25">
      <c r="A51" s="939">
        <v>36</v>
      </c>
      <c r="B51" s="995" t="s">
        <v>754</v>
      </c>
      <c r="C51" s="967" t="s">
        <v>895</v>
      </c>
      <c r="D51" s="954" t="s">
        <v>755</v>
      </c>
      <c r="E51" s="919">
        <v>3935234.46</v>
      </c>
      <c r="F51" s="919">
        <v>191274.96999999974</v>
      </c>
      <c r="G51" s="920"/>
      <c r="H51" s="920"/>
      <c r="I51" s="920"/>
      <c r="J51" s="920"/>
      <c r="K51" s="920">
        <f>F51</f>
        <v>191274.96999999974</v>
      </c>
      <c r="L51" s="921" t="s">
        <v>658</v>
      </c>
      <c r="M51" s="921" t="s">
        <v>726</v>
      </c>
      <c r="N51" s="922" t="s">
        <v>735</v>
      </c>
      <c r="O51" s="923"/>
      <c r="P51" s="950" t="s">
        <v>870</v>
      </c>
    </row>
    <row r="52" spans="1:16" s="913" customFormat="1" ht="15.75" x14ac:dyDescent="0.25">
      <c r="A52" s="939">
        <v>37</v>
      </c>
      <c r="B52" s="995" t="s">
        <v>756</v>
      </c>
      <c r="C52" s="995"/>
      <c r="D52" s="954" t="s">
        <v>757</v>
      </c>
      <c r="E52" s="919">
        <v>99000</v>
      </c>
      <c r="F52" s="919">
        <v>57750</v>
      </c>
      <c r="G52" s="920"/>
      <c r="H52" s="920"/>
      <c r="I52" s="920"/>
      <c r="J52" s="920">
        <f>F52</f>
        <v>57750</v>
      </c>
      <c r="K52" s="920"/>
      <c r="L52" s="921" t="s">
        <v>706</v>
      </c>
      <c r="M52" s="921" t="s">
        <v>751</v>
      </c>
      <c r="N52" s="922" t="s">
        <v>735</v>
      </c>
      <c r="O52" s="923"/>
    </row>
    <row r="53" spans="1:16" s="913" customFormat="1" ht="31.5" x14ac:dyDescent="0.25">
      <c r="A53" s="939">
        <v>38</v>
      </c>
      <c r="B53" s="995" t="s">
        <v>758</v>
      </c>
      <c r="C53" s="995"/>
      <c r="D53" s="995" t="s">
        <v>759</v>
      </c>
      <c r="E53" s="919">
        <v>15279294.5</v>
      </c>
      <c r="F53" s="919">
        <v>1963193.2200000007</v>
      </c>
      <c r="G53" s="920"/>
      <c r="H53" s="920"/>
      <c r="I53" s="920"/>
      <c r="J53" s="920">
        <f t="shared" ref="J53:J54" si="4">F53</f>
        <v>1963193.2200000007</v>
      </c>
      <c r="K53" s="920"/>
      <c r="L53" s="921" t="s">
        <v>658</v>
      </c>
      <c r="M53" s="921" t="s">
        <v>726</v>
      </c>
      <c r="N53" s="922" t="s">
        <v>735</v>
      </c>
      <c r="O53" s="923"/>
    </row>
    <row r="54" spans="1:16" s="913" customFormat="1" ht="37.5" customHeight="1" x14ac:dyDescent="0.25">
      <c r="A54" s="939">
        <v>39</v>
      </c>
      <c r="B54" s="995" t="s">
        <v>760</v>
      </c>
      <c r="C54" s="995"/>
      <c r="D54" s="995" t="s">
        <v>761</v>
      </c>
      <c r="E54" s="919">
        <v>903371.56</v>
      </c>
      <c r="F54" s="919">
        <v>429259.19000000006</v>
      </c>
      <c r="G54" s="920"/>
      <c r="H54" s="920"/>
      <c r="I54" s="920"/>
      <c r="J54" s="920">
        <f t="shared" si="4"/>
        <v>429259.19000000006</v>
      </c>
      <c r="K54" s="920"/>
      <c r="L54" s="921" t="s">
        <v>696</v>
      </c>
      <c r="M54" s="921" t="s">
        <v>726</v>
      </c>
      <c r="N54" s="922" t="s">
        <v>727</v>
      </c>
      <c r="O54" s="923"/>
    </row>
    <row r="55" spans="1:16" s="913" customFormat="1" ht="45" customHeight="1" x14ac:dyDescent="0.25">
      <c r="A55" s="939">
        <v>40</v>
      </c>
      <c r="B55" s="995" t="s">
        <v>762</v>
      </c>
      <c r="C55" s="968" t="s">
        <v>896</v>
      </c>
      <c r="D55" s="995" t="s">
        <v>763</v>
      </c>
      <c r="E55" s="919">
        <v>2165137.58</v>
      </c>
      <c r="F55" s="919">
        <v>280417.12000000011</v>
      </c>
      <c r="G55" s="920"/>
      <c r="H55" s="920"/>
      <c r="I55" s="920"/>
      <c r="J55" s="920"/>
      <c r="K55" s="920">
        <f>F55</f>
        <v>280417.12000000011</v>
      </c>
      <c r="L55" s="921" t="s">
        <v>709</v>
      </c>
      <c r="M55" s="921" t="s">
        <v>751</v>
      </c>
      <c r="N55" s="922" t="s">
        <v>727</v>
      </c>
      <c r="O55" s="923"/>
      <c r="P55" s="913" t="s">
        <v>728</v>
      </c>
    </row>
    <row r="56" spans="1:16" s="913" customFormat="1" ht="31.5" x14ac:dyDescent="0.25">
      <c r="A56" s="939">
        <v>41</v>
      </c>
      <c r="B56" s="995" t="s">
        <v>764</v>
      </c>
      <c r="C56" s="997"/>
      <c r="D56" s="995" t="s">
        <v>765</v>
      </c>
      <c r="E56" s="919">
        <v>37643000</v>
      </c>
      <c r="F56" s="919">
        <v>22979535.129999999</v>
      </c>
      <c r="G56" s="920"/>
      <c r="H56" s="920"/>
      <c r="I56" s="920"/>
      <c r="J56" s="920">
        <f>F56</f>
        <v>22979535.129999999</v>
      </c>
      <c r="K56" s="920"/>
      <c r="L56" s="921" t="s">
        <v>658</v>
      </c>
      <c r="M56" s="921" t="s">
        <v>726</v>
      </c>
      <c r="N56" s="922" t="s">
        <v>735</v>
      </c>
      <c r="O56" s="923"/>
    </row>
    <row r="57" spans="1:16" s="913" customFormat="1" ht="31.5" x14ac:dyDescent="0.25">
      <c r="A57" s="939">
        <v>42</v>
      </c>
      <c r="B57" s="995" t="s">
        <v>766</v>
      </c>
      <c r="C57" s="995"/>
      <c r="D57" s="995" t="s">
        <v>767</v>
      </c>
      <c r="E57" s="919">
        <v>8789196.4399999995</v>
      </c>
      <c r="F57" s="919">
        <v>219058.63999999873</v>
      </c>
      <c r="G57" s="920"/>
      <c r="H57" s="920"/>
      <c r="I57" s="920"/>
      <c r="J57" s="920">
        <f t="shared" ref="J57:J66" si="5">F57</f>
        <v>219058.63999999873</v>
      </c>
      <c r="K57" s="920"/>
      <c r="L57" s="921" t="s">
        <v>658</v>
      </c>
      <c r="M57" s="921" t="s">
        <v>726</v>
      </c>
      <c r="N57" s="922" t="s">
        <v>735</v>
      </c>
      <c r="O57" s="923"/>
    </row>
    <row r="58" spans="1:16" s="913" customFormat="1" ht="47.25" x14ac:dyDescent="0.25">
      <c r="A58" s="939">
        <v>43</v>
      </c>
      <c r="B58" s="995" t="s">
        <v>768</v>
      </c>
      <c r="C58" s="995"/>
      <c r="D58" s="995" t="s">
        <v>769</v>
      </c>
      <c r="E58" s="919">
        <v>409184.45</v>
      </c>
      <c r="F58" s="919">
        <v>409184.45</v>
      </c>
      <c r="G58" s="920"/>
      <c r="H58" s="920"/>
      <c r="I58" s="920"/>
      <c r="J58" s="920">
        <f t="shared" si="5"/>
        <v>409184.45</v>
      </c>
      <c r="K58" s="920"/>
      <c r="L58" s="921" t="s">
        <v>709</v>
      </c>
      <c r="M58" s="921" t="s">
        <v>751</v>
      </c>
      <c r="N58" s="922" t="s">
        <v>727</v>
      </c>
      <c r="O58" s="923"/>
    </row>
    <row r="59" spans="1:16" s="913" customFormat="1" ht="31.5" x14ac:dyDescent="0.25">
      <c r="A59" s="939">
        <v>44</v>
      </c>
      <c r="B59" s="995" t="s">
        <v>770</v>
      </c>
      <c r="C59" s="995"/>
      <c r="D59" s="995" t="s">
        <v>771</v>
      </c>
      <c r="E59" s="919">
        <v>11836977.17</v>
      </c>
      <c r="F59" s="919">
        <v>11836977.17</v>
      </c>
      <c r="G59" s="920"/>
      <c r="H59" s="920"/>
      <c r="I59" s="920"/>
      <c r="J59" s="920">
        <f t="shared" si="5"/>
        <v>11836977.17</v>
      </c>
      <c r="K59" s="920"/>
      <c r="L59" s="921" t="s">
        <v>685</v>
      </c>
      <c r="M59" s="922" t="s">
        <v>731</v>
      </c>
      <c r="N59" s="921" t="s">
        <v>727</v>
      </c>
      <c r="O59" s="923"/>
    </row>
    <row r="60" spans="1:16" s="913" customFormat="1" ht="47.25" x14ac:dyDescent="0.25">
      <c r="A60" s="939">
        <v>45</v>
      </c>
      <c r="B60" s="995" t="s">
        <v>768</v>
      </c>
      <c r="C60" s="995"/>
      <c r="D60" s="995" t="s">
        <v>772</v>
      </c>
      <c r="E60" s="919">
        <v>13768825.66</v>
      </c>
      <c r="F60" s="919">
        <v>5803633.4900000002</v>
      </c>
      <c r="G60" s="920"/>
      <c r="H60" s="920"/>
      <c r="I60" s="920"/>
      <c r="J60" s="920">
        <f t="shared" si="5"/>
        <v>5803633.4900000002</v>
      </c>
      <c r="K60" s="920"/>
      <c r="L60" s="921" t="s">
        <v>658</v>
      </c>
      <c r="M60" s="922" t="s">
        <v>726</v>
      </c>
      <c r="N60" s="921" t="s">
        <v>735</v>
      </c>
      <c r="O60" s="923"/>
    </row>
    <row r="61" spans="1:16" s="913" customFormat="1" ht="15.75" customHeight="1" x14ac:dyDescent="0.25">
      <c r="A61" s="1678">
        <v>46</v>
      </c>
      <c r="B61" s="1669" t="s">
        <v>773</v>
      </c>
      <c r="C61" s="1669"/>
      <c r="D61" s="1669" t="s">
        <v>774</v>
      </c>
      <c r="E61" s="919">
        <v>36204</v>
      </c>
      <c r="F61" s="919">
        <v>36204</v>
      </c>
      <c r="G61" s="920"/>
      <c r="H61" s="920"/>
      <c r="I61" s="920"/>
      <c r="J61" s="920">
        <f t="shared" si="5"/>
        <v>36204</v>
      </c>
      <c r="K61" s="920"/>
      <c r="L61" s="921" t="s">
        <v>717</v>
      </c>
      <c r="M61" s="922" t="s">
        <v>731</v>
      </c>
      <c r="N61" s="921" t="s">
        <v>727</v>
      </c>
      <c r="O61" s="923"/>
    </row>
    <row r="62" spans="1:16" s="913" customFormat="1" ht="15.75" x14ac:dyDescent="0.25">
      <c r="A62" s="1680"/>
      <c r="B62" s="1669"/>
      <c r="C62" s="1669"/>
      <c r="D62" s="1669"/>
      <c r="E62" s="919">
        <v>109027.16</v>
      </c>
      <c r="F62" s="919">
        <v>109027.16</v>
      </c>
      <c r="G62" s="920"/>
      <c r="H62" s="920"/>
      <c r="I62" s="920"/>
      <c r="J62" s="920">
        <f t="shared" si="5"/>
        <v>109027.16</v>
      </c>
      <c r="K62" s="920"/>
      <c r="L62" s="921" t="s">
        <v>717</v>
      </c>
      <c r="M62" s="922" t="s">
        <v>732</v>
      </c>
      <c r="N62" s="921" t="s">
        <v>727</v>
      </c>
      <c r="O62" s="923"/>
    </row>
    <row r="63" spans="1:16" s="913" customFormat="1" ht="15.75" x14ac:dyDescent="0.25">
      <c r="A63" s="939">
        <v>47</v>
      </c>
      <c r="B63" s="995" t="s">
        <v>775</v>
      </c>
      <c r="C63" s="995"/>
      <c r="D63" s="954" t="s">
        <v>776</v>
      </c>
      <c r="E63" s="919">
        <v>445829.97</v>
      </c>
      <c r="F63" s="919">
        <v>445829.97</v>
      </c>
      <c r="G63" s="920"/>
      <c r="H63" s="920"/>
      <c r="I63" s="920"/>
      <c r="J63" s="920">
        <f t="shared" si="5"/>
        <v>445829.97</v>
      </c>
      <c r="K63" s="920"/>
      <c r="L63" s="921" t="s">
        <v>709</v>
      </c>
      <c r="M63" s="922" t="s">
        <v>751</v>
      </c>
      <c r="N63" s="921" t="s">
        <v>727</v>
      </c>
      <c r="O63" s="923"/>
    </row>
    <row r="64" spans="1:16" s="913" customFormat="1" ht="15.75" x14ac:dyDescent="0.25">
      <c r="A64" s="939">
        <v>48</v>
      </c>
      <c r="B64" s="995" t="s">
        <v>775</v>
      </c>
      <c r="C64" s="995"/>
      <c r="D64" s="954" t="s">
        <v>777</v>
      </c>
      <c r="E64" s="919">
        <v>1569602.83</v>
      </c>
      <c r="F64" s="919">
        <v>414956.62000000011</v>
      </c>
      <c r="G64" s="920"/>
      <c r="H64" s="920"/>
      <c r="I64" s="920"/>
      <c r="J64" s="920">
        <f t="shared" si="5"/>
        <v>414956.62000000011</v>
      </c>
      <c r="K64" s="920"/>
      <c r="L64" s="921" t="s">
        <v>709</v>
      </c>
      <c r="M64" s="922" t="s">
        <v>751</v>
      </c>
      <c r="N64" s="921" t="s">
        <v>727</v>
      </c>
      <c r="O64" s="923"/>
    </row>
    <row r="65" spans="1:16" s="913" customFormat="1" ht="15.75" x14ac:dyDescent="0.25">
      <c r="A65" s="939">
        <v>49</v>
      </c>
      <c r="B65" s="995" t="s">
        <v>691</v>
      </c>
      <c r="C65" s="995"/>
      <c r="D65" s="954" t="s">
        <v>778</v>
      </c>
      <c r="E65" s="919">
        <v>6144047.1600000001</v>
      </c>
      <c r="F65" s="919">
        <v>6144047.1600000001</v>
      </c>
      <c r="G65" s="920"/>
      <c r="H65" s="920"/>
      <c r="I65" s="920"/>
      <c r="J65" s="920">
        <f t="shared" si="5"/>
        <v>6144047.1600000001</v>
      </c>
      <c r="K65" s="920"/>
      <c r="L65" s="921" t="s">
        <v>658</v>
      </c>
      <c r="M65" s="922" t="s">
        <v>726</v>
      </c>
      <c r="N65" s="921" t="s">
        <v>735</v>
      </c>
      <c r="O65" s="923"/>
    </row>
    <row r="66" spans="1:16" s="913" customFormat="1" ht="15.75" x14ac:dyDescent="0.25">
      <c r="A66" s="939">
        <v>50</v>
      </c>
      <c r="B66" s="995" t="s">
        <v>779</v>
      </c>
      <c r="C66" s="995"/>
      <c r="D66" s="954" t="s">
        <v>780</v>
      </c>
      <c r="E66" s="919">
        <v>244877.81</v>
      </c>
      <c r="F66" s="919">
        <v>27895.109999999986</v>
      </c>
      <c r="G66" s="920"/>
      <c r="H66" s="920"/>
      <c r="I66" s="920"/>
      <c r="J66" s="920">
        <f t="shared" si="5"/>
        <v>27895.109999999986</v>
      </c>
      <c r="K66" s="920"/>
      <c r="L66" s="921" t="s">
        <v>658</v>
      </c>
      <c r="M66" s="922" t="s">
        <v>726</v>
      </c>
      <c r="N66" s="921" t="s">
        <v>735</v>
      </c>
      <c r="O66" s="923"/>
    </row>
    <row r="67" spans="1:16" s="913" customFormat="1" ht="15.75" customHeight="1" x14ac:dyDescent="0.25">
      <c r="A67" s="1678">
        <v>51</v>
      </c>
      <c r="B67" s="1669" t="s">
        <v>781</v>
      </c>
      <c r="C67" s="1673" t="s">
        <v>897</v>
      </c>
      <c r="D67" s="1672" t="s">
        <v>782</v>
      </c>
      <c r="E67" s="919">
        <v>1698920.73</v>
      </c>
      <c r="F67" s="919">
        <v>295515</v>
      </c>
      <c r="G67" s="920"/>
      <c r="H67" s="920"/>
      <c r="I67" s="920"/>
      <c r="J67" s="920"/>
      <c r="K67" s="920">
        <f>F67</f>
        <v>295515</v>
      </c>
      <c r="L67" s="921" t="s">
        <v>685</v>
      </c>
      <c r="M67" s="922" t="s">
        <v>731</v>
      </c>
      <c r="N67" s="921" t="s">
        <v>727</v>
      </c>
      <c r="O67" s="923"/>
      <c r="P67" s="913" t="s">
        <v>783</v>
      </c>
    </row>
    <row r="68" spans="1:16" s="913" customFormat="1" ht="15.75" x14ac:dyDescent="0.25">
      <c r="A68" s="1680"/>
      <c r="B68" s="1669"/>
      <c r="C68" s="1673"/>
      <c r="D68" s="1672"/>
      <c r="E68" s="919">
        <v>1000917.24</v>
      </c>
      <c r="F68" s="919">
        <v>68724.650000000023</v>
      </c>
      <c r="G68" s="920"/>
      <c r="H68" s="920"/>
      <c r="I68" s="920"/>
      <c r="J68" s="920"/>
      <c r="K68" s="920">
        <f>F68</f>
        <v>68724.650000000023</v>
      </c>
      <c r="L68" s="921" t="s">
        <v>717</v>
      </c>
      <c r="M68" s="922" t="s">
        <v>731</v>
      </c>
      <c r="N68" s="921" t="s">
        <v>727</v>
      </c>
      <c r="O68" s="923"/>
      <c r="P68" s="913" t="s">
        <v>783</v>
      </c>
    </row>
    <row r="69" spans="1:16" s="913" customFormat="1" ht="15.75" x14ac:dyDescent="0.25">
      <c r="A69" s="939">
        <v>52</v>
      </c>
      <c r="B69" s="995" t="s">
        <v>784</v>
      </c>
      <c r="C69" s="995"/>
      <c r="D69" s="954" t="s">
        <v>785</v>
      </c>
      <c r="E69" s="919">
        <v>1200000</v>
      </c>
      <c r="F69" s="919">
        <v>1200000</v>
      </c>
      <c r="G69" s="920"/>
      <c r="H69" s="920"/>
      <c r="I69" s="920"/>
      <c r="J69" s="920">
        <f>F69</f>
        <v>1200000</v>
      </c>
      <c r="K69" s="920"/>
      <c r="L69" s="921" t="s">
        <v>682</v>
      </c>
      <c r="M69" s="922" t="s">
        <v>751</v>
      </c>
      <c r="N69" s="921" t="s">
        <v>727</v>
      </c>
      <c r="O69" s="923"/>
    </row>
    <row r="70" spans="1:16" s="913" customFormat="1" ht="15.75" x14ac:dyDescent="0.25">
      <c r="A70" s="939">
        <v>53</v>
      </c>
      <c r="B70" s="995" t="s">
        <v>786</v>
      </c>
      <c r="C70" s="995"/>
      <c r="D70" s="954" t="s">
        <v>787</v>
      </c>
      <c r="E70" s="919">
        <v>1225293.29</v>
      </c>
      <c r="F70" s="919">
        <v>1225293.29</v>
      </c>
      <c r="G70" s="920"/>
      <c r="H70" s="920"/>
      <c r="I70" s="920"/>
      <c r="J70" s="920">
        <f t="shared" ref="J70:J133" si="6">F70</f>
        <v>1225293.29</v>
      </c>
      <c r="K70" s="920"/>
      <c r="L70" s="921" t="s">
        <v>717</v>
      </c>
      <c r="M70" s="922" t="s">
        <v>732</v>
      </c>
      <c r="N70" s="921" t="s">
        <v>727</v>
      </c>
      <c r="O70" s="923"/>
    </row>
    <row r="71" spans="1:16" s="913" customFormat="1" ht="47.25" x14ac:dyDescent="0.25">
      <c r="A71" s="939">
        <v>54</v>
      </c>
      <c r="B71" s="995" t="s">
        <v>788</v>
      </c>
      <c r="C71" s="995"/>
      <c r="D71" s="954" t="s">
        <v>789</v>
      </c>
      <c r="E71" s="919">
        <v>101062527.70999999</v>
      </c>
      <c r="F71" s="919">
        <v>94005201.719999999</v>
      </c>
      <c r="G71" s="920"/>
      <c r="H71" s="920"/>
      <c r="I71" s="920"/>
      <c r="J71" s="920">
        <f t="shared" si="6"/>
        <v>94005201.719999999</v>
      </c>
      <c r="K71" s="920"/>
      <c r="L71" s="921" t="s">
        <v>709</v>
      </c>
      <c r="M71" s="922" t="s">
        <v>751</v>
      </c>
      <c r="N71" s="921" t="s">
        <v>727</v>
      </c>
      <c r="O71" s="923"/>
    </row>
    <row r="72" spans="1:16" s="913" customFormat="1" ht="15.75" x14ac:dyDescent="0.25">
      <c r="A72" s="939">
        <v>55</v>
      </c>
      <c r="B72" s="995" t="s">
        <v>758</v>
      </c>
      <c r="C72" s="995"/>
      <c r="D72" s="954" t="s">
        <v>790</v>
      </c>
      <c r="E72" s="919">
        <v>9711290.1099999994</v>
      </c>
      <c r="F72" s="919">
        <v>9711290.1099999994</v>
      </c>
      <c r="G72" s="920"/>
      <c r="H72" s="920"/>
      <c r="I72" s="920"/>
      <c r="J72" s="920">
        <f t="shared" si="6"/>
        <v>9711290.1099999994</v>
      </c>
      <c r="K72" s="920"/>
      <c r="L72" s="921" t="s">
        <v>709</v>
      </c>
      <c r="M72" s="922" t="s">
        <v>751</v>
      </c>
      <c r="N72" s="921" t="s">
        <v>727</v>
      </c>
      <c r="O72" s="923"/>
    </row>
    <row r="73" spans="1:16" s="913" customFormat="1" ht="15.75" x14ac:dyDescent="0.25">
      <c r="A73" s="939">
        <v>56</v>
      </c>
      <c r="B73" s="995" t="s">
        <v>752</v>
      </c>
      <c r="C73" s="995"/>
      <c r="D73" s="954" t="s">
        <v>791</v>
      </c>
      <c r="E73" s="919">
        <v>373787</v>
      </c>
      <c r="F73" s="919">
        <v>373787</v>
      </c>
      <c r="G73" s="920"/>
      <c r="H73" s="920"/>
      <c r="I73" s="920"/>
      <c r="J73" s="920">
        <f t="shared" si="6"/>
        <v>373787</v>
      </c>
      <c r="K73" s="920"/>
      <c r="L73" s="921" t="s">
        <v>717</v>
      </c>
      <c r="M73" s="922" t="s">
        <v>732</v>
      </c>
      <c r="N73" s="921" t="s">
        <v>727</v>
      </c>
      <c r="O73" s="923"/>
    </row>
    <row r="74" spans="1:16" s="913" customFormat="1" ht="51" customHeight="1" x14ac:dyDescent="0.25">
      <c r="A74" s="939">
        <v>57</v>
      </c>
      <c r="B74" s="995" t="s">
        <v>792</v>
      </c>
      <c r="C74" s="995"/>
      <c r="D74" s="954" t="s">
        <v>793</v>
      </c>
      <c r="E74" s="919">
        <v>445526.35</v>
      </c>
      <c r="F74" s="919">
        <v>445526.35</v>
      </c>
      <c r="G74" s="920"/>
      <c r="H74" s="920"/>
      <c r="I74" s="920"/>
      <c r="J74" s="920">
        <f t="shared" si="6"/>
        <v>445526.35</v>
      </c>
      <c r="K74" s="920"/>
      <c r="L74" s="921" t="s">
        <v>717</v>
      </c>
      <c r="M74" s="922" t="s">
        <v>732</v>
      </c>
      <c r="N74" s="921" t="s">
        <v>727</v>
      </c>
      <c r="O74" s="923"/>
    </row>
    <row r="75" spans="1:16" s="913" customFormat="1" ht="15.75" customHeight="1" x14ac:dyDescent="0.25">
      <c r="A75" s="1678">
        <v>58</v>
      </c>
      <c r="B75" s="1669" t="s">
        <v>794</v>
      </c>
      <c r="C75" s="1669"/>
      <c r="D75" s="1669" t="s">
        <v>795</v>
      </c>
      <c r="E75" s="919">
        <v>240137.49</v>
      </c>
      <c r="F75" s="919">
        <v>240137.49</v>
      </c>
      <c r="G75" s="920"/>
      <c r="H75" s="920"/>
      <c r="I75" s="920"/>
      <c r="J75" s="920">
        <f t="shared" si="6"/>
        <v>240137.49</v>
      </c>
      <c r="K75" s="920"/>
      <c r="L75" s="921" t="s">
        <v>717</v>
      </c>
      <c r="M75" s="922" t="s">
        <v>731</v>
      </c>
      <c r="N75" s="921" t="s">
        <v>727</v>
      </c>
      <c r="O75" s="923"/>
    </row>
    <row r="76" spans="1:16" s="913" customFormat="1" ht="15.75" customHeight="1" x14ac:dyDescent="0.25">
      <c r="A76" s="1680"/>
      <c r="B76" s="1669"/>
      <c r="C76" s="1669"/>
      <c r="D76" s="1669"/>
      <c r="E76" s="919">
        <v>828326</v>
      </c>
      <c r="F76" s="919">
        <v>828326</v>
      </c>
      <c r="G76" s="920"/>
      <c r="H76" s="920"/>
      <c r="I76" s="920"/>
      <c r="J76" s="920">
        <f t="shared" si="6"/>
        <v>828326</v>
      </c>
      <c r="K76" s="920"/>
      <c r="L76" s="921" t="s">
        <v>717</v>
      </c>
      <c r="M76" s="922" t="s">
        <v>732</v>
      </c>
      <c r="N76" s="921" t="s">
        <v>727</v>
      </c>
      <c r="O76" s="923"/>
    </row>
    <row r="77" spans="1:16" s="913" customFormat="1" ht="15.75" customHeight="1" x14ac:dyDescent="0.25">
      <c r="A77" s="1678">
        <v>59</v>
      </c>
      <c r="B77" s="1669" t="s">
        <v>796</v>
      </c>
      <c r="C77" s="1669"/>
      <c r="D77" s="1669" t="s">
        <v>797</v>
      </c>
      <c r="E77" s="919">
        <v>667146</v>
      </c>
      <c r="F77" s="919">
        <v>667146</v>
      </c>
      <c r="G77" s="920"/>
      <c r="H77" s="920"/>
      <c r="I77" s="920"/>
      <c r="J77" s="920">
        <f t="shared" si="6"/>
        <v>667146</v>
      </c>
      <c r="K77" s="920"/>
      <c r="L77" s="921" t="s">
        <v>668</v>
      </c>
      <c r="M77" s="922" t="s">
        <v>731</v>
      </c>
      <c r="N77" s="921" t="s">
        <v>727</v>
      </c>
      <c r="O77" s="923"/>
    </row>
    <row r="78" spans="1:16" s="913" customFormat="1" ht="15.75" customHeight="1" x14ac:dyDescent="0.25">
      <c r="A78" s="1679"/>
      <c r="B78" s="1669"/>
      <c r="C78" s="1669"/>
      <c r="D78" s="1669"/>
      <c r="E78" s="919">
        <v>295997</v>
      </c>
      <c r="F78" s="919">
        <v>295997</v>
      </c>
      <c r="G78" s="920"/>
      <c r="H78" s="920"/>
      <c r="I78" s="920"/>
      <c r="J78" s="920">
        <f t="shared" si="6"/>
        <v>295997</v>
      </c>
      <c r="K78" s="920"/>
      <c r="L78" s="921" t="s">
        <v>717</v>
      </c>
      <c r="M78" s="922" t="s">
        <v>731</v>
      </c>
      <c r="N78" s="921" t="s">
        <v>727</v>
      </c>
      <c r="O78" s="923"/>
    </row>
    <row r="79" spans="1:16" s="913" customFormat="1" ht="15.75" x14ac:dyDescent="0.25">
      <c r="A79" s="1680"/>
      <c r="B79" s="1669"/>
      <c r="C79" s="1669"/>
      <c r="D79" s="1669"/>
      <c r="E79" s="919">
        <v>81886.59</v>
      </c>
      <c r="F79" s="919">
        <v>81886.59</v>
      </c>
      <c r="G79" s="920"/>
      <c r="H79" s="920"/>
      <c r="I79" s="920"/>
      <c r="J79" s="920">
        <f t="shared" si="6"/>
        <v>81886.59</v>
      </c>
      <c r="K79" s="920"/>
      <c r="L79" s="921" t="s">
        <v>717</v>
      </c>
      <c r="M79" s="922" t="s">
        <v>732</v>
      </c>
      <c r="N79" s="921" t="s">
        <v>727</v>
      </c>
      <c r="O79" s="923"/>
    </row>
    <row r="80" spans="1:16" s="913" customFormat="1" ht="36" customHeight="1" x14ac:dyDescent="0.25">
      <c r="A80" s="939">
        <v>60</v>
      </c>
      <c r="B80" s="995" t="s">
        <v>798</v>
      </c>
      <c r="C80" s="995"/>
      <c r="D80" s="995" t="s">
        <v>799</v>
      </c>
      <c r="E80" s="919">
        <v>579039.66</v>
      </c>
      <c r="F80" s="919">
        <v>579039.66</v>
      </c>
      <c r="G80" s="920"/>
      <c r="H80" s="920"/>
      <c r="I80" s="920"/>
      <c r="J80" s="920">
        <f t="shared" si="6"/>
        <v>579039.66</v>
      </c>
      <c r="K80" s="920"/>
      <c r="L80" s="921" t="s">
        <v>685</v>
      </c>
      <c r="M80" s="922" t="s">
        <v>731</v>
      </c>
      <c r="N80" s="921" t="s">
        <v>727</v>
      </c>
      <c r="O80" s="923"/>
    </row>
    <row r="81" spans="1:31" s="913" customFormat="1" ht="31.5" x14ac:dyDescent="0.25">
      <c r="A81" s="939">
        <v>61</v>
      </c>
      <c r="B81" s="995" t="s">
        <v>798</v>
      </c>
      <c r="C81" s="995"/>
      <c r="D81" s="995" t="s">
        <v>800</v>
      </c>
      <c r="E81" s="919">
        <v>1894735.94</v>
      </c>
      <c r="F81" s="919">
        <v>1894735.94</v>
      </c>
      <c r="G81" s="920"/>
      <c r="H81" s="920"/>
      <c r="I81" s="920"/>
      <c r="J81" s="920">
        <f t="shared" si="6"/>
        <v>1894735.94</v>
      </c>
      <c r="K81" s="920"/>
      <c r="L81" s="921" t="s">
        <v>685</v>
      </c>
      <c r="M81" s="922" t="s">
        <v>731</v>
      </c>
      <c r="N81" s="921" t="s">
        <v>727</v>
      </c>
      <c r="O81" s="923"/>
    </row>
    <row r="82" spans="1:31" s="913" customFormat="1" ht="73.5" customHeight="1" x14ac:dyDescent="0.25">
      <c r="A82" s="939">
        <v>62</v>
      </c>
      <c r="B82" s="918" t="s">
        <v>801</v>
      </c>
      <c r="C82" s="918"/>
      <c r="D82" s="924" t="s">
        <v>802</v>
      </c>
      <c r="E82" s="919">
        <v>2413852.7599999998</v>
      </c>
      <c r="F82" s="919">
        <v>2240366.0499999998</v>
      </c>
      <c r="G82" s="920"/>
      <c r="H82" s="920"/>
      <c r="I82" s="920"/>
      <c r="J82" s="920">
        <f t="shared" si="6"/>
        <v>2240366.0499999998</v>
      </c>
      <c r="K82" s="920"/>
      <c r="L82" s="921" t="s">
        <v>803</v>
      </c>
      <c r="M82" s="922"/>
      <c r="N82" s="921"/>
      <c r="O82" s="923"/>
      <c r="V82" s="914"/>
      <c r="W82" s="914"/>
      <c r="X82" s="914"/>
      <c r="Y82" s="914"/>
      <c r="Z82" s="914"/>
      <c r="AA82" s="914"/>
      <c r="AB82" s="914"/>
      <c r="AC82" s="914"/>
      <c r="AD82" s="914"/>
      <c r="AE82" s="914"/>
    </row>
    <row r="83" spans="1:31" s="913" customFormat="1" ht="72" x14ac:dyDescent="0.25">
      <c r="A83" s="939">
        <v>63</v>
      </c>
      <c r="B83" s="918" t="s">
        <v>804</v>
      </c>
      <c r="C83" s="918"/>
      <c r="D83" s="924" t="s">
        <v>802</v>
      </c>
      <c r="E83" s="919">
        <v>477046</v>
      </c>
      <c r="F83" s="919">
        <v>477046</v>
      </c>
      <c r="G83" s="920"/>
      <c r="H83" s="920"/>
      <c r="I83" s="920"/>
      <c r="J83" s="920">
        <f t="shared" si="6"/>
        <v>477046</v>
      </c>
      <c r="K83" s="920"/>
      <c r="L83" s="921" t="s">
        <v>803</v>
      </c>
      <c r="M83" s="922"/>
      <c r="N83" s="921"/>
      <c r="O83" s="923"/>
      <c r="V83" s="914"/>
      <c r="W83" s="914"/>
      <c r="X83" s="914"/>
      <c r="Y83" s="914"/>
      <c r="Z83" s="914"/>
      <c r="AA83" s="914"/>
      <c r="AB83" s="914"/>
      <c r="AC83" s="914"/>
      <c r="AD83" s="914"/>
      <c r="AE83" s="914"/>
    </row>
    <row r="84" spans="1:31" s="913" customFormat="1" ht="31.5" x14ac:dyDescent="0.25">
      <c r="A84" s="939">
        <v>64</v>
      </c>
      <c r="B84" s="995" t="s">
        <v>805</v>
      </c>
      <c r="C84" s="995"/>
      <c r="D84" s="995" t="s">
        <v>806</v>
      </c>
      <c r="E84" s="919">
        <v>3171731.61</v>
      </c>
      <c r="F84" s="919">
        <v>3171731.61</v>
      </c>
      <c r="G84" s="920"/>
      <c r="H84" s="920"/>
      <c r="I84" s="920"/>
      <c r="J84" s="920">
        <f t="shared" si="6"/>
        <v>3171731.61</v>
      </c>
      <c r="K84" s="920"/>
      <c r="L84" s="921" t="s">
        <v>682</v>
      </c>
      <c r="M84" s="922" t="s">
        <v>751</v>
      </c>
      <c r="N84" s="921" t="s">
        <v>727</v>
      </c>
      <c r="O84" s="923"/>
    </row>
    <row r="85" spans="1:31" s="913" customFormat="1" ht="31.5" x14ac:dyDescent="0.25">
      <c r="A85" s="939">
        <v>65</v>
      </c>
      <c r="B85" s="995" t="s">
        <v>807</v>
      </c>
      <c r="C85" s="995"/>
      <c r="D85" s="995" t="s">
        <v>808</v>
      </c>
      <c r="E85" s="919">
        <v>322113.08</v>
      </c>
      <c r="F85" s="919">
        <v>322113.08</v>
      </c>
      <c r="G85" s="920"/>
      <c r="H85" s="920"/>
      <c r="I85" s="920"/>
      <c r="J85" s="920">
        <f t="shared" si="6"/>
        <v>322113.08</v>
      </c>
      <c r="K85" s="920"/>
      <c r="L85" s="921" t="s">
        <v>717</v>
      </c>
      <c r="M85" s="922" t="s">
        <v>732</v>
      </c>
      <c r="N85" s="921" t="s">
        <v>727</v>
      </c>
      <c r="O85" s="923"/>
    </row>
    <row r="86" spans="1:31" s="913" customFormat="1" ht="31.5" x14ac:dyDescent="0.25">
      <c r="A86" s="939">
        <v>66</v>
      </c>
      <c r="B86" s="995" t="s">
        <v>758</v>
      </c>
      <c r="C86" s="995"/>
      <c r="D86" s="995" t="s">
        <v>809</v>
      </c>
      <c r="E86" s="919">
        <v>5262799.6399999997</v>
      </c>
      <c r="F86" s="919">
        <v>5262799.6399999997</v>
      </c>
      <c r="G86" s="920"/>
      <c r="H86" s="920"/>
      <c r="I86" s="920"/>
      <c r="J86" s="920">
        <f t="shared" si="6"/>
        <v>5262799.6399999997</v>
      </c>
      <c r="K86" s="920"/>
      <c r="L86" s="921" t="s">
        <v>658</v>
      </c>
      <c r="M86" s="922" t="s">
        <v>726</v>
      </c>
      <c r="N86" s="921" t="s">
        <v>735</v>
      </c>
      <c r="O86" s="923"/>
    </row>
    <row r="87" spans="1:31" s="913" customFormat="1" ht="15.75" customHeight="1" x14ac:dyDescent="0.25">
      <c r="A87" s="1678">
        <v>67</v>
      </c>
      <c r="B87" s="1669" t="s">
        <v>798</v>
      </c>
      <c r="C87" s="1669"/>
      <c r="D87" s="1669" t="s">
        <v>810</v>
      </c>
      <c r="E87" s="919">
        <v>263567.83</v>
      </c>
      <c r="F87" s="919">
        <v>263567.83</v>
      </c>
      <c r="G87" s="920"/>
      <c r="H87" s="920"/>
      <c r="I87" s="920"/>
      <c r="J87" s="920">
        <f t="shared" si="6"/>
        <v>263567.83</v>
      </c>
      <c r="K87" s="920"/>
      <c r="L87" s="921" t="s">
        <v>668</v>
      </c>
      <c r="M87" s="922" t="s">
        <v>731</v>
      </c>
      <c r="N87" s="921" t="s">
        <v>727</v>
      </c>
      <c r="O87" s="923"/>
    </row>
    <row r="88" spans="1:31" s="913" customFormat="1" ht="15.75" x14ac:dyDescent="0.25">
      <c r="A88" s="1679"/>
      <c r="B88" s="1669"/>
      <c r="C88" s="1669"/>
      <c r="D88" s="1669"/>
      <c r="E88" s="919">
        <v>300750.03999999998</v>
      </c>
      <c r="F88" s="919">
        <v>300750.03999999998</v>
      </c>
      <c r="G88" s="920"/>
      <c r="H88" s="920"/>
      <c r="I88" s="920"/>
      <c r="J88" s="920">
        <f t="shared" si="6"/>
        <v>300750.03999999998</v>
      </c>
      <c r="K88" s="920"/>
      <c r="L88" s="921" t="s">
        <v>717</v>
      </c>
      <c r="M88" s="922" t="s">
        <v>731</v>
      </c>
      <c r="N88" s="921" t="s">
        <v>727</v>
      </c>
      <c r="O88" s="923"/>
    </row>
    <row r="89" spans="1:31" s="913" customFormat="1" ht="15.75" x14ac:dyDescent="0.25">
      <c r="A89" s="1680"/>
      <c r="B89" s="1669"/>
      <c r="C89" s="1669"/>
      <c r="D89" s="1669"/>
      <c r="E89" s="919">
        <v>341186.18</v>
      </c>
      <c r="F89" s="919">
        <v>341186.18</v>
      </c>
      <c r="G89" s="920"/>
      <c r="H89" s="920"/>
      <c r="I89" s="920"/>
      <c r="J89" s="920">
        <f t="shared" si="6"/>
        <v>341186.18</v>
      </c>
      <c r="K89" s="920"/>
      <c r="L89" s="921" t="s">
        <v>717</v>
      </c>
      <c r="M89" s="922" t="s">
        <v>732</v>
      </c>
      <c r="N89" s="921" t="s">
        <v>727</v>
      </c>
      <c r="O89" s="923"/>
    </row>
    <row r="90" spans="1:31" s="913" customFormat="1" ht="15.75" customHeight="1" x14ac:dyDescent="0.25">
      <c r="A90" s="1678">
        <v>68</v>
      </c>
      <c r="B90" s="1669" t="s">
        <v>798</v>
      </c>
      <c r="C90" s="1669"/>
      <c r="D90" s="1669" t="s">
        <v>811</v>
      </c>
      <c r="E90" s="919">
        <v>984771.51</v>
      </c>
      <c r="F90" s="919">
        <v>984771.51</v>
      </c>
      <c r="G90" s="920"/>
      <c r="H90" s="920"/>
      <c r="I90" s="920"/>
      <c r="J90" s="920">
        <f t="shared" si="6"/>
        <v>984771.51</v>
      </c>
      <c r="K90" s="920"/>
      <c r="L90" s="921" t="s">
        <v>668</v>
      </c>
      <c r="M90" s="922" t="s">
        <v>731</v>
      </c>
      <c r="N90" s="921" t="s">
        <v>727</v>
      </c>
      <c r="O90" s="923"/>
    </row>
    <row r="91" spans="1:31" s="913" customFormat="1" ht="31.5" customHeight="1" x14ac:dyDescent="0.25">
      <c r="A91" s="1680"/>
      <c r="B91" s="1669"/>
      <c r="C91" s="1669"/>
      <c r="D91" s="1669"/>
      <c r="E91" s="919">
        <v>89060.24</v>
      </c>
      <c r="F91" s="919">
        <v>89060.24</v>
      </c>
      <c r="G91" s="920"/>
      <c r="H91" s="920"/>
      <c r="I91" s="920"/>
      <c r="J91" s="920">
        <f t="shared" si="6"/>
        <v>89060.24</v>
      </c>
      <c r="K91" s="920"/>
      <c r="L91" s="921" t="s">
        <v>717</v>
      </c>
      <c r="M91" s="922" t="s">
        <v>731</v>
      </c>
      <c r="N91" s="921" t="s">
        <v>727</v>
      </c>
      <c r="O91" s="923"/>
    </row>
    <row r="92" spans="1:31" s="913" customFormat="1" ht="65.25" customHeight="1" x14ac:dyDescent="0.25">
      <c r="A92" s="939">
        <v>69</v>
      </c>
      <c r="B92" s="995" t="s">
        <v>805</v>
      </c>
      <c r="C92" s="995"/>
      <c r="D92" s="995" t="s">
        <v>812</v>
      </c>
      <c r="E92" s="919">
        <v>6695353.0099999998</v>
      </c>
      <c r="F92" s="919">
        <v>6695353.0099999998</v>
      </c>
      <c r="G92" s="920"/>
      <c r="H92" s="920"/>
      <c r="I92" s="920"/>
      <c r="J92" s="920">
        <f t="shared" si="6"/>
        <v>6695353.0099999998</v>
      </c>
      <c r="K92" s="920"/>
      <c r="L92" s="921" t="s">
        <v>682</v>
      </c>
      <c r="M92" s="922" t="s">
        <v>751</v>
      </c>
      <c r="N92" s="921" t="s">
        <v>727</v>
      </c>
      <c r="O92" s="923"/>
    </row>
    <row r="93" spans="1:31" s="913" customFormat="1" ht="15" customHeight="1" x14ac:dyDescent="0.25">
      <c r="A93" s="1678">
        <v>70</v>
      </c>
      <c r="B93" s="1669" t="s">
        <v>813</v>
      </c>
      <c r="C93" s="1669"/>
      <c r="D93" s="1669" t="s">
        <v>814</v>
      </c>
      <c r="E93" s="919">
        <v>609603.38</v>
      </c>
      <c r="F93" s="919">
        <v>609603.38</v>
      </c>
      <c r="G93" s="920"/>
      <c r="H93" s="920"/>
      <c r="I93" s="920"/>
      <c r="J93" s="920">
        <f t="shared" si="6"/>
        <v>609603.38</v>
      </c>
      <c r="K93" s="920"/>
      <c r="L93" s="921" t="s">
        <v>685</v>
      </c>
      <c r="M93" s="922" t="s">
        <v>731</v>
      </c>
      <c r="N93" s="921" t="s">
        <v>727</v>
      </c>
      <c r="O93" s="923"/>
    </row>
    <row r="94" spans="1:31" s="913" customFormat="1" ht="15.75" x14ac:dyDescent="0.25">
      <c r="A94" s="1680"/>
      <c r="B94" s="1671"/>
      <c r="C94" s="1671"/>
      <c r="D94" s="1669"/>
      <c r="E94" s="919">
        <v>18249.580000000002</v>
      </c>
      <c r="F94" s="919">
        <v>18249.580000000002</v>
      </c>
      <c r="G94" s="920"/>
      <c r="H94" s="920"/>
      <c r="I94" s="920"/>
      <c r="J94" s="920">
        <f t="shared" si="6"/>
        <v>18249.580000000002</v>
      </c>
      <c r="K94" s="920"/>
      <c r="L94" s="921" t="s">
        <v>717</v>
      </c>
      <c r="M94" s="922" t="s">
        <v>731</v>
      </c>
      <c r="N94" s="921" t="s">
        <v>727</v>
      </c>
      <c r="O94" s="923"/>
    </row>
    <row r="95" spans="1:31" s="913" customFormat="1" ht="51" customHeight="1" x14ac:dyDescent="0.25">
      <c r="A95" s="939">
        <v>71</v>
      </c>
      <c r="B95" s="995" t="s">
        <v>815</v>
      </c>
      <c r="C95" s="995"/>
      <c r="D95" s="995" t="s">
        <v>816</v>
      </c>
      <c r="E95" s="919">
        <v>3781738.62</v>
      </c>
      <c r="F95" s="919">
        <v>3781738.62</v>
      </c>
      <c r="G95" s="920"/>
      <c r="H95" s="920"/>
      <c r="I95" s="920"/>
      <c r="J95" s="920">
        <f t="shared" si="6"/>
        <v>3781738.62</v>
      </c>
      <c r="K95" s="920"/>
      <c r="L95" s="921" t="s">
        <v>685</v>
      </c>
      <c r="M95" s="922" t="s">
        <v>731</v>
      </c>
      <c r="N95" s="921" t="s">
        <v>727</v>
      </c>
      <c r="O95" s="923"/>
    </row>
    <row r="96" spans="1:31" s="913" customFormat="1" ht="36.75" customHeight="1" x14ac:dyDescent="0.25">
      <c r="A96" s="939">
        <v>72</v>
      </c>
      <c r="B96" s="995" t="s">
        <v>817</v>
      </c>
      <c r="C96" s="995"/>
      <c r="D96" s="995" t="s">
        <v>818</v>
      </c>
      <c r="E96" s="919">
        <v>11482212.42</v>
      </c>
      <c r="F96" s="919">
        <v>11482212.42</v>
      </c>
      <c r="G96" s="920"/>
      <c r="H96" s="920"/>
      <c r="I96" s="920"/>
      <c r="J96" s="920">
        <f t="shared" si="6"/>
        <v>11482212.42</v>
      </c>
      <c r="K96" s="920"/>
      <c r="L96" s="921" t="s">
        <v>685</v>
      </c>
      <c r="M96" s="922" t="s">
        <v>731</v>
      </c>
      <c r="N96" s="921" t="s">
        <v>727</v>
      </c>
      <c r="O96" s="923"/>
    </row>
    <row r="97" spans="1:15" s="913" customFormat="1" ht="15" customHeight="1" x14ac:dyDescent="0.25">
      <c r="A97" s="1678">
        <v>73</v>
      </c>
      <c r="B97" s="1669" t="s">
        <v>817</v>
      </c>
      <c r="C97" s="1669"/>
      <c r="D97" s="1669" t="s">
        <v>819</v>
      </c>
      <c r="E97" s="919">
        <v>23749557.530000001</v>
      </c>
      <c r="F97" s="919">
        <v>23749557.530000001</v>
      </c>
      <c r="G97" s="920"/>
      <c r="H97" s="920"/>
      <c r="I97" s="920"/>
      <c r="J97" s="920">
        <f t="shared" si="6"/>
        <v>23749557.530000001</v>
      </c>
      <c r="K97" s="920"/>
      <c r="L97" s="921" t="s">
        <v>685</v>
      </c>
      <c r="M97" s="922" t="s">
        <v>731</v>
      </c>
      <c r="N97" s="921" t="s">
        <v>727</v>
      </c>
      <c r="O97" s="923"/>
    </row>
    <row r="98" spans="1:15" s="913" customFormat="1" ht="21" customHeight="1" x14ac:dyDescent="0.25">
      <c r="A98" s="1680"/>
      <c r="B98" s="1669"/>
      <c r="C98" s="1669"/>
      <c r="D98" s="1669"/>
      <c r="E98" s="919">
        <v>864881.64</v>
      </c>
      <c r="F98" s="919">
        <v>864881.64</v>
      </c>
      <c r="G98" s="920"/>
      <c r="H98" s="920"/>
      <c r="I98" s="920"/>
      <c r="J98" s="920">
        <f t="shared" si="6"/>
        <v>864881.64</v>
      </c>
      <c r="K98" s="920"/>
      <c r="L98" s="921" t="s">
        <v>717</v>
      </c>
      <c r="M98" s="922" t="s">
        <v>731</v>
      </c>
      <c r="N98" s="921" t="s">
        <v>727</v>
      </c>
      <c r="O98" s="923"/>
    </row>
    <row r="99" spans="1:15" s="913" customFormat="1" ht="18" customHeight="1" x14ac:dyDescent="0.25">
      <c r="A99" s="1678">
        <v>74</v>
      </c>
      <c r="B99" s="1669" t="s">
        <v>820</v>
      </c>
      <c r="C99" s="1669"/>
      <c r="D99" s="1669" t="s">
        <v>821</v>
      </c>
      <c r="E99" s="919">
        <v>9864855</v>
      </c>
      <c r="F99" s="919">
        <v>9483705</v>
      </c>
      <c r="G99" s="920"/>
      <c r="H99" s="920"/>
      <c r="I99" s="920"/>
      <c r="J99" s="920">
        <f t="shared" si="6"/>
        <v>9483705</v>
      </c>
      <c r="K99" s="920"/>
      <c r="L99" s="921" t="s">
        <v>668</v>
      </c>
      <c r="M99" s="922" t="s">
        <v>731</v>
      </c>
      <c r="N99" s="921" t="s">
        <v>727</v>
      </c>
      <c r="O99" s="923"/>
    </row>
    <row r="100" spans="1:15" s="913" customFormat="1" ht="15" customHeight="1" x14ac:dyDescent="0.25">
      <c r="A100" s="1679"/>
      <c r="B100" s="1669"/>
      <c r="C100" s="1669"/>
      <c r="D100" s="1669"/>
      <c r="E100" s="919">
        <v>5243689.4400000004</v>
      </c>
      <c r="F100" s="919">
        <v>5243689.4400000004</v>
      </c>
      <c r="G100" s="920"/>
      <c r="H100" s="920"/>
      <c r="I100" s="920"/>
      <c r="J100" s="920">
        <f t="shared" si="6"/>
        <v>5243689.4400000004</v>
      </c>
      <c r="K100" s="920"/>
      <c r="L100" s="921" t="s">
        <v>685</v>
      </c>
      <c r="M100" s="922" t="s">
        <v>731</v>
      </c>
      <c r="N100" s="921" t="s">
        <v>727</v>
      </c>
      <c r="O100" s="923"/>
    </row>
    <row r="101" spans="1:15" s="913" customFormat="1" ht="15" customHeight="1" x14ac:dyDescent="0.25">
      <c r="A101" s="1679"/>
      <c r="B101" s="1669"/>
      <c r="C101" s="1669"/>
      <c r="D101" s="1669"/>
      <c r="E101" s="919"/>
      <c r="F101" s="919">
        <v>1914897.6</v>
      </c>
      <c r="G101" s="920"/>
      <c r="H101" s="920"/>
      <c r="I101" s="920"/>
      <c r="J101" s="920">
        <f t="shared" si="6"/>
        <v>1914897.6</v>
      </c>
      <c r="K101" s="920"/>
      <c r="L101" s="921" t="s">
        <v>717</v>
      </c>
      <c r="M101" s="922" t="s">
        <v>732</v>
      </c>
      <c r="N101" s="921" t="s">
        <v>727</v>
      </c>
      <c r="O101" s="923"/>
    </row>
    <row r="102" spans="1:15" s="913" customFormat="1" ht="15.75" customHeight="1" x14ac:dyDescent="0.25">
      <c r="A102" s="1680"/>
      <c r="B102" s="1669"/>
      <c r="C102" s="1669"/>
      <c r="D102" s="1669"/>
      <c r="E102" s="919">
        <v>7908134.8499999996</v>
      </c>
      <c r="F102" s="919">
        <v>2107205.1</v>
      </c>
      <c r="G102" s="920"/>
      <c r="H102" s="920"/>
      <c r="I102" s="920"/>
      <c r="J102" s="920">
        <f t="shared" si="6"/>
        <v>2107205.1</v>
      </c>
      <c r="K102" s="920"/>
      <c r="L102" s="921" t="s">
        <v>717</v>
      </c>
      <c r="M102" s="922" t="s">
        <v>731</v>
      </c>
      <c r="N102" s="921" t="s">
        <v>727</v>
      </c>
      <c r="O102" s="923"/>
    </row>
    <row r="103" spans="1:15" s="913" customFormat="1" ht="45.75" customHeight="1" x14ac:dyDescent="0.25">
      <c r="A103" s="939">
        <v>75</v>
      </c>
      <c r="B103" s="995" t="s">
        <v>822</v>
      </c>
      <c r="C103" s="995"/>
      <c r="D103" s="995" t="s">
        <v>823</v>
      </c>
      <c r="E103" s="919">
        <v>2998476</v>
      </c>
      <c r="F103" s="919">
        <v>2998476</v>
      </c>
      <c r="G103" s="920"/>
      <c r="H103" s="920"/>
      <c r="I103" s="920"/>
      <c r="J103" s="920">
        <f t="shared" si="6"/>
        <v>2998476</v>
      </c>
      <c r="K103" s="920"/>
      <c r="L103" s="921" t="s">
        <v>668</v>
      </c>
      <c r="M103" s="922" t="s">
        <v>731</v>
      </c>
      <c r="N103" s="921" t="s">
        <v>727</v>
      </c>
      <c r="O103" s="923"/>
    </row>
    <row r="104" spans="1:15" s="913" customFormat="1" ht="31.5" x14ac:dyDescent="0.25">
      <c r="A104" s="939">
        <v>76</v>
      </c>
      <c r="B104" s="995" t="s">
        <v>758</v>
      </c>
      <c r="C104" s="995"/>
      <c r="D104" s="995" t="s">
        <v>824</v>
      </c>
      <c r="E104" s="919">
        <v>5129558.24</v>
      </c>
      <c r="F104" s="919">
        <v>5129558.24</v>
      </c>
      <c r="G104" s="920"/>
      <c r="H104" s="920"/>
      <c r="I104" s="920"/>
      <c r="J104" s="920">
        <f t="shared" si="6"/>
        <v>5129558.24</v>
      </c>
      <c r="K104" s="920"/>
      <c r="L104" s="921" t="s">
        <v>658</v>
      </c>
      <c r="M104" s="922" t="s">
        <v>726</v>
      </c>
      <c r="N104" s="921" t="s">
        <v>735</v>
      </c>
      <c r="O104" s="923"/>
    </row>
    <row r="105" spans="1:15" s="913" customFormat="1" ht="31.5" x14ac:dyDescent="0.25">
      <c r="A105" s="939">
        <v>77</v>
      </c>
      <c r="B105" s="995" t="s">
        <v>825</v>
      </c>
      <c r="C105" s="995"/>
      <c r="D105" s="995" t="s">
        <v>826</v>
      </c>
      <c r="E105" s="919">
        <v>392564.4</v>
      </c>
      <c r="F105" s="919">
        <v>392564.4</v>
      </c>
      <c r="G105" s="920"/>
      <c r="H105" s="920"/>
      <c r="I105" s="920"/>
      <c r="J105" s="920">
        <f t="shared" si="6"/>
        <v>392564.4</v>
      </c>
      <c r="K105" s="920"/>
      <c r="L105" s="921" t="s">
        <v>682</v>
      </c>
      <c r="M105" s="922" t="s">
        <v>751</v>
      </c>
      <c r="N105" s="921" t="s">
        <v>727</v>
      </c>
      <c r="O105" s="923"/>
    </row>
    <row r="106" spans="1:15" s="913" customFormat="1" ht="31.5" x14ac:dyDescent="0.25">
      <c r="A106" s="939">
        <v>78</v>
      </c>
      <c r="B106" s="995" t="s">
        <v>827</v>
      </c>
      <c r="C106" s="995"/>
      <c r="D106" s="995" t="s">
        <v>828</v>
      </c>
      <c r="E106" s="919">
        <v>471026.2</v>
      </c>
      <c r="F106" s="919">
        <v>471026.2</v>
      </c>
      <c r="G106" s="920"/>
      <c r="H106" s="920"/>
      <c r="I106" s="920"/>
      <c r="J106" s="920">
        <f t="shared" si="6"/>
        <v>471026.2</v>
      </c>
      <c r="K106" s="920"/>
      <c r="L106" s="921" t="s">
        <v>682</v>
      </c>
      <c r="M106" s="922" t="s">
        <v>751</v>
      </c>
      <c r="N106" s="921" t="s">
        <v>727</v>
      </c>
      <c r="O106" s="923"/>
    </row>
    <row r="107" spans="1:15" s="913" customFormat="1" ht="31.5" x14ac:dyDescent="0.25">
      <c r="A107" s="939">
        <v>79</v>
      </c>
      <c r="B107" s="995" t="s">
        <v>829</v>
      </c>
      <c r="C107" s="995"/>
      <c r="D107" s="995" t="s">
        <v>830</v>
      </c>
      <c r="E107" s="919">
        <v>78800</v>
      </c>
      <c r="F107" s="919">
        <v>78800</v>
      </c>
      <c r="G107" s="920"/>
      <c r="H107" s="920"/>
      <c r="I107" s="920"/>
      <c r="J107" s="920">
        <f t="shared" si="6"/>
        <v>78800</v>
      </c>
      <c r="K107" s="920"/>
      <c r="L107" s="921" t="s">
        <v>831</v>
      </c>
      <c r="M107" s="922" t="s">
        <v>751</v>
      </c>
      <c r="N107" s="921" t="s">
        <v>727</v>
      </c>
      <c r="O107" s="923"/>
    </row>
    <row r="108" spans="1:15" s="913" customFormat="1" ht="31.5" x14ac:dyDescent="0.25">
      <c r="A108" s="939">
        <v>80</v>
      </c>
      <c r="B108" s="995" t="s">
        <v>829</v>
      </c>
      <c r="C108" s="995"/>
      <c r="D108" s="995" t="s">
        <v>832</v>
      </c>
      <c r="E108" s="919">
        <v>78800</v>
      </c>
      <c r="F108" s="919">
        <v>78800</v>
      </c>
      <c r="G108" s="920"/>
      <c r="H108" s="920"/>
      <c r="I108" s="920"/>
      <c r="J108" s="920">
        <f t="shared" si="6"/>
        <v>78800</v>
      </c>
      <c r="K108" s="920"/>
      <c r="L108" s="921" t="s">
        <v>831</v>
      </c>
      <c r="M108" s="922" t="s">
        <v>751</v>
      </c>
      <c r="N108" s="921" t="s">
        <v>727</v>
      </c>
      <c r="O108" s="923"/>
    </row>
    <row r="109" spans="1:15" s="913" customFormat="1" ht="31.5" x14ac:dyDescent="0.25">
      <c r="A109" s="939">
        <v>81</v>
      </c>
      <c r="B109" s="995" t="s">
        <v>833</v>
      </c>
      <c r="C109" s="995"/>
      <c r="D109" s="995" t="s">
        <v>834</v>
      </c>
      <c r="E109" s="919">
        <v>48000</v>
      </c>
      <c r="F109" s="919">
        <v>48000</v>
      </c>
      <c r="G109" s="920"/>
      <c r="H109" s="920"/>
      <c r="I109" s="920"/>
      <c r="J109" s="920">
        <f t="shared" si="6"/>
        <v>48000</v>
      </c>
      <c r="K109" s="920"/>
      <c r="L109" s="921" t="s">
        <v>831</v>
      </c>
      <c r="M109" s="922" t="s">
        <v>751</v>
      </c>
      <c r="N109" s="921" t="s">
        <v>727</v>
      </c>
      <c r="O109" s="923"/>
    </row>
    <row r="110" spans="1:15" s="913" customFormat="1" ht="31.5" x14ac:dyDescent="0.25">
      <c r="A110" s="939">
        <v>82</v>
      </c>
      <c r="B110" s="995" t="s">
        <v>835</v>
      </c>
      <c r="C110" s="995"/>
      <c r="D110" s="995" t="s">
        <v>836</v>
      </c>
      <c r="E110" s="919">
        <v>87700</v>
      </c>
      <c r="F110" s="919">
        <v>87700</v>
      </c>
      <c r="G110" s="920"/>
      <c r="H110" s="920"/>
      <c r="I110" s="920"/>
      <c r="J110" s="920">
        <f t="shared" si="6"/>
        <v>87700</v>
      </c>
      <c r="K110" s="920"/>
      <c r="L110" s="921" t="s">
        <v>831</v>
      </c>
      <c r="M110" s="922" t="s">
        <v>751</v>
      </c>
      <c r="N110" s="921" t="s">
        <v>727</v>
      </c>
      <c r="O110" s="923"/>
    </row>
    <row r="111" spans="1:15" s="913" customFormat="1" ht="31.5" x14ac:dyDescent="0.25">
      <c r="A111" s="939">
        <v>83</v>
      </c>
      <c r="B111" s="995" t="s">
        <v>829</v>
      </c>
      <c r="C111" s="995"/>
      <c r="D111" s="995" t="s">
        <v>837</v>
      </c>
      <c r="E111" s="919">
        <v>98500</v>
      </c>
      <c r="F111" s="919">
        <v>98500</v>
      </c>
      <c r="G111" s="920"/>
      <c r="H111" s="920"/>
      <c r="I111" s="920"/>
      <c r="J111" s="920">
        <f t="shared" si="6"/>
        <v>98500</v>
      </c>
      <c r="K111" s="920"/>
      <c r="L111" s="921" t="s">
        <v>831</v>
      </c>
      <c r="M111" s="922" t="s">
        <v>751</v>
      </c>
      <c r="N111" s="921" t="s">
        <v>727</v>
      </c>
      <c r="O111" s="923"/>
    </row>
    <row r="112" spans="1:15" s="913" customFormat="1" ht="31.5" x14ac:dyDescent="0.25">
      <c r="A112" s="939">
        <v>84</v>
      </c>
      <c r="B112" s="995" t="s">
        <v>833</v>
      </c>
      <c r="C112" s="995"/>
      <c r="D112" s="995" t="s">
        <v>838</v>
      </c>
      <c r="E112" s="919">
        <v>98500</v>
      </c>
      <c r="F112" s="919">
        <v>98500</v>
      </c>
      <c r="G112" s="920"/>
      <c r="H112" s="920"/>
      <c r="I112" s="920"/>
      <c r="J112" s="920">
        <f t="shared" si="6"/>
        <v>98500</v>
      </c>
      <c r="K112" s="920"/>
      <c r="L112" s="921" t="s">
        <v>831</v>
      </c>
      <c r="M112" s="922" t="s">
        <v>751</v>
      </c>
      <c r="N112" s="921" t="s">
        <v>727</v>
      </c>
      <c r="O112" s="923"/>
    </row>
    <row r="113" spans="1:15" s="913" customFormat="1" ht="31.5" x14ac:dyDescent="0.25">
      <c r="A113" s="939">
        <v>85</v>
      </c>
      <c r="B113" s="995" t="s">
        <v>829</v>
      </c>
      <c r="C113" s="995"/>
      <c r="D113" s="995" t="s">
        <v>839</v>
      </c>
      <c r="E113" s="919">
        <v>98500</v>
      </c>
      <c r="F113" s="919">
        <v>98500</v>
      </c>
      <c r="G113" s="920"/>
      <c r="H113" s="920"/>
      <c r="I113" s="920"/>
      <c r="J113" s="920">
        <f t="shared" si="6"/>
        <v>98500</v>
      </c>
      <c r="K113" s="920"/>
      <c r="L113" s="921" t="s">
        <v>831</v>
      </c>
      <c r="M113" s="922" t="s">
        <v>751</v>
      </c>
      <c r="N113" s="921" t="s">
        <v>727</v>
      </c>
      <c r="O113" s="923"/>
    </row>
    <row r="114" spans="1:15" s="913" customFormat="1" ht="31.5" x14ac:dyDescent="0.25">
      <c r="A114" s="939">
        <v>86</v>
      </c>
      <c r="B114" s="995" t="s">
        <v>833</v>
      </c>
      <c r="C114" s="995"/>
      <c r="D114" s="995" t="s">
        <v>840</v>
      </c>
      <c r="E114" s="919">
        <v>98500</v>
      </c>
      <c r="F114" s="919">
        <v>98500</v>
      </c>
      <c r="G114" s="920"/>
      <c r="H114" s="920"/>
      <c r="I114" s="920"/>
      <c r="J114" s="920">
        <f t="shared" si="6"/>
        <v>98500</v>
      </c>
      <c r="K114" s="920"/>
      <c r="L114" s="921" t="s">
        <v>831</v>
      </c>
      <c r="M114" s="922" t="s">
        <v>751</v>
      </c>
      <c r="N114" s="921" t="s">
        <v>727</v>
      </c>
      <c r="O114" s="923"/>
    </row>
    <row r="115" spans="1:15" s="913" customFormat="1" ht="31.5" x14ac:dyDescent="0.25">
      <c r="A115" s="939">
        <v>87</v>
      </c>
      <c r="B115" s="995" t="s">
        <v>829</v>
      </c>
      <c r="C115" s="995"/>
      <c r="D115" s="995" t="s">
        <v>841</v>
      </c>
      <c r="E115" s="919">
        <v>98500</v>
      </c>
      <c r="F115" s="919">
        <v>98500</v>
      </c>
      <c r="G115" s="920"/>
      <c r="H115" s="920"/>
      <c r="I115" s="920"/>
      <c r="J115" s="920">
        <f t="shared" si="6"/>
        <v>98500</v>
      </c>
      <c r="K115" s="920"/>
      <c r="L115" s="921" t="s">
        <v>831</v>
      </c>
      <c r="M115" s="922" t="s">
        <v>751</v>
      </c>
      <c r="N115" s="921" t="s">
        <v>727</v>
      </c>
      <c r="O115" s="923"/>
    </row>
    <row r="116" spans="1:15" s="913" customFormat="1" ht="31.5" x14ac:dyDescent="0.25">
      <c r="A116" s="939">
        <v>88</v>
      </c>
      <c r="B116" s="995" t="s">
        <v>833</v>
      </c>
      <c r="C116" s="995"/>
      <c r="D116" s="995" t="s">
        <v>842</v>
      </c>
      <c r="E116" s="919">
        <v>98500</v>
      </c>
      <c r="F116" s="919">
        <v>98500</v>
      </c>
      <c r="G116" s="920"/>
      <c r="H116" s="920"/>
      <c r="I116" s="920"/>
      <c r="J116" s="920">
        <f t="shared" si="6"/>
        <v>98500</v>
      </c>
      <c r="K116" s="920"/>
      <c r="L116" s="921" t="s">
        <v>831</v>
      </c>
      <c r="M116" s="922" t="s">
        <v>751</v>
      </c>
      <c r="N116" s="921" t="s">
        <v>727</v>
      </c>
      <c r="O116" s="923"/>
    </row>
    <row r="117" spans="1:15" s="913" customFormat="1" ht="31.5" x14ac:dyDescent="0.25">
      <c r="A117" s="939">
        <v>89</v>
      </c>
      <c r="B117" s="995" t="s">
        <v>829</v>
      </c>
      <c r="C117" s="995"/>
      <c r="D117" s="995" t="s">
        <v>843</v>
      </c>
      <c r="E117" s="919">
        <v>49250</v>
      </c>
      <c r="F117" s="919">
        <v>49250</v>
      </c>
      <c r="G117" s="920"/>
      <c r="H117" s="920"/>
      <c r="I117" s="920"/>
      <c r="J117" s="920">
        <f t="shared" si="6"/>
        <v>49250</v>
      </c>
      <c r="K117" s="920"/>
      <c r="L117" s="921" t="s">
        <v>831</v>
      </c>
      <c r="M117" s="922" t="s">
        <v>751</v>
      </c>
      <c r="N117" s="921" t="s">
        <v>727</v>
      </c>
      <c r="O117" s="923"/>
    </row>
    <row r="118" spans="1:15" s="913" customFormat="1" ht="31.5" x14ac:dyDescent="0.25">
      <c r="A118" s="939">
        <v>90</v>
      </c>
      <c r="B118" s="995" t="s">
        <v>833</v>
      </c>
      <c r="C118" s="995"/>
      <c r="D118" s="995" t="s">
        <v>844</v>
      </c>
      <c r="E118" s="919">
        <v>49250</v>
      </c>
      <c r="F118" s="919">
        <v>49250</v>
      </c>
      <c r="G118" s="920"/>
      <c r="H118" s="920"/>
      <c r="I118" s="920"/>
      <c r="J118" s="920">
        <f t="shared" si="6"/>
        <v>49250</v>
      </c>
      <c r="K118" s="920"/>
      <c r="L118" s="921" t="s">
        <v>831</v>
      </c>
      <c r="M118" s="922" t="s">
        <v>751</v>
      </c>
      <c r="N118" s="921" t="s">
        <v>727</v>
      </c>
      <c r="O118" s="923"/>
    </row>
    <row r="119" spans="1:15" s="913" customFormat="1" ht="31.5" x14ac:dyDescent="0.25">
      <c r="A119" s="939">
        <v>91</v>
      </c>
      <c r="B119" s="995" t="s">
        <v>845</v>
      </c>
      <c r="C119" s="995"/>
      <c r="D119" s="995" t="s">
        <v>846</v>
      </c>
      <c r="E119" s="919">
        <v>100000</v>
      </c>
      <c r="F119" s="919">
        <v>100000</v>
      </c>
      <c r="G119" s="920"/>
      <c r="H119" s="920"/>
      <c r="I119" s="920"/>
      <c r="J119" s="920">
        <f t="shared" si="6"/>
        <v>100000</v>
      </c>
      <c r="K119" s="920"/>
      <c r="L119" s="921" t="s">
        <v>706</v>
      </c>
      <c r="M119" s="922" t="s">
        <v>751</v>
      </c>
      <c r="N119" s="921" t="s">
        <v>735</v>
      </c>
      <c r="O119" s="923"/>
    </row>
    <row r="120" spans="1:15" s="913" customFormat="1" ht="62.25" customHeight="1" x14ac:dyDescent="0.25">
      <c r="A120" s="939">
        <v>92</v>
      </c>
      <c r="B120" s="995" t="s">
        <v>847</v>
      </c>
      <c r="C120" s="995"/>
      <c r="D120" s="995" t="s">
        <v>848</v>
      </c>
      <c r="E120" s="919">
        <v>98560</v>
      </c>
      <c r="F120" s="919">
        <v>98560</v>
      </c>
      <c r="G120" s="920"/>
      <c r="H120" s="920"/>
      <c r="I120" s="920"/>
      <c r="J120" s="920">
        <f t="shared" si="6"/>
        <v>98560</v>
      </c>
      <c r="K120" s="920"/>
      <c r="L120" s="921" t="s">
        <v>706</v>
      </c>
      <c r="M120" s="922" t="s">
        <v>751</v>
      </c>
      <c r="N120" s="921" t="s">
        <v>735</v>
      </c>
      <c r="O120" s="923"/>
    </row>
    <row r="121" spans="1:15" s="913" customFormat="1" ht="31.5" x14ac:dyDescent="0.25">
      <c r="A121" s="939">
        <v>93</v>
      </c>
      <c r="B121" s="995" t="s">
        <v>849</v>
      </c>
      <c r="C121" s="995"/>
      <c r="D121" s="995" t="s">
        <v>850</v>
      </c>
      <c r="E121" s="919">
        <v>97800</v>
      </c>
      <c r="F121" s="919">
        <v>97800</v>
      </c>
      <c r="G121" s="920"/>
      <c r="H121" s="920"/>
      <c r="I121" s="920"/>
      <c r="J121" s="920">
        <f t="shared" si="6"/>
        <v>97800</v>
      </c>
      <c r="K121" s="920"/>
      <c r="L121" s="921" t="s">
        <v>706</v>
      </c>
      <c r="M121" s="922" t="s">
        <v>751</v>
      </c>
      <c r="N121" s="921" t="s">
        <v>735</v>
      </c>
      <c r="O121" s="923"/>
    </row>
    <row r="122" spans="1:15" s="913" customFormat="1" ht="87" customHeight="1" x14ac:dyDescent="0.25">
      <c r="A122" s="939">
        <v>94</v>
      </c>
      <c r="B122" s="995" t="s">
        <v>851</v>
      </c>
      <c r="C122" s="995"/>
      <c r="D122" s="956" t="s">
        <v>852</v>
      </c>
      <c r="E122" s="919">
        <v>3840000</v>
      </c>
      <c r="F122" s="919">
        <v>3840000</v>
      </c>
      <c r="G122" s="920"/>
      <c r="H122" s="920"/>
      <c r="I122" s="920"/>
      <c r="J122" s="920">
        <f t="shared" si="6"/>
        <v>3840000</v>
      </c>
      <c r="K122" s="920"/>
      <c r="L122" s="921" t="s">
        <v>706</v>
      </c>
      <c r="M122" s="922" t="s">
        <v>751</v>
      </c>
      <c r="N122" s="921" t="s">
        <v>735</v>
      </c>
      <c r="O122" s="923"/>
    </row>
    <row r="123" spans="1:15" s="928" customFormat="1" ht="48.75" customHeight="1" x14ac:dyDescent="0.25">
      <c r="A123" s="939">
        <v>95</v>
      </c>
      <c r="B123" s="956" t="s">
        <v>853</v>
      </c>
      <c r="C123" s="956"/>
      <c r="D123" s="956" t="s">
        <v>854</v>
      </c>
      <c r="E123" s="919">
        <v>63030290.520000003</v>
      </c>
      <c r="F123" s="919">
        <v>63030290.520000003</v>
      </c>
      <c r="G123" s="925"/>
      <c r="H123" s="925"/>
      <c r="I123" s="925"/>
      <c r="J123" s="920">
        <f t="shared" si="6"/>
        <v>63030290.520000003</v>
      </c>
      <c r="K123" s="925"/>
      <c r="L123" s="926" t="s">
        <v>658</v>
      </c>
      <c r="M123" s="922" t="s">
        <v>726</v>
      </c>
      <c r="N123" s="926" t="s">
        <v>735</v>
      </c>
      <c r="O123" s="927"/>
    </row>
    <row r="124" spans="1:15" s="913" customFormat="1" ht="16.5" customHeight="1" x14ac:dyDescent="0.25">
      <c r="A124" s="1678">
        <v>96</v>
      </c>
      <c r="B124" s="1669" t="s">
        <v>855</v>
      </c>
      <c r="C124" s="1669"/>
      <c r="D124" s="1670" t="s">
        <v>856</v>
      </c>
      <c r="E124" s="919">
        <v>467088.4</v>
      </c>
      <c r="F124" s="919">
        <v>467088.4</v>
      </c>
      <c r="G124" s="920"/>
      <c r="H124" s="920"/>
      <c r="I124" s="920"/>
      <c r="J124" s="920">
        <f t="shared" si="6"/>
        <v>467088.4</v>
      </c>
      <c r="K124" s="920"/>
      <c r="L124" s="921" t="s">
        <v>668</v>
      </c>
      <c r="M124" s="922" t="s">
        <v>731</v>
      </c>
      <c r="N124" s="921" t="s">
        <v>727</v>
      </c>
      <c r="O124" s="923"/>
    </row>
    <row r="125" spans="1:15" s="913" customFormat="1" ht="16.5" customHeight="1" x14ac:dyDescent="0.25">
      <c r="A125" s="1680"/>
      <c r="B125" s="1669"/>
      <c r="C125" s="1669"/>
      <c r="D125" s="1670"/>
      <c r="E125" s="919">
        <v>2480759.46</v>
      </c>
      <c r="F125" s="919">
        <v>2480759.46</v>
      </c>
      <c r="G125" s="920"/>
      <c r="H125" s="920"/>
      <c r="I125" s="920"/>
      <c r="J125" s="920">
        <f t="shared" si="6"/>
        <v>2480759.46</v>
      </c>
      <c r="K125" s="920"/>
      <c r="L125" s="921" t="s">
        <v>717</v>
      </c>
      <c r="M125" s="922" t="s">
        <v>731</v>
      </c>
      <c r="N125" s="921" t="s">
        <v>727</v>
      </c>
      <c r="O125" s="923"/>
    </row>
    <row r="126" spans="1:15" s="913" customFormat="1" ht="15.75" customHeight="1" x14ac:dyDescent="0.25">
      <c r="A126" s="1678">
        <v>97</v>
      </c>
      <c r="B126" s="1669" t="s">
        <v>781</v>
      </c>
      <c r="C126" s="1669"/>
      <c r="D126" s="1670" t="s">
        <v>857</v>
      </c>
      <c r="E126" s="919">
        <v>107499.98</v>
      </c>
      <c r="F126" s="919">
        <v>107499.98</v>
      </c>
      <c r="G126" s="920"/>
      <c r="H126" s="920"/>
      <c r="I126" s="920"/>
      <c r="J126" s="920">
        <f t="shared" si="6"/>
        <v>107499.98</v>
      </c>
      <c r="K126" s="920"/>
      <c r="L126" s="921" t="s">
        <v>668</v>
      </c>
      <c r="M126" s="922" t="s">
        <v>731</v>
      </c>
      <c r="N126" s="921" t="s">
        <v>727</v>
      </c>
      <c r="O126" s="923"/>
    </row>
    <row r="127" spans="1:15" s="913" customFormat="1" ht="16.5" customHeight="1" x14ac:dyDescent="0.25">
      <c r="A127" s="1680"/>
      <c r="B127" s="1669"/>
      <c r="C127" s="1669"/>
      <c r="D127" s="1670"/>
      <c r="E127" s="919">
        <v>4086515.6</v>
      </c>
      <c r="F127" s="919">
        <v>4086515.6</v>
      </c>
      <c r="G127" s="920"/>
      <c r="H127" s="920"/>
      <c r="I127" s="920"/>
      <c r="J127" s="920">
        <f t="shared" si="6"/>
        <v>4086515.6</v>
      </c>
      <c r="K127" s="920"/>
      <c r="L127" s="921" t="s">
        <v>717</v>
      </c>
      <c r="M127" s="922" t="s">
        <v>731</v>
      </c>
      <c r="N127" s="921" t="s">
        <v>727</v>
      </c>
      <c r="O127" s="923"/>
    </row>
    <row r="128" spans="1:15" s="913" customFormat="1" ht="51" customHeight="1" x14ac:dyDescent="0.25">
      <c r="A128" s="939">
        <v>98</v>
      </c>
      <c r="B128" s="995" t="s">
        <v>858</v>
      </c>
      <c r="C128" s="995"/>
      <c r="D128" s="956" t="s">
        <v>859</v>
      </c>
      <c r="E128" s="919">
        <v>14361629.449999999</v>
      </c>
      <c r="F128" s="919">
        <v>14361629.449999999</v>
      </c>
      <c r="G128" s="920"/>
      <c r="H128" s="920"/>
      <c r="I128" s="920"/>
      <c r="J128" s="920">
        <f t="shared" si="6"/>
        <v>14361629.449999999</v>
      </c>
      <c r="K128" s="920"/>
      <c r="L128" s="921" t="s">
        <v>658</v>
      </c>
      <c r="M128" s="922" t="s">
        <v>726</v>
      </c>
      <c r="N128" s="921" t="s">
        <v>735</v>
      </c>
      <c r="O128" s="923"/>
    </row>
    <row r="129" spans="1:127" s="913" customFormat="1" ht="16.5" customHeight="1" x14ac:dyDescent="0.25">
      <c r="A129" s="1678">
        <v>99</v>
      </c>
      <c r="B129" s="1669" t="s">
        <v>860</v>
      </c>
      <c r="C129" s="1669"/>
      <c r="D129" s="1670" t="s">
        <v>861</v>
      </c>
      <c r="E129" s="919">
        <v>120000</v>
      </c>
      <c r="F129" s="919">
        <v>120000</v>
      </c>
      <c r="G129" s="920"/>
      <c r="H129" s="920"/>
      <c r="I129" s="920"/>
      <c r="J129" s="920">
        <f t="shared" si="6"/>
        <v>120000</v>
      </c>
      <c r="K129" s="920"/>
      <c r="L129" s="921" t="s">
        <v>668</v>
      </c>
      <c r="M129" s="922" t="s">
        <v>731</v>
      </c>
      <c r="N129" s="921" t="s">
        <v>727</v>
      </c>
      <c r="O129" s="923"/>
    </row>
    <row r="130" spans="1:127" s="913" customFormat="1" ht="15.75" x14ac:dyDescent="0.25">
      <c r="A130" s="1680"/>
      <c r="B130" s="1669"/>
      <c r="C130" s="1669"/>
      <c r="D130" s="1670"/>
      <c r="E130" s="919">
        <v>286085.18</v>
      </c>
      <c r="F130" s="919">
        <v>286085.18</v>
      </c>
      <c r="G130" s="920"/>
      <c r="H130" s="920"/>
      <c r="I130" s="920"/>
      <c r="J130" s="920">
        <f t="shared" si="6"/>
        <v>286085.18</v>
      </c>
      <c r="K130" s="920"/>
      <c r="L130" s="921" t="s">
        <v>717</v>
      </c>
      <c r="M130" s="922" t="s">
        <v>731</v>
      </c>
      <c r="N130" s="921" t="s">
        <v>727</v>
      </c>
      <c r="O130" s="923"/>
    </row>
    <row r="131" spans="1:127" s="929" customFormat="1" ht="36.75" customHeight="1" x14ac:dyDescent="0.25">
      <c r="A131" s="939">
        <v>100</v>
      </c>
      <c r="B131" s="995" t="s">
        <v>862</v>
      </c>
      <c r="C131" s="995"/>
      <c r="D131" s="956" t="s">
        <v>863</v>
      </c>
      <c r="E131" s="919">
        <v>463540</v>
      </c>
      <c r="F131" s="919">
        <v>463540</v>
      </c>
      <c r="G131" s="920"/>
      <c r="H131" s="920"/>
      <c r="I131" s="920"/>
      <c r="J131" s="920">
        <f t="shared" si="6"/>
        <v>463540</v>
      </c>
      <c r="K131" s="920"/>
      <c r="L131" s="921" t="s">
        <v>717</v>
      </c>
      <c r="M131" s="922" t="s">
        <v>731</v>
      </c>
      <c r="N131" s="921" t="s">
        <v>727</v>
      </c>
      <c r="O131" s="923"/>
    </row>
    <row r="132" spans="1:127" s="913" customFormat="1" ht="36" customHeight="1" x14ac:dyDescent="0.25">
      <c r="A132" s="939">
        <v>101</v>
      </c>
      <c r="B132" s="995" t="s">
        <v>864</v>
      </c>
      <c r="C132" s="995"/>
      <c r="D132" s="930" t="s">
        <v>865</v>
      </c>
      <c r="E132" s="919">
        <v>100000</v>
      </c>
      <c r="F132" s="919">
        <v>100000</v>
      </c>
      <c r="G132" s="920"/>
      <c r="H132" s="920"/>
      <c r="I132" s="920"/>
      <c r="J132" s="920">
        <f t="shared" si="6"/>
        <v>100000</v>
      </c>
      <c r="K132" s="920"/>
      <c r="L132" s="921" t="s">
        <v>706</v>
      </c>
      <c r="M132" s="922" t="s">
        <v>751</v>
      </c>
      <c r="N132" s="921" t="s">
        <v>735</v>
      </c>
      <c r="O132" s="923"/>
    </row>
    <row r="133" spans="1:127" s="913" customFormat="1" ht="72" x14ac:dyDescent="0.25">
      <c r="A133" s="939">
        <v>102</v>
      </c>
      <c r="B133" s="918" t="s">
        <v>866</v>
      </c>
      <c r="C133" s="918"/>
      <c r="D133" s="924" t="s">
        <v>802</v>
      </c>
      <c r="E133" s="919">
        <v>2471098.2799999998</v>
      </c>
      <c r="F133" s="919">
        <v>2471098.2799999998</v>
      </c>
      <c r="G133" s="920"/>
      <c r="H133" s="920"/>
      <c r="I133" s="920"/>
      <c r="J133" s="920">
        <f t="shared" si="6"/>
        <v>2471098.2799999998</v>
      </c>
      <c r="K133" s="920"/>
      <c r="L133" s="921" t="s">
        <v>803</v>
      </c>
      <c r="M133" s="922"/>
      <c r="N133" s="921"/>
      <c r="O133" s="923"/>
      <c r="V133" s="914"/>
      <c r="W133" s="914"/>
      <c r="X133" s="914"/>
      <c r="Y133" s="914"/>
      <c r="Z133" s="914"/>
      <c r="AA133" s="914"/>
      <c r="AB133" s="914"/>
      <c r="AC133" s="914"/>
      <c r="AD133" s="914"/>
      <c r="AE133" s="914"/>
    </row>
    <row r="134" spans="1:127" s="913" customFormat="1" ht="16.5" thickBot="1" x14ac:dyDescent="0.3">
      <c r="B134" s="900"/>
      <c r="C134" s="900" t="s">
        <v>900</v>
      </c>
      <c r="D134" s="947"/>
      <c r="E134" s="948"/>
      <c r="F134" s="948"/>
      <c r="G134" s="943"/>
      <c r="H134" s="943"/>
      <c r="I134" s="943"/>
      <c r="J134" s="901">
        <f>SUM(J32:J133)</f>
        <v>370831428.93999994</v>
      </c>
      <c r="K134" s="901">
        <f>SUM(K32:K133)</f>
        <v>13897990.609999998</v>
      </c>
      <c r="M134" s="922"/>
      <c r="N134" s="921"/>
      <c r="O134" s="923"/>
      <c r="V134" s="914"/>
      <c r="W134" s="914"/>
      <c r="X134" s="914"/>
      <c r="Y134" s="914"/>
      <c r="Z134" s="914"/>
      <c r="AA134" s="914"/>
      <c r="AB134" s="914"/>
      <c r="AC134" s="914"/>
      <c r="AD134" s="914"/>
      <c r="AE134" s="914"/>
    </row>
    <row r="135" spans="1:127" s="906" customFormat="1" ht="21" hidden="1" customHeight="1" x14ac:dyDescent="0.25">
      <c r="B135" s="900" t="s">
        <v>867</v>
      </c>
      <c r="C135" s="900" t="s">
        <v>904</v>
      </c>
      <c r="D135" s="900"/>
      <c r="E135" s="901">
        <f>SUM(E32:E133)</f>
        <v>515003742.42999989</v>
      </c>
      <c r="F135" s="901">
        <f>SUM(F32:F133)</f>
        <v>384729419.55000001</v>
      </c>
      <c r="G135" s="902"/>
      <c r="H135" s="902"/>
      <c r="I135" s="902"/>
      <c r="K135" s="901">
        <f>K134+K29+K8</f>
        <v>203001361.20999998</v>
      </c>
      <c r="L135" s="903"/>
      <c r="M135" s="903"/>
      <c r="N135" s="903"/>
      <c r="O135" s="904"/>
      <c r="P135" s="904"/>
      <c r="Q135" s="904"/>
      <c r="R135" s="904"/>
      <c r="S135" s="904"/>
      <c r="T135" s="904"/>
      <c r="U135" s="905"/>
      <c r="V135" s="905"/>
      <c r="W135" s="905"/>
      <c r="X135" s="905"/>
      <c r="Y135" s="905"/>
      <c r="Z135" s="905"/>
      <c r="AA135" s="905"/>
      <c r="AB135" s="905"/>
      <c r="AC135" s="905"/>
      <c r="AD135" s="905"/>
      <c r="AE135" s="904"/>
      <c r="AF135" s="904"/>
      <c r="AG135" s="904"/>
      <c r="AH135" s="904"/>
      <c r="AI135" s="904"/>
      <c r="AJ135" s="904"/>
      <c r="AK135" s="904"/>
      <c r="AL135" s="904"/>
      <c r="AM135" s="904"/>
      <c r="AN135" s="904"/>
      <c r="AO135" s="904"/>
      <c r="AP135" s="904"/>
      <c r="AQ135" s="904"/>
      <c r="AR135" s="904"/>
      <c r="AS135" s="904"/>
      <c r="AT135" s="904"/>
      <c r="AU135" s="904"/>
      <c r="AV135" s="904"/>
      <c r="AW135" s="904"/>
      <c r="AX135" s="904"/>
      <c r="AY135" s="904"/>
      <c r="AZ135" s="904"/>
      <c r="BA135" s="904"/>
      <c r="BB135" s="904"/>
      <c r="BC135" s="904"/>
      <c r="BD135" s="904"/>
      <c r="BE135" s="904"/>
      <c r="BF135" s="904"/>
      <c r="BG135" s="904"/>
      <c r="BH135" s="904"/>
      <c r="BI135" s="904"/>
      <c r="BJ135" s="904"/>
      <c r="BK135" s="904"/>
      <c r="BL135" s="904"/>
      <c r="BM135" s="904"/>
      <c r="BN135" s="904"/>
      <c r="BO135" s="904"/>
      <c r="BP135" s="904"/>
      <c r="BQ135" s="904"/>
      <c r="BR135" s="904"/>
      <c r="BS135" s="904"/>
      <c r="BT135" s="904"/>
      <c r="BU135" s="904"/>
      <c r="BV135" s="904"/>
      <c r="BW135" s="904"/>
      <c r="BX135" s="904"/>
      <c r="BY135" s="904"/>
      <c r="BZ135" s="904"/>
      <c r="CA135" s="904"/>
      <c r="CB135" s="904"/>
      <c r="CC135" s="904"/>
      <c r="CD135" s="904"/>
      <c r="CE135" s="904"/>
      <c r="CF135" s="904"/>
      <c r="CG135" s="904"/>
      <c r="CH135" s="904"/>
      <c r="CI135" s="904"/>
      <c r="CJ135" s="904"/>
      <c r="CK135" s="904"/>
      <c r="CL135" s="904"/>
      <c r="CM135" s="904"/>
      <c r="CN135" s="904"/>
      <c r="CO135" s="904"/>
      <c r="CP135" s="904"/>
      <c r="CQ135" s="904"/>
      <c r="CR135" s="904"/>
      <c r="CS135" s="904"/>
      <c r="CT135" s="904"/>
      <c r="CU135" s="904"/>
      <c r="CV135" s="904"/>
      <c r="CW135" s="904"/>
      <c r="CX135" s="904"/>
      <c r="CY135" s="904"/>
      <c r="CZ135" s="904"/>
      <c r="DA135" s="904"/>
      <c r="DB135" s="904"/>
      <c r="DC135" s="904"/>
      <c r="DD135" s="904"/>
      <c r="DE135" s="904"/>
      <c r="DF135" s="904"/>
      <c r="DG135" s="904"/>
      <c r="DH135" s="904"/>
      <c r="DI135" s="904"/>
      <c r="DJ135" s="904"/>
      <c r="DK135" s="904"/>
      <c r="DL135" s="904"/>
      <c r="DM135" s="904"/>
      <c r="DN135" s="904"/>
      <c r="DO135" s="904"/>
      <c r="DP135" s="904"/>
      <c r="DQ135" s="904"/>
      <c r="DR135" s="904"/>
      <c r="DS135" s="904"/>
      <c r="DT135" s="904"/>
      <c r="DU135" s="904"/>
      <c r="DV135" s="904"/>
      <c r="DW135" s="904"/>
    </row>
    <row r="136" spans="1:127" ht="16.5" thickBot="1" x14ac:dyDescent="0.3">
      <c r="B136" s="998" t="s">
        <v>621</v>
      </c>
      <c r="C136" s="991"/>
      <c r="D136" s="992"/>
      <c r="E136" s="993">
        <f>E135+E29+E8</f>
        <v>515003742.42999989</v>
      </c>
      <c r="F136" s="993">
        <f>F135+F29+F8</f>
        <v>593808468.51000011</v>
      </c>
      <c r="G136" s="993">
        <f>SUM(G32:G133)</f>
        <v>0</v>
      </c>
      <c r="H136" s="993">
        <f>SUM(H32:H133)</f>
        <v>0</v>
      </c>
      <c r="I136" s="993">
        <f>SUM(I32:I133)</f>
        <v>0</v>
      </c>
      <c r="J136" s="993">
        <f>J134+J29+J8</f>
        <v>390807107.29999995</v>
      </c>
      <c r="K136" s="994">
        <v>203001361.20999998</v>
      </c>
      <c r="L136" s="892"/>
      <c r="M136" s="898"/>
      <c r="N136" s="931"/>
      <c r="O136" s="888"/>
      <c r="Q136"/>
      <c r="X136"/>
      <c r="Y136"/>
      <c r="Z136"/>
      <c r="AA136"/>
      <c r="AB136"/>
      <c r="AC136"/>
      <c r="AD136"/>
      <c r="AE136"/>
      <c r="AF136"/>
      <c r="AG136"/>
    </row>
    <row r="137" spans="1:127" s="913" customFormat="1" ht="15.75" x14ac:dyDescent="0.25">
      <c r="B137" s="942"/>
      <c r="C137" s="942"/>
      <c r="D137" s="942"/>
      <c r="E137" s="988"/>
      <c r="F137" s="988"/>
      <c r="G137" s="988"/>
      <c r="H137" s="988"/>
      <c r="I137" s="988"/>
      <c r="J137" s="988"/>
      <c r="K137" s="988"/>
      <c r="L137" s="933"/>
      <c r="M137" s="897"/>
      <c r="N137" s="921"/>
      <c r="O137" s="923"/>
    </row>
    <row r="138" spans="1:127" s="913" customFormat="1" ht="15.75" x14ac:dyDescent="0.25">
      <c r="B138" s="942"/>
      <c r="C138" s="942"/>
      <c r="D138" s="942"/>
      <c r="E138" s="988"/>
      <c r="F138" s="988"/>
      <c r="G138" s="988"/>
      <c r="H138" s="988"/>
      <c r="I138" s="988"/>
      <c r="J138" s="988"/>
      <c r="K138" s="988"/>
      <c r="L138" s="933"/>
      <c r="M138" s="897"/>
      <c r="N138" s="921"/>
      <c r="O138" s="923"/>
    </row>
    <row r="139" spans="1:127" s="913" customFormat="1" ht="15.75" x14ac:dyDescent="0.25">
      <c r="B139" s="942"/>
      <c r="C139" s="942"/>
      <c r="D139" s="942"/>
      <c r="E139" s="988"/>
      <c r="F139" s="988"/>
      <c r="G139" s="988"/>
      <c r="H139" s="988"/>
      <c r="I139" s="988"/>
      <c r="J139" s="988"/>
      <c r="K139" s="988"/>
      <c r="L139" s="933"/>
      <c r="M139" s="897"/>
      <c r="N139" s="921"/>
      <c r="O139" s="923"/>
    </row>
    <row r="140" spans="1:127" ht="30" x14ac:dyDescent="0.25">
      <c r="F140" s="952" t="s">
        <v>872</v>
      </c>
      <c r="J140" s="888" t="s">
        <v>869</v>
      </c>
      <c r="K140" s="951" t="s">
        <v>871</v>
      </c>
      <c r="M140" s="892"/>
      <c r="N140" s="898"/>
      <c r="O140" s="888"/>
      <c r="P140" s="888"/>
      <c r="Q140"/>
    </row>
    <row r="141" spans="1:127" x14ac:dyDescent="0.25">
      <c r="E141" s="911">
        <v>2016</v>
      </c>
      <c r="F141" s="934">
        <f>F3+F4+F5</f>
        <v>4004115.5899999994</v>
      </c>
      <c r="G141" s="934">
        <f>G3+G4+G5</f>
        <v>0</v>
      </c>
      <c r="H141" s="934">
        <f>H3+H4+H5</f>
        <v>0</v>
      </c>
      <c r="I141" s="934">
        <f>I3+I4+I5</f>
        <v>0</v>
      </c>
      <c r="J141" s="934">
        <f>SUMIF($L$3:$L$7,"02-01",$K$3:$K$7)</f>
        <v>4004115.5899999994</v>
      </c>
      <c r="K141" s="934">
        <f>F141-J141</f>
        <v>0</v>
      </c>
      <c r="L141" s="935" t="s">
        <v>658</v>
      </c>
      <c r="M141" s="935" t="s">
        <v>735</v>
      </c>
      <c r="N141" s="892" t="s">
        <v>726</v>
      </c>
      <c r="O141"/>
      <c r="P141" s="888"/>
      <c r="Q141"/>
    </row>
    <row r="142" spans="1:127" x14ac:dyDescent="0.25">
      <c r="E142" s="911"/>
      <c r="F142" s="934">
        <f>F6+F7</f>
        <v>2814821</v>
      </c>
      <c r="G142" s="934">
        <f>G6+G7</f>
        <v>0</v>
      </c>
      <c r="H142" s="934">
        <f>H6+H7</f>
        <v>0</v>
      </c>
      <c r="I142" s="934">
        <f>I6+I7</f>
        <v>0</v>
      </c>
      <c r="J142" s="934">
        <f>SUMIF($L$3:$L$7,"03-01",$K$3:$K$7)</f>
        <v>2510409.02</v>
      </c>
      <c r="K142" s="934">
        <f>F142-J142</f>
        <v>304411.98</v>
      </c>
      <c r="L142" s="935" t="s">
        <v>668</v>
      </c>
      <c r="M142" s="935" t="s">
        <v>727</v>
      </c>
      <c r="N142" s="892" t="s">
        <v>731</v>
      </c>
      <c r="O142"/>
      <c r="P142" s="888"/>
      <c r="Q142"/>
    </row>
    <row r="143" spans="1:127" x14ac:dyDescent="0.25">
      <c r="E143" s="911"/>
      <c r="F143" s="936">
        <f>F141+F142</f>
        <v>6818936.5899999999</v>
      </c>
      <c r="G143" s="936">
        <f t="shared" ref="G143:I143" si="7">G141+G142</f>
        <v>0</v>
      </c>
      <c r="H143" s="936">
        <f t="shared" si="7"/>
        <v>0</v>
      </c>
      <c r="I143" s="936">
        <f t="shared" si="7"/>
        <v>0</v>
      </c>
      <c r="J143" s="936">
        <f>J141+J142</f>
        <v>6514524.6099999994</v>
      </c>
      <c r="K143" s="936">
        <f>K141+K142</f>
        <v>304411.98</v>
      </c>
      <c r="L143" s="937"/>
      <c r="M143" s="937"/>
      <c r="O143"/>
      <c r="P143" s="888"/>
      <c r="Q143"/>
    </row>
    <row r="144" spans="1:127" x14ac:dyDescent="0.25">
      <c r="E144" s="911">
        <v>2017</v>
      </c>
      <c r="F144" s="934">
        <f>F11+F12+F15+F16+F19</f>
        <v>122316409.57000002</v>
      </c>
      <c r="G144" s="934">
        <f>G11+G12+G15+G16+G19</f>
        <v>0</v>
      </c>
      <c r="H144" s="934">
        <f>H11+H12+H15+H16+H19</f>
        <v>0</v>
      </c>
      <c r="I144" s="934">
        <f>I11+I12+I15+I16+I19</f>
        <v>0</v>
      </c>
      <c r="J144" s="934">
        <f>SUMIF($L$11:$L$28,"02-01",$K$11:$K$28)</f>
        <v>122273188.34</v>
      </c>
      <c r="K144" s="934">
        <f t="shared" ref="K144:K151" si="8">F144-J144</f>
        <v>43221.230000019073</v>
      </c>
      <c r="L144" s="938" t="s">
        <v>658</v>
      </c>
      <c r="M144" s="939">
        <v>243</v>
      </c>
      <c r="N144" s="888">
        <v>225</v>
      </c>
      <c r="O144" s="888"/>
      <c r="Q144"/>
      <c r="W144" s="889"/>
      <c r="AG144"/>
    </row>
    <row r="145" spans="5:33" x14ac:dyDescent="0.25">
      <c r="E145" s="911"/>
      <c r="F145" s="934">
        <f>F24</f>
        <v>95000</v>
      </c>
      <c r="G145" s="896"/>
      <c r="H145" s="896"/>
      <c r="I145" s="896"/>
      <c r="J145" s="934">
        <f>SUMIF($L$11:$L$28,"02-10",$K$11:$K$28)</f>
        <v>0</v>
      </c>
      <c r="K145" s="934">
        <f t="shared" si="8"/>
        <v>95000</v>
      </c>
      <c r="L145" s="938" t="s">
        <v>706</v>
      </c>
      <c r="M145" s="939">
        <v>243</v>
      </c>
      <c r="N145" s="888">
        <v>226</v>
      </c>
      <c r="O145" s="888"/>
      <c r="Q145"/>
      <c r="W145" s="889"/>
      <c r="AG145"/>
    </row>
    <row r="146" spans="5:33" x14ac:dyDescent="0.25">
      <c r="E146" s="911"/>
      <c r="F146" s="934">
        <f>F25</f>
        <v>14946116.970000001</v>
      </c>
      <c r="G146" s="896"/>
      <c r="H146" s="896"/>
      <c r="I146" s="896"/>
      <c r="J146" s="934">
        <f>SUMIF($L$11:$L$28,"02-14",$K$11:$K$28)</f>
        <v>0</v>
      </c>
      <c r="K146" s="934">
        <f t="shared" si="8"/>
        <v>14946116.970000001</v>
      </c>
      <c r="L146" s="938" t="s">
        <v>709</v>
      </c>
      <c r="M146" s="939">
        <v>244</v>
      </c>
      <c r="N146" s="888">
        <v>226</v>
      </c>
      <c r="O146" s="888"/>
      <c r="Q146"/>
      <c r="W146" s="889"/>
      <c r="AG146"/>
    </row>
    <row r="147" spans="5:33" x14ac:dyDescent="0.25">
      <c r="E147" s="911"/>
      <c r="F147" s="934">
        <f>F20+F21+F26+F27</f>
        <v>20653602.849999994</v>
      </c>
      <c r="G147" s="896"/>
      <c r="H147" s="896"/>
      <c r="I147" s="896"/>
      <c r="J147" s="934">
        <f>SUMIF($L$11:$L$28,"02-99",$K$11:$K$28)</f>
        <v>20653602.849999994</v>
      </c>
      <c r="K147" s="934">
        <f t="shared" si="8"/>
        <v>0</v>
      </c>
      <c r="L147" s="938" t="s">
        <v>696</v>
      </c>
      <c r="M147" s="939">
        <v>244</v>
      </c>
      <c r="N147" s="888">
        <v>225</v>
      </c>
      <c r="O147" s="888"/>
      <c r="Q147"/>
      <c r="W147" s="889"/>
      <c r="AG147"/>
    </row>
    <row r="148" spans="5:33" x14ac:dyDescent="0.25">
      <c r="E148" s="911"/>
      <c r="F148" s="934">
        <f>F14+F17+F23</f>
        <v>39859754.799999997</v>
      </c>
      <c r="G148" s="896"/>
      <c r="H148" s="896"/>
      <c r="I148" s="896"/>
      <c r="J148" s="934">
        <f>K14+K17+K23</f>
        <v>39662054.799999997</v>
      </c>
      <c r="K148" s="934">
        <f t="shared" si="8"/>
        <v>197700</v>
      </c>
      <c r="L148" s="938" t="s">
        <v>685</v>
      </c>
      <c r="M148" s="939">
        <v>244</v>
      </c>
      <c r="N148" s="888">
        <v>310</v>
      </c>
      <c r="O148" s="888"/>
      <c r="Q148"/>
      <c r="W148" s="889"/>
      <c r="AG148"/>
    </row>
    <row r="149" spans="5:33" x14ac:dyDescent="0.25">
      <c r="E149" s="911"/>
      <c r="F149" s="934">
        <f>F18</f>
        <v>860103.18000000715</v>
      </c>
      <c r="G149" s="896"/>
      <c r="H149" s="896"/>
      <c r="I149" s="896"/>
      <c r="J149" s="934">
        <f>K18</f>
        <v>0</v>
      </c>
      <c r="K149" s="934">
        <f t="shared" si="8"/>
        <v>860103.18000000715</v>
      </c>
      <c r="L149" s="938" t="s">
        <v>685</v>
      </c>
      <c r="M149" s="939">
        <v>243</v>
      </c>
      <c r="N149" s="888">
        <v>310</v>
      </c>
      <c r="O149" s="888"/>
      <c r="Q149"/>
      <c r="W149" s="889"/>
      <c r="AG149"/>
    </row>
    <row r="150" spans="5:33" x14ac:dyDescent="0.25">
      <c r="E150" s="911"/>
      <c r="F150" s="934">
        <f>F28</f>
        <v>14000</v>
      </c>
      <c r="G150" s="896"/>
      <c r="H150" s="896"/>
      <c r="I150" s="896"/>
      <c r="J150" s="934">
        <f>SUMIF($L$11:$L$28,"03-99",$K$11:$K$28)</f>
        <v>0</v>
      </c>
      <c r="K150" s="934">
        <f t="shared" si="8"/>
        <v>14000</v>
      </c>
      <c r="L150" s="938" t="s">
        <v>717</v>
      </c>
      <c r="M150" s="939">
        <v>244</v>
      </c>
      <c r="N150" s="888">
        <v>310</v>
      </c>
      <c r="O150" s="959">
        <f>K150</f>
        <v>14000</v>
      </c>
      <c r="Q150"/>
      <c r="W150" s="889"/>
      <c r="AG150"/>
    </row>
    <row r="151" spans="5:33" x14ac:dyDescent="0.25">
      <c r="E151" s="911"/>
      <c r="F151" s="934">
        <f>F13+F22</f>
        <v>3515125</v>
      </c>
      <c r="G151" s="896"/>
      <c r="H151" s="896"/>
      <c r="I151" s="896"/>
      <c r="J151" s="934">
        <f>SUMIF($L$11:$L$28,"08-01",$K$11:$K$28)</f>
        <v>0</v>
      </c>
      <c r="K151" s="934">
        <f t="shared" si="8"/>
        <v>3515125</v>
      </c>
      <c r="L151" s="938" t="s">
        <v>682</v>
      </c>
      <c r="M151" s="939">
        <v>244</v>
      </c>
      <c r="N151" s="888">
        <v>226</v>
      </c>
      <c r="O151" s="888"/>
      <c r="Q151"/>
      <c r="W151" s="889"/>
      <c r="AG151"/>
    </row>
    <row r="152" spans="5:33" x14ac:dyDescent="0.25">
      <c r="E152" s="911"/>
      <c r="F152" s="936">
        <f>SUBTOTAL(9,F144:F151)</f>
        <v>202260112.37</v>
      </c>
      <c r="G152" s="940">
        <f t="shared" ref="G152:I152" si="9">SUBTOTAL(9,G144:G151)</f>
        <v>0</v>
      </c>
      <c r="H152" s="940">
        <f t="shared" si="9"/>
        <v>0</v>
      </c>
      <c r="I152" s="940">
        <f t="shared" si="9"/>
        <v>0</v>
      </c>
      <c r="J152" s="936">
        <f>SUBTOTAL(9,J144:J151)</f>
        <v>182588845.99000001</v>
      </c>
      <c r="K152" s="936">
        <f>SUBTOTAL(9,K144:K151)</f>
        <v>19671266.380000025</v>
      </c>
      <c r="L152" s="938"/>
      <c r="M152" s="939"/>
      <c r="N152" s="888"/>
      <c r="O152" s="888"/>
      <c r="Q152"/>
      <c r="W152" s="889"/>
      <c r="AG152"/>
    </row>
    <row r="153" spans="5:33" x14ac:dyDescent="0.25">
      <c r="E153" s="911">
        <v>2018</v>
      </c>
      <c r="F153" s="934">
        <f>F37+F43+F51+F53+F56+F57+F60+F65+F66+F86+F104+F123+F128</f>
        <v>152755713.72999999</v>
      </c>
      <c r="G153" s="896"/>
      <c r="H153" s="896"/>
      <c r="I153" s="896"/>
      <c r="J153" s="934">
        <f>SUMIF($L$32:$L$133,"02-01",$K$32:$K$133)</f>
        <v>6423026.7599999988</v>
      </c>
      <c r="K153" s="934">
        <f t="shared" ref="K153:K164" si="10">F153-J153</f>
        <v>146332686.97</v>
      </c>
      <c r="L153" s="935" t="s">
        <v>658</v>
      </c>
      <c r="M153" s="935" t="s">
        <v>735</v>
      </c>
      <c r="N153" s="892" t="s">
        <v>726</v>
      </c>
      <c r="O153"/>
      <c r="P153" s="888"/>
      <c r="Q153"/>
    </row>
    <row r="154" spans="5:33" x14ac:dyDescent="0.25">
      <c r="E154" s="911"/>
      <c r="F154" s="934">
        <f>F52+F119+F120+F121+F122+F132</f>
        <v>4294110</v>
      </c>
      <c r="G154" s="896"/>
      <c r="H154" s="896"/>
      <c r="I154" s="896"/>
      <c r="J154" s="934">
        <f>SUMIF($L$32:$L$133,"02-10",$K$32:$K$133)</f>
        <v>0</v>
      </c>
      <c r="K154" s="934">
        <f t="shared" si="10"/>
        <v>4294110</v>
      </c>
      <c r="L154" s="935" t="s">
        <v>706</v>
      </c>
      <c r="M154" s="935" t="s">
        <v>735</v>
      </c>
      <c r="N154" s="892" t="s">
        <v>751</v>
      </c>
      <c r="O154"/>
      <c r="P154" s="888"/>
      <c r="Q154"/>
    </row>
    <row r="155" spans="5:33" x14ac:dyDescent="0.25">
      <c r="E155" s="911"/>
      <c r="F155" s="934">
        <f>F55+F58+F63+F64+F71+F72</f>
        <v>105266879.98999999</v>
      </c>
      <c r="G155" s="896"/>
      <c r="H155" s="896"/>
      <c r="I155" s="896"/>
      <c r="J155" s="934">
        <f>SUMIF($L$32:$L$133,"02-14",$K$32:$K$133)</f>
        <v>280417.12000000011</v>
      </c>
      <c r="K155" s="934">
        <f t="shared" si="10"/>
        <v>104986462.86999999</v>
      </c>
      <c r="L155" s="935" t="s">
        <v>709</v>
      </c>
      <c r="M155" s="935" t="s">
        <v>727</v>
      </c>
      <c r="N155" s="892" t="s">
        <v>751</v>
      </c>
      <c r="O155"/>
      <c r="P155" s="888"/>
      <c r="Q155"/>
    </row>
    <row r="156" spans="5:33" x14ac:dyDescent="0.25">
      <c r="E156" s="911"/>
      <c r="F156" s="934">
        <f>F33+F54</f>
        <v>966437.08000000066</v>
      </c>
      <c r="G156" s="896"/>
      <c r="H156" s="896"/>
      <c r="I156" s="896"/>
      <c r="J156" s="934">
        <f>K33+K54</f>
        <v>537177.8900000006</v>
      </c>
      <c r="K156" s="934">
        <f t="shared" si="10"/>
        <v>429259.19000000006</v>
      </c>
      <c r="L156" s="935" t="s">
        <v>696</v>
      </c>
      <c r="M156" s="935" t="s">
        <v>727</v>
      </c>
      <c r="N156" s="892" t="s">
        <v>726</v>
      </c>
      <c r="O156"/>
      <c r="P156" s="888"/>
      <c r="Q156"/>
    </row>
    <row r="157" spans="5:33" x14ac:dyDescent="0.25">
      <c r="E157" s="911"/>
      <c r="F157" s="941">
        <f>F32</f>
        <v>1343074.9299999997</v>
      </c>
      <c r="G157" s="896"/>
      <c r="H157" s="896"/>
      <c r="I157" s="896"/>
      <c r="J157" s="941">
        <f>K32</f>
        <v>1343074.9299999997</v>
      </c>
      <c r="K157" s="934">
        <f t="shared" si="10"/>
        <v>0</v>
      </c>
      <c r="L157" s="935" t="s">
        <v>696</v>
      </c>
      <c r="M157" s="935" t="s">
        <v>723</v>
      </c>
      <c r="N157" s="892" t="s">
        <v>873</v>
      </c>
      <c r="O157" s="958">
        <f>K157</f>
        <v>0</v>
      </c>
      <c r="P157" s="957">
        <v>113</v>
      </c>
      <c r="Q157" s="958">
        <f>K157-O157</f>
        <v>0</v>
      </c>
    </row>
    <row r="158" spans="5:33" x14ac:dyDescent="0.25">
      <c r="E158" s="911"/>
      <c r="F158" s="934">
        <f>F34+F41+F44+F46+F77+F87+F90+F99+F103+F124+F126+F129</f>
        <v>19538419.249999996</v>
      </c>
      <c r="G158" s="896"/>
      <c r="H158" s="896"/>
      <c r="I158" s="896"/>
      <c r="J158" s="934">
        <f>SUMIF($L$32:$L$133,"03-01",$K$32:$K$133)</f>
        <v>4446164.5299999993</v>
      </c>
      <c r="K158" s="934">
        <f t="shared" si="10"/>
        <v>15092254.719999997</v>
      </c>
      <c r="L158" s="935" t="s">
        <v>668</v>
      </c>
      <c r="M158" s="935" t="s">
        <v>727</v>
      </c>
      <c r="N158" s="892" t="s">
        <v>731</v>
      </c>
      <c r="O158"/>
      <c r="P158" s="888"/>
      <c r="Q158"/>
    </row>
    <row r="159" spans="5:33" x14ac:dyDescent="0.25">
      <c r="E159" s="911"/>
      <c r="F159" s="934">
        <f>F38+F59+F67+F80+F81+F93+F95+F96+F97+F100</f>
        <v>60485503.380000003</v>
      </c>
      <c r="G159" s="896"/>
      <c r="H159" s="896"/>
      <c r="I159" s="896"/>
      <c r="J159" s="934">
        <f>SUMIF($L$32:$L$133,"03-02",$K$32:$K$133)</f>
        <v>295515</v>
      </c>
      <c r="K159" s="934">
        <f t="shared" si="10"/>
        <v>60189988.380000003</v>
      </c>
      <c r="L159" s="935" t="s">
        <v>685</v>
      </c>
      <c r="M159" s="935" t="s">
        <v>727</v>
      </c>
      <c r="N159" s="892" t="s">
        <v>731</v>
      </c>
      <c r="O159"/>
      <c r="P159" s="888"/>
      <c r="Q159"/>
    </row>
    <row r="160" spans="5:33" x14ac:dyDescent="0.25">
      <c r="E160" s="911"/>
      <c r="F160" s="941">
        <f>F49</f>
        <v>1600000</v>
      </c>
      <c r="G160" s="896"/>
      <c r="H160" s="896"/>
      <c r="I160" s="896"/>
      <c r="J160" s="934">
        <f>SUMIF($L$32:$L$133,"03-08",$K$32:$K$133)</f>
        <v>0</v>
      </c>
      <c r="K160" s="934">
        <f t="shared" si="10"/>
        <v>1600000</v>
      </c>
      <c r="L160" s="935" t="s">
        <v>750</v>
      </c>
      <c r="M160" s="935" t="s">
        <v>727</v>
      </c>
      <c r="N160" s="892" t="s">
        <v>751</v>
      </c>
      <c r="O160"/>
      <c r="P160" s="888"/>
      <c r="Q160"/>
    </row>
    <row r="161" spans="5:17" x14ac:dyDescent="0.25">
      <c r="E161" s="911"/>
      <c r="F161" s="934">
        <f>F35+F36+F39+F40+F42+F45+F47+F48+F50+F61+F62+F68+F70+F73+F74+F75+F76+F78+F79+F85+F88+F89+F91+F94+F98+F102+F125+F127+F130+F131+F101+0.01</f>
        <v>20377295.650000006</v>
      </c>
      <c r="G161" s="896"/>
      <c r="H161" s="896"/>
      <c r="I161" s="896"/>
      <c r="J161" s="934">
        <f>SUMIF($L$32:$L$133,"03-99",$K$32:$K$133)</f>
        <v>572614.38000000012</v>
      </c>
      <c r="K161" s="934">
        <f t="shared" si="10"/>
        <v>19804681.270000007</v>
      </c>
      <c r="L161" s="935" t="s">
        <v>717</v>
      </c>
      <c r="M161" s="935" t="s">
        <v>727</v>
      </c>
      <c r="N161" s="892" t="s">
        <v>731</v>
      </c>
      <c r="O161" s="949">
        <f>K161-Q161</f>
        <v>12727638.020000007</v>
      </c>
      <c r="P161" s="888">
        <v>340</v>
      </c>
      <c r="Q161" s="958">
        <f>F35-K35+F40-K40+F42-K42+F48-K48+F62-K62+F70-K70+F73-K73+F74-K74+F76-K76+F79-K79+F85-K85+F89-K89+F101-K101</f>
        <v>7077043.25</v>
      </c>
    </row>
    <row r="162" spans="5:17" x14ac:dyDescent="0.25">
      <c r="E162" s="911"/>
      <c r="F162" s="934">
        <f>F107+F108+F109+F110+F111+F112+F113+F114+F115+F116+F117+F118</f>
        <v>982800</v>
      </c>
      <c r="G162" s="896"/>
      <c r="H162" s="896"/>
      <c r="I162" s="896"/>
      <c r="J162" s="934">
        <f>SUMIF($L$32:$L$133,"04-05",$K$32:$K$133)</f>
        <v>0</v>
      </c>
      <c r="K162" s="934">
        <f t="shared" si="10"/>
        <v>982800</v>
      </c>
      <c r="L162" s="935" t="s">
        <v>831</v>
      </c>
      <c r="M162" s="935" t="s">
        <v>727</v>
      </c>
      <c r="N162" s="892" t="s">
        <v>751</v>
      </c>
      <c r="O162"/>
      <c r="P162" s="888"/>
      <c r="Q162"/>
    </row>
    <row r="163" spans="5:17" x14ac:dyDescent="0.25">
      <c r="E163" s="911"/>
      <c r="F163" s="934">
        <f>F69+F84+F92+F105+F106</f>
        <v>11930675.219999999</v>
      </c>
      <c r="G163" s="896"/>
      <c r="H163" s="896"/>
      <c r="I163" s="896"/>
      <c r="J163" s="934">
        <f>SUMIF($L$32:$L$133,"08-01",$K$32:$K$133)</f>
        <v>0</v>
      </c>
      <c r="K163" s="934">
        <f t="shared" si="10"/>
        <v>11930675.219999999</v>
      </c>
      <c r="L163" s="935" t="s">
        <v>682</v>
      </c>
      <c r="M163" s="935" t="s">
        <v>727</v>
      </c>
      <c r="N163" s="892" t="s">
        <v>751</v>
      </c>
      <c r="O163"/>
      <c r="P163" s="888"/>
      <c r="Q163"/>
    </row>
    <row r="164" spans="5:17" x14ac:dyDescent="0.25">
      <c r="E164" s="911"/>
      <c r="F164" s="934">
        <f>F82+F83+F133</f>
        <v>5188510.33</v>
      </c>
      <c r="G164" s="896"/>
      <c r="H164" s="896"/>
      <c r="I164" s="896"/>
      <c r="J164" s="934">
        <f>SUMIF($L$32:$L$133,"08-14",$K$32:$K$133)</f>
        <v>0</v>
      </c>
      <c r="K164" s="934">
        <f t="shared" si="10"/>
        <v>5188510.33</v>
      </c>
      <c r="L164" s="935" t="s">
        <v>803</v>
      </c>
      <c r="M164" s="937"/>
      <c r="N164" s="892" t="s">
        <v>751</v>
      </c>
      <c r="O164"/>
      <c r="P164" s="888"/>
      <c r="Q164"/>
    </row>
    <row r="165" spans="5:17" x14ac:dyDescent="0.25">
      <c r="E165" s="911"/>
      <c r="F165" s="936">
        <f>SUBTOTAL(9,F153:F164)</f>
        <v>384729419.56</v>
      </c>
      <c r="G165" s="940">
        <f t="shared" ref="G165:I165" si="11">SUBTOTAL(9,G153:G164)</f>
        <v>0</v>
      </c>
      <c r="H165" s="940">
        <f t="shared" si="11"/>
        <v>0</v>
      </c>
      <c r="I165" s="940">
        <f t="shared" si="11"/>
        <v>0</v>
      </c>
      <c r="J165" s="936">
        <f>SUBTOTAL(9,J153:J164)</f>
        <v>13897990.609999999</v>
      </c>
      <c r="K165" s="936">
        <f>SUBTOTAL(9,K153:K164)</f>
        <v>370831428.94999987</v>
      </c>
      <c r="L165" s="935"/>
      <c r="M165" s="937"/>
      <c r="N165" s="949">
        <f>J143+J152+J165</f>
        <v>203001361.21000004</v>
      </c>
      <c r="O165"/>
      <c r="P165" s="888"/>
      <c r="Q165"/>
    </row>
    <row r="166" spans="5:17" x14ac:dyDescent="0.25">
      <c r="E166" s="911"/>
      <c r="F166" s="896" t="s">
        <v>868</v>
      </c>
      <c r="G166" s="896"/>
      <c r="H166" s="896"/>
      <c r="I166" s="896"/>
      <c r="J166" s="896"/>
      <c r="K166" s="896"/>
      <c r="L166" s="935"/>
      <c r="M166" s="937"/>
      <c r="O166"/>
      <c r="P166" s="888"/>
      <c r="Q166"/>
    </row>
    <row r="167" spans="5:17" x14ac:dyDescent="0.25">
      <c r="E167" s="911"/>
      <c r="F167" s="934">
        <f>F141+F153+F144</f>
        <v>279076238.88999999</v>
      </c>
      <c r="G167" s="934">
        <f>G141+G153+G144</f>
        <v>0</v>
      </c>
      <c r="H167" s="934">
        <f>H141+H153+H144</f>
        <v>0</v>
      </c>
      <c r="I167" s="934">
        <f>I141+I153+I144</f>
        <v>0</v>
      </c>
      <c r="J167" s="934">
        <f>J141+J153+J144</f>
        <v>132700330.69</v>
      </c>
      <c r="K167" s="934">
        <f t="shared" ref="K167:K179" si="12">F167-J167</f>
        <v>146375908.19999999</v>
      </c>
      <c r="L167" s="935" t="s">
        <v>658</v>
      </c>
      <c r="M167" s="935" t="s">
        <v>735</v>
      </c>
      <c r="N167" s="892" t="s">
        <v>726</v>
      </c>
      <c r="O167" s="958">
        <f>K167</f>
        <v>146375908.19999999</v>
      </c>
      <c r="P167" s="888"/>
      <c r="Q167"/>
    </row>
    <row r="168" spans="5:17" x14ac:dyDescent="0.25">
      <c r="E168" s="911"/>
      <c r="F168" s="934">
        <f>F145+F154</f>
        <v>4389110</v>
      </c>
      <c r="G168" s="934">
        <f t="shared" ref="G168:I170" si="13">G145+G154</f>
        <v>0</v>
      </c>
      <c r="H168" s="934">
        <f t="shared" si="13"/>
        <v>0</v>
      </c>
      <c r="I168" s="934">
        <f t="shared" si="13"/>
        <v>0</v>
      </c>
      <c r="J168" s="934">
        <f>J145+J154</f>
        <v>0</v>
      </c>
      <c r="K168" s="934">
        <f t="shared" si="12"/>
        <v>4389110</v>
      </c>
      <c r="L168" s="935" t="s">
        <v>706</v>
      </c>
      <c r="M168" s="935" t="s">
        <v>735</v>
      </c>
      <c r="N168" s="892" t="s">
        <v>751</v>
      </c>
      <c r="O168" s="958">
        <f t="shared" ref="O168:O170" si="14">K168</f>
        <v>4389110</v>
      </c>
      <c r="P168" s="888"/>
      <c r="Q168"/>
    </row>
    <row r="169" spans="5:17" x14ac:dyDescent="0.25">
      <c r="E169" s="911"/>
      <c r="F169" s="934">
        <f>F146+F155</f>
        <v>120212996.95999999</v>
      </c>
      <c r="G169" s="934">
        <f t="shared" si="13"/>
        <v>0</v>
      </c>
      <c r="H169" s="934">
        <f t="shared" si="13"/>
        <v>0</v>
      </c>
      <c r="I169" s="934">
        <f t="shared" si="13"/>
        <v>0</v>
      </c>
      <c r="J169" s="934">
        <f>J146+J155</f>
        <v>280417.12000000011</v>
      </c>
      <c r="K169" s="934">
        <f t="shared" si="12"/>
        <v>119932579.83999999</v>
      </c>
      <c r="L169" s="935" t="s">
        <v>709</v>
      </c>
      <c r="M169" s="935" t="s">
        <v>727</v>
      </c>
      <c r="N169" s="892" t="s">
        <v>751</v>
      </c>
      <c r="O169" s="958">
        <f t="shared" si="14"/>
        <v>119932579.83999999</v>
      </c>
      <c r="P169" s="888"/>
      <c r="Q169"/>
    </row>
    <row r="170" spans="5:17" x14ac:dyDescent="0.25">
      <c r="E170" s="911"/>
      <c r="F170" s="934">
        <f>F147+F156</f>
        <v>21620039.929999996</v>
      </c>
      <c r="G170" s="934">
        <f t="shared" si="13"/>
        <v>0</v>
      </c>
      <c r="H170" s="934">
        <f t="shared" si="13"/>
        <v>0</v>
      </c>
      <c r="I170" s="934">
        <f t="shared" si="13"/>
        <v>0</v>
      </c>
      <c r="J170" s="934">
        <f>J147+J156</f>
        <v>21190780.739999995</v>
      </c>
      <c r="K170" s="934">
        <f t="shared" si="12"/>
        <v>429259.19000000134</v>
      </c>
      <c r="L170" s="935" t="s">
        <v>696</v>
      </c>
      <c r="M170" s="935" t="s">
        <v>727</v>
      </c>
      <c r="N170" s="892" t="s">
        <v>726</v>
      </c>
      <c r="O170" s="958">
        <f t="shared" si="14"/>
        <v>429259.19000000134</v>
      </c>
      <c r="P170" s="888"/>
      <c r="Q170"/>
    </row>
    <row r="171" spans="5:17" x14ac:dyDescent="0.25">
      <c r="E171" s="911"/>
      <c r="F171" s="941">
        <f>F157</f>
        <v>1343074.9299999997</v>
      </c>
      <c r="G171" s="941">
        <f>G157</f>
        <v>0</v>
      </c>
      <c r="H171" s="941">
        <f>H157</f>
        <v>0</v>
      </c>
      <c r="I171" s="941">
        <f>I157</f>
        <v>0</v>
      </c>
      <c r="J171" s="941">
        <f>J157</f>
        <v>1343074.9299999997</v>
      </c>
      <c r="K171" s="934">
        <f t="shared" si="12"/>
        <v>0</v>
      </c>
      <c r="L171" s="935" t="s">
        <v>696</v>
      </c>
      <c r="M171" s="935" t="s">
        <v>723</v>
      </c>
      <c r="N171" s="892" t="s">
        <v>873</v>
      </c>
      <c r="O171" s="958">
        <f>O157</f>
        <v>0</v>
      </c>
      <c r="P171" s="888">
        <v>113</v>
      </c>
      <c r="Q171" s="958">
        <f>Q157</f>
        <v>0</v>
      </c>
    </row>
    <row r="172" spans="5:17" x14ac:dyDescent="0.25">
      <c r="E172" s="911"/>
      <c r="F172" s="934">
        <f>F158+F142</f>
        <v>22353240.249999996</v>
      </c>
      <c r="G172" s="934">
        <f>G158+G142</f>
        <v>0</v>
      </c>
      <c r="H172" s="934">
        <f>H158+H142</f>
        <v>0</v>
      </c>
      <c r="I172" s="934">
        <f>I158+I142</f>
        <v>0</v>
      </c>
      <c r="J172" s="934">
        <f>J158+J142</f>
        <v>6956573.5499999989</v>
      </c>
      <c r="K172" s="934">
        <f t="shared" si="12"/>
        <v>15396666.699999997</v>
      </c>
      <c r="L172" s="935" t="s">
        <v>668</v>
      </c>
      <c r="M172" s="935" t="s">
        <v>727</v>
      </c>
      <c r="N172" s="892" t="s">
        <v>731</v>
      </c>
      <c r="O172" s="958">
        <f>K172</f>
        <v>15396666.699999997</v>
      </c>
      <c r="P172" s="888"/>
      <c r="Q172"/>
    </row>
    <row r="173" spans="5:17" x14ac:dyDescent="0.25">
      <c r="E173" s="911"/>
      <c r="F173" s="934">
        <f>F159+F148</f>
        <v>100345258.18000001</v>
      </c>
      <c r="G173" s="934">
        <f>G159+G148</f>
        <v>0</v>
      </c>
      <c r="H173" s="934">
        <f>H159+H148</f>
        <v>0</v>
      </c>
      <c r="I173" s="934">
        <f>I159+I148</f>
        <v>0</v>
      </c>
      <c r="J173" s="934">
        <f>J159+J148</f>
        <v>39957569.799999997</v>
      </c>
      <c r="K173" s="934">
        <f t="shared" si="12"/>
        <v>60387688.38000001</v>
      </c>
      <c r="L173" s="935" t="s">
        <v>685</v>
      </c>
      <c r="M173" s="935" t="s">
        <v>727</v>
      </c>
      <c r="N173" s="892" t="s">
        <v>731</v>
      </c>
      <c r="O173" s="958">
        <f t="shared" ref="O173:O175" si="15">K173</f>
        <v>60387688.38000001</v>
      </c>
      <c r="P173" s="888"/>
      <c r="Q173"/>
    </row>
    <row r="174" spans="5:17" x14ac:dyDescent="0.25">
      <c r="E174" s="911"/>
      <c r="F174" s="934">
        <f>F149</f>
        <v>860103.18000000715</v>
      </c>
      <c r="G174" s="934">
        <f>G149</f>
        <v>0</v>
      </c>
      <c r="H174" s="934">
        <f>H149</f>
        <v>0</v>
      </c>
      <c r="I174" s="934">
        <f>I149</f>
        <v>0</v>
      </c>
      <c r="J174" s="934">
        <f>J149</f>
        <v>0</v>
      </c>
      <c r="K174" s="934">
        <f t="shared" si="12"/>
        <v>860103.18000000715</v>
      </c>
      <c r="L174" s="935" t="s">
        <v>685</v>
      </c>
      <c r="M174" s="935" t="s">
        <v>735</v>
      </c>
      <c r="N174" s="892" t="s">
        <v>731</v>
      </c>
      <c r="O174" s="958">
        <f t="shared" si="15"/>
        <v>860103.18000000715</v>
      </c>
      <c r="P174" s="888"/>
      <c r="Q174"/>
    </row>
    <row r="175" spans="5:17" x14ac:dyDescent="0.25">
      <c r="E175" s="911"/>
      <c r="F175" s="941">
        <f>F160</f>
        <v>1600000</v>
      </c>
      <c r="G175" s="941">
        <f>G160</f>
        <v>0</v>
      </c>
      <c r="H175" s="941">
        <f>H160</f>
        <v>0</v>
      </c>
      <c r="I175" s="941">
        <f>I160</f>
        <v>0</v>
      </c>
      <c r="J175" s="941">
        <f>J160</f>
        <v>0</v>
      </c>
      <c r="K175" s="934">
        <f t="shared" si="12"/>
        <v>1600000</v>
      </c>
      <c r="L175" s="935" t="s">
        <v>750</v>
      </c>
      <c r="M175" s="935" t="s">
        <v>727</v>
      </c>
      <c r="N175" s="892" t="s">
        <v>751</v>
      </c>
      <c r="O175" s="958">
        <f t="shared" si="15"/>
        <v>1600000</v>
      </c>
      <c r="P175" s="888"/>
      <c r="Q175"/>
    </row>
    <row r="176" spans="5:17" x14ac:dyDescent="0.25">
      <c r="E176" s="911"/>
      <c r="F176" s="934">
        <f>F161+F150</f>
        <v>20391295.650000006</v>
      </c>
      <c r="G176" s="934">
        <f>G161+G150</f>
        <v>0</v>
      </c>
      <c r="H176" s="934">
        <f>H161+H150</f>
        <v>0</v>
      </c>
      <c r="I176" s="934">
        <f>I161+I150</f>
        <v>0</v>
      </c>
      <c r="J176" s="934">
        <f>J161+J150</f>
        <v>572614.38000000012</v>
      </c>
      <c r="K176" s="934">
        <f t="shared" si="12"/>
        <v>19818681.270000007</v>
      </c>
      <c r="L176" s="935" t="s">
        <v>717</v>
      </c>
      <c r="M176" s="935" t="s">
        <v>727</v>
      </c>
      <c r="N176" s="892" t="s">
        <v>731</v>
      </c>
      <c r="O176" s="958">
        <f>O161+O150</f>
        <v>12741638.020000007</v>
      </c>
      <c r="P176" s="888">
        <v>340</v>
      </c>
      <c r="Q176" s="958">
        <f>Q161</f>
        <v>7077043.25</v>
      </c>
    </row>
    <row r="177" spans="5:17" x14ac:dyDescent="0.25">
      <c r="E177" s="911"/>
      <c r="F177" s="934">
        <f>F162</f>
        <v>982800</v>
      </c>
      <c r="G177" s="934">
        <f t="shared" ref="G177:I177" si="16">G162</f>
        <v>0</v>
      </c>
      <c r="H177" s="934">
        <f t="shared" si="16"/>
        <v>0</v>
      </c>
      <c r="I177" s="934">
        <f t="shared" si="16"/>
        <v>0</v>
      </c>
      <c r="J177" s="934">
        <f>J162</f>
        <v>0</v>
      </c>
      <c r="K177" s="934">
        <f t="shared" si="12"/>
        <v>982800</v>
      </c>
      <c r="L177" s="935" t="s">
        <v>831</v>
      </c>
      <c r="M177" s="935" t="s">
        <v>727</v>
      </c>
      <c r="N177" s="892" t="s">
        <v>751</v>
      </c>
      <c r="O177" s="958">
        <f>K177</f>
        <v>982800</v>
      </c>
      <c r="P177" s="888"/>
      <c r="Q177"/>
    </row>
    <row r="178" spans="5:17" x14ac:dyDescent="0.25">
      <c r="E178" s="911"/>
      <c r="F178" s="934">
        <f>F151+F163</f>
        <v>15445800.219999999</v>
      </c>
      <c r="G178" s="934">
        <f>G151+G163</f>
        <v>0</v>
      </c>
      <c r="H178" s="934">
        <f>H151+H163</f>
        <v>0</v>
      </c>
      <c r="I178" s="934">
        <f>I151+I163</f>
        <v>0</v>
      </c>
      <c r="J178" s="934">
        <f>J151+J163</f>
        <v>0</v>
      </c>
      <c r="K178" s="934">
        <f t="shared" si="12"/>
        <v>15445800.219999999</v>
      </c>
      <c r="L178" s="935" t="s">
        <v>682</v>
      </c>
      <c r="M178" s="935" t="s">
        <v>727</v>
      </c>
      <c r="N178" s="892" t="s">
        <v>751</v>
      </c>
      <c r="O178" s="958">
        <f t="shared" ref="O178:O179" si="17">K178</f>
        <v>15445800.219999999</v>
      </c>
      <c r="P178" s="888"/>
      <c r="Q178"/>
    </row>
    <row r="179" spans="5:17" x14ac:dyDescent="0.25">
      <c r="E179" s="911"/>
      <c r="F179" s="934">
        <f>F164</f>
        <v>5188510.33</v>
      </c>
      <c r="G179" s="934">
        <f t="shared" ref="G179:I179" si="18">G164</f>
        <v>0</v>
      </c>
      <c r="H179" s="934">
        <f t="shared" si="18"/>
        <v>0</v>
      </c>
      <c r="I179" s="934">
        <f t="shared" si="18"/>
        <v>0</v>
      </c>
      <c r="J179" s="934">
        <f>J164</f>
        <v>0</v>
      </c>
      <c r="K179" s="934">
        <f t="shared" si="12"/>
        <v>5188510.33</v>
      </c>
      <c r="L179" s="935" t="s">
        <v>803</v>
      </c>
      <c r="M179" s="935" t="s">
        <v>727</v>
      </c>
      <c r="N179" s="892" t="s">
        <v>751</v>
      </c>
      <c r="O179" s="958">
        <f t="shared" si="17"/>
        <v>5188510.33</v>
      </c>
      <c r="P179" s="888"/>
      <c r="Q179"/>
    </row>
    <row r="180" spans="5:17" x14ac:dyDescent="0.25">
      <c r="E180" s="911"/>
      <c r="F180" s="936">
        <f>SUBTOTAL(9,F167:F179)</f>
        <v>593808468.51999998</v>
      </c>
      <c r="G180" s="936">
        <f t="shared" ref="G180:I180" si="19">SUBTOTAL(9,G167:G179)</f>
        <v>0</v>
      </c>
      <c r="H180" s="936">
        <f t="shared" si="19"/>
        <v>0</v>
      </c>
      <c r="I180" s="936">
        <f t="shared" si="19"/>
        <v>0</v>
      </c>
      <c r="J180" s="936">
        <f>SUBTOTAL(9,J167:J179)</f>
        <v>203001361.21000004</v>
      </c>
      <c r="K180" s="936">
        <f>SUBTOTAL(9,K167:K179)</f>
        <v>390807107.30999988</v>
      </c>
      <c r="L180" s="937"/>
      <c r="M180" s="937"/>
      <c r="O180" s="949">
        <f>SUM(O167:O179)</f>
        <v>383730064.05999988</v>
      </c>
      <c r="P180" s="888"/>
      <c r="Q180" s="957">
        <f>SUM(Q167:Q179)</f>
        <v>7077043.25</v>
      </c>
    </row>
    <row r="181" spans="5:17" x14ac:dyDescent="0.25">
      <c r="K181" s="933"/>
      <c r="M181" s="892"/>
      <c r="O181"/>
      <c r="P181" s="959">
        <f>O180+Q180</f>
        <v>390807107.30999988</v>
      </c>
      <c r="Q181"/>
    </row>
    <row r="182" spans="5:17" x14ac:dyDescent="0.25">
      <c r="K182" s="933"/>
      <c r="M182" s="892"/>
      <c r="O182"/>
      <c r="P182" s="888" t="b">
        <f>P181=K180</f>
        <v>1</v>
      </c>
      <c r="Q182"/>
    </row>
    <row r="183" spans="5:17" x14ac:dyDescent="0.25">
      <c r="K183" s="933"/>
      <c r="M183" s="892"/>
      <c r="O183"/>
      <c r="P183" s="888"/>
      <c r="Q183"/>
    </row>
    <row r="184" spans="5:17" x14ac:dyDescent="0.25">
      <c r="K184" s="933"/>
      <c r="M184" s="892"/>
      <c r="N184" s="960" t="s">
        <v>726</v>
      </c>
      <c r="O184">
        <v>243</v>
      </c>
      <c r="P184" s="959">
        <f>O167</f>
        <v>146375908.19999999</v>
      </c>
      <c r="Q184"/>
    </row>
    <row r="185" spans="5:17" x14ac:dyDescent="0.25">
      <c r="K185" s="933"/>
      <c r="M185" s="892"/>
      <c r="N185" s="960" t="s">
        <v>726</v>
      </c>
      <c r="O185">
        <v>244</v>
      </c>
      <c r="P185" s="959">
        <f>O170</f>
        <v>429259.19000000134</v>
      </c>
      <c r="Q185"/>
    </row>
    <row r="186" spans="5:17" x14ac:dyDescent="0.25">
      <c r="K186" s="933"/>
      <c r="M186" s="892"/>
      <c r="N186" s="960" t="s">
        <v>751</v>
      </c>
      <c r="O186">
        <v>243</v>
      </c>
      <c r="P186" s="959">
        <f>O168</f>
        <v>4389110</v>
      </c>
      <c r="Q186"/>
    </row>
    <row r="187" spans="5:17" x14ac:dyDescent="0.25">
      <c r="K187" s="933"/>
      <c r="M187" s="892"/>
      <c r="N187" s="960" t="s">
        <v>751</v>
      </c>
      <c r="O187">
        <v>244</v>
      </c>
      <c r="P187" s="978">
        <f>O169+O175+O177+O178+O179</f>
        <v>143149690.39000002</v>
      </c>
      <c r="Q187"/>
    </row>
    <row r="188" spans="5:17" x14ac:dyDescent="0.25">
      <c r="K188" s="933"/>
      <c r="M188" s="892"/>
      <c r="N188" s="960" t="s">
        <v>731</v>
      </c>
      <c r="O188">
        <v>243</v>
      </c>
      <c r="P188" s="959">
        <f>O174</f>
        <v>860103.18000000715</v>
      </c>
      <c r="Q188"/>
    </row>
    <row r="189" spans="5:17" x14ac:dyDescent="0.25">
      <c r="K189" s="933"/>
      <c r="M189" s="892"/>
      <c r="N189" s="960" t="s">
        <v>731</v>
      </c>
      <c r="O189">
        <v>244</v>
      </c>
      <c r="P189" s="959">
        <f>O172+O173+O176</f>
        <v>88525993.100000024</v>
      </c>
      <c r="Q189"/>
    </row>
    <row r="190" spans="5:17" x14ac:dyDescent="0.25">
      <c r="K190" s="933"/>
      <c r="M190" s="892"/>
      <c r="N190" s="960" t="s">
        <v>732</v>
      </c>
      <c r="O190">
        <v>243</v>
      </c>
      <c r="P190" s="888"/>
      <c r="Q190"/>
    </row>
    <row r="191" spans="5:17" x14ac:dyDescent="0.25">
      <c r="K191" s="933"/>
      <c r="M191" s="892"/>
      <c r="N191" s="960" t="s">
        <v>732</v>
      </c>
      <c r="O191">
        <v>244</v>
      </c>
      <c r="P191" s="959">
        <f>Q176</f>
        <v>7077043.25</v>
      </c>
      <c r="Q191"/>
    </row>
    <row r="192" spans="5:17" x14ac:dyDescent="0.25">
      <c r="K192" s="933"/>
      <c r="M192" s="892"/>
      <c r="O192"/>
      <c r="P192" s="959">
        <f>SUM(P184:P191)</f>
        <v>390807107.31</v>
      </c>
      <c r="Q192"/>
    </row>
    <row r="193" spans="11:17" x14ac:dyDescent="0.25">
      <c r="K193" s="933"/>
      <c r="M193" s="892"/>
      <c r="O193"/>
      <c r="P193" s="888" t="b">
        <f>P181=K180</f>
        <v>1</v>
      </c>
      <c r="Q193"/>
    </row>
    <row r="194" spans="11:17" x14ac:dyDescent="0.25">
      <c r="K194" s="933"/>
      <c r="M194" s="892"/>
      <c r="O194"/>
      <c r="P194" s="888"/>
      <c r="Q194"/>
    </row>
  </sheetData>
  <autoFilter ref="B10:DW136"/>
  <mergeCells count="70">
    <mergeCell ref="A126:A127"/>
    <mergeCell ref="A129:A130"/>
    <mergeCell ref="A90:A91"/>
    <mergeCell ref="A93:A94"/>
    <mergeCell ref="A97:A98"/>
    <mergeCell ref="A99:A102"/>
    <mergeCell ref="A124:A125"/>
    <mergeCell ref="A61:A62"/>
    <mergeCell ref="A67:A68"/>
    <mergeCell ref="A75:A76"/>
    <mergeCell ref="A77:A79"/>
    <mergeCell ref="A87:A89"/>
    <mergeCell ref="A34:A36"/>
    <mergeCell ref="A38:A39"/>
    <mergeCell ref="A41:A42"/>
    <mergeCell ref="A44:A45"/>
    <mergeCell ref="A46:A48"/>
    <mergeCell ref="B1:N1"/>
    <mergeCell ref="B9:N9"/>
    <mergeCell ref="B30:M30"/>
    <mergeCell ref="D34:D36"/>
    <mergeCell ref="B38:B39"/>
    <mergeCell ref="D38:D39"/>
    <mergeCell ref="C38:C39"/>
    <mergeCell ref="C34:C36"/>
    <mergeCell ref="B41:B42"/>
    <mergeCell ref="D41:D42"/>
    <mergeCell ref="B44:B45"/>
    <mergeCell ref="D44:D45"/>
    <mergeCell ref="B46:B48"/>
    <mergeCell ref="D46:D48"/>
    <mergeCell ref="C41:C42"/>
    <mergeCell ref="C44:C45"/>
    <mergeCell ref="C46:C48"/>
    <mergeCell ref="B61:B62"/>
    <mergeCell ref="D61:D62"/>
    <mergeCell ref="B67:B68"/>
    <mergeCell ref="D67:D68"/>
    <mergeCell ref="B75:B76"/>
    <mergeCell ref="D75:D76"/>
    <mergeCell ref="C61:C62"/>
    <mergeCell ref="C67:C68"/>
    <mergeCell ref="C75:C76"/>
    <mergeCell ref="B77:B79"/>
    <mergeCell ref="D77:D79"/>
    <mergeCell ref="B87:B89"/>
    <mergeCell ref="D87:D89"/>
    <mergeCell ref="B90:B91"/>
    <mergeCell ref="D90:D91"/>
    <mergeCell ref="C77:C79"/>
    <mergeCell ref="C87:C89"/>
    <mergeCell ref="C90:C91"/>
    <mergeCell ref="B93:B94"/>
    <mergeCell ref="D93:D94"/>
    <mergeCell ref="B97:B98"/>
    <mergeCell ref="D97:D98"/>
    <mergeCell ref="B99:B102"/>
    <mergeCell ref="D99:D102"/>
    <mergeCell ref="C93:C94"/>
    <mergeCell ref="C97:C98"/>
    <mergeCell ref="C99:C102"/>
    <mergeCell ref="B124:B125"/>
    <mergeCell ref="D124:D125"/>
    <mergeCell ref="B126:B127"/>
    <mergeCell ref="D126:D127"/>
    <mergeCell ref="B129:B130"/>
    <mergeCell ref="D129:D130"/>
    <mergeCell ref="C124:C125"/>
    <mergeCell ref="C126:C127"/>
    <mergeCell ref="C129:C130"/>
  </mergeCells>
  <pageMargins left="0.11811023622047245" right="0.11811023622047245" top="0.15748031496062992" bottom="0.15748031496062992" header="0.31496062992125984" footer="0.31496062992125984"/>
  <pageSetup paperSize="8" scale="42" fitToHeight="2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50"/>
    <pageSetUpPr fitToPage="1"/>
  </sheetPr>
  <dimension ref="A1:U80"/>
  <sheetViews>
    <sheetView showZeros="0" zoomScale="90" zoomScaleNormal="90" zoomScaleSheetLayoutView="100" workbookViewId="0">
      <pane xSplit="4" ySplit="9" topLeftCell="E34" activePane="bottomRight" state="frozen"/>
      <selection pane="topRight" activeCell="E1" sqref="E1"/>
      <selection pane="bottomLeft" activeCell="A9" sqref="A9"/>
      <selection pane="bottomRight" activeCell="J55" sqref="J55"/>
    </sheetView>
  </sheetViews>
  <sheetFormatPr defaultColWidth="9.140625" defaultRowHeight="15" x14ac:dyDescent="0.25"/>
  <cols>
    <col min="1" max="1" width="45" style="117" customWidth="1"/>
    <col min="2" max="2" width="9" style="117" customWidth="1"/>
    <col min="3" max="3" width="17.85546875" style="124" customWidth="1"/>
    <col min="4" max="4" width="18.42578125" style="117" customWidth="1"/>
    <col min="5" max="5" width="18.85546875" style="117" customWidth="1"/>
    <col min="6" max="10" width="20.28515625" style="117" customWidth="1"/>
    <col min="11" max="11" width="16.7109375" style="117" customWidth="1"/>
    <col min="12" max="13" width="16.7109375" style="125" customWidth="1"/>
    <col min="14" max="15" width="17.5703125" style="117" customWidth="1"/>
    <col min="16" max="16" width="18" style="117" customWidth="1"/>
    <col min="17" max="17" width="9.5703125" style="117" customWidth="1"/>
    <col min="18" max="18" width="15.42578125" style="117" hidden="1" customWidth="1"/>
    <col min="19" max="19" width="17.140625" style="117" hidden="1" customWidth="1"/>
    <col min="20" max="20" width="15.140625" style="117" hidden="1" customWidth="1"/>
    <col min="21" max="21" width="14" style="117" customWidth="1"/>
    <col min="22" max="22" width="13.85546875" style="117" customWidth="1"/>
    <col min="23" max="25" width="9.140625" style="117" customWidth="1"/>
    <col min="26" max="16384" width="9.140625" style="117"/>
  </cols>
  <sheetData>
    <row r="1" spans="1:20" ht="15.75" x14ac:dyDescent="0.25">
      <c r="A1" s="123" t="s">
        <v>131</v>
      </c>
      <c r="F1" s="111"/>
      <c r="G1" s="111"/>
    </row>
    <row r="2" spans="1:20" ht="15.75" x14ac:dyDescent="0.25">
      <c r="A2" s="126" t="s">
        <v>132</v>
      </c>
      <c r="F2" s="111"/>
      <c r="G2" s="111"/>
      <c r="R2" s="127" t="s">
        <v>240</v>
      </c>
      <c r="S2" s="127" t="s">
        <v>241</v>
      </c>
    </row>
    <row r="3" spans="1:20" ht="15.75" x14ac:dyDescent="0.25">
      <c r="A3" s="126"/>
      <c r="F3" s="111"/>
      <c r="G3" s="111"/>
      <c r="H3" s="128"/>
      <c r="N3" s="111"/>
    </row>
    <row r="4" spans="1:20" ht="15.75" x14ac:dyDescent="0.25">
      <c r="A4" s="129"/>
      <c r="N4" s="111"/>
    </row>
    <row r="5" spans="1:20" ht="15.75" x14ac:dyDescent="0.25">
      <c r="A5" s="1383" t="s">
        <v>88</v>
      </c>
      <c r="B5" s="1383" t="s">
        <v>133</v>
      </c>
      <c r="C5" s="1383" t="s">
        <v>134</v>
      </c>
      <c r="D5" s="1383" t="s">
        <v>135</v>
      </c>
      <c r="E5" s="1383"/>
      <c r="F5" s="1383"/>
      <c r="G5" s="1383"/>
      <c r="H5" s="1383"/>
      <c r="I5" s="1383"/>
      <c r="J5" s="1383"/>
      <c r="K5" s="1383"/>
      <c r="L5" s="1383"/>
      <c r="M5" s="1383"/>
      <c r="N5" s="1383"/>
      <c r="O5" s="1383"/>
      <c r="P5" s="1383"/>
    </row>
    <row r="6" spans="1:20" ht="15.75" customHeight="1" x14ac:dyDescent="0.25">
      <c r="A6" s="1383"/>
      <c r="B6" s="1383"/>
      <c r="C6" s="1383"/>
      <c r="D6" s="1383" t="s">
        <v>364</v>
      </c>
      <c r="E6" s="1383" t="s">
        <v>137</v>
      </c>
      <c r="F6" s="1383"/>
      <c r="G6" s="1383"/>
      <c r="H6" s="1383"/>
      <c r="I6" s="1383"/>
      <c r="J6" s="1383"/>
      <c r="K6" s="1383"/>
      <c r="L6" s="1383"/>
      <c r="M6" s="1383"/>
      <c r="N6" s="1383"/>
      <c r="O6" s="1383"/>
      <c r="P6" s="1383"/>
    </row>
    <row r="7" spans="1:20" ht="63" customHeight="1" x14ac:dyDescent="0.25">
      <c r="A7" s="1383"/>
      <c r="B7" s="1383"/>
      <c r="C7" s="1383"/>
      <c r="D7" s="1383"/>
      <c r="E7" s="1383" t="s">
        <v>455</v>
      </c>
      <c r="F7" s="1383" t="s">
        <v>456</v>
      </c>
      <c r="G7" s="1383" t="s">
        <v>457</v>
      </c>
      <c r="H7" s="1383" t="s">
        <v>141</v>
      </c>
      <c r="I7" s="1383" t="s">
        <v>458</v>
      </c>
      <c r="J7" s="1383" t="s">
        <v>142</v>
      </c>
      <c r="K7" s="1383" t="s">
        <v>459</v>
      </c>
      <c r="L7" s="1383" t="s">
        <v>460</v>
      </c>
      <c r="M7" s="1559" t="s">
        <v>461</v>
      </c>
      <c r="N7" s="1560"/>
      <c r="O7" s="1561"/>
      <c r="P7" s="1383" t="s">
        <v>462</v>
      </c>
    </row>
    <row r="8" spans="1:20" ht="63.75" customHeight="1" x14ac:dyDescent="0.25">
      <c r="A8" s="1383"/>
      <c r="B8" s="1383"/>
      <c r="C8" s="1383"/>
      <c r="D8" s="1383"/>
      <c r="E8" s="1383"/>
      <c r="F8" s="1383"/>
      <c r="G8" s="1383"/>
      <c r="H8" s="1383"/>
      <c r="I8" s="1383"/>
      <c r="J8" s="1383"/>
      <c r="K8" s="1383"/>
      <c r="L8" s="1383"/>
      <c r="M8" s="1562"/>
      <c r="N8" s="1563"/>
      <c r="O8" s="1564"/>
      <c r="P8" s="1383"/>
    </row>
    <row r="9" spans="1:20" ht="15.75" x14ac:dyDescent="0.25">
      <c r="A9" s="556">
        <v>1</v>
      </c>
      <c r="B9" s="556">
        <v>2</v>
      </c>
      <c r="C9" s="555">
        <v>3</v>
      </c>
      <c r="D9" s="556">
        <v>4</v>
      </c>
      <c r="E9" s="556">
        <v>5</v>
      </c>
      <c r="F9" s="554">
        <v>6</v>
      </c>
      <c r="G9" s="554"/>
      <c r="H9" s="554"/>
      <c r="I9" s="554"/>
      <c r="J9" s="554"/>
      <c r="K9" s="554">
        <v>7</v>
      </c>
      <c r="L9" s="265">
        <v>8</v>
      </c>
      <c r="M9" s="554">
        <v>9</v>
      </c>
      <c r="O9" s="554"/>
      <c r="P9" s="554">
        <v>10</v>
      </c>
    </row>
    <row r="10" spans="1:20" s="115" customFormat="1" ht="15.75" x14ac:dyDescent="0.25">
      <c r="A10" s="130" t="s">
        <v>148</v>
      </c>
      <c r="B10" s="557">
        <v>100</v>
      </c>
      <c r="C10" s="114" t="s">
        <v>149</v>
      </c>
      <c r="D10" s="59">
        <f>F10+K10+L10+M10+P10+E10</f>
        <v>1172493780.1199999</v>
      </c>
      <c r="E10" s="59">
        <f>SUM(E13)</f>
        <v>169032000</v>
      </c>
      <c r="F10" s="59">
        <f>F19</f>
        <v>632586000</v>
      </c>
      <c r="G10" s="59">
        <f>G19</f>
        <v>581122700</v>
      </c>
      <c r="H10" s="59">
        <f>H19</f>
        <v>0</v>
      </c>
      <c r="I10" s="59">
        <f>I19</f>
        <v>22131000</v>
      </c>
      <c r="J10" s="59">
        <f>J19</f>
        <v>29332300</v>
      </c>
      <c r="K10" s="59">
        <v>0</v>
      </c>
      <c r="L10" s="131">
        <f>L12+L13</f>
        <v>1800000</v>
      </c>
      <c r="M10" s="59">
        <f>N10+O10</f>
        <v>369075780.12</v>
      </c>
      <c r="N10" s="59">
        <f>N16+N20</f>
        <v>274491931</v>
      </c>
      <c r="O10" s="59">
        <f>O12+O13+O17+O18+O19+O20+O21</f>
        <v>94583849.120000005</v>
      </c>
      <c r="P10" s="59">
        <v>0</v>
      </c>
      <c r="R10" s="131">
        <v>343352551.449</v>
      </c>
      <c r="S10" s="131">
        <v>275145687.99900001</v>
      </c>
      <c r="T10" s="131">
        <v>68206863.450000003</v>
      </c>
    </row>
    <row r="11" spans="1:20" ht="15.75" x14ac:dyDescent="0.25">
      <c r="A11" s="132" t="s">
        <v>137</v>
      </c>
      <c r="B11" s="133"/>
      <c r="C11" s="134"/>
      <c r="D11" s="64"/>
      <c r="E11" s="556"/>
      <c r="F11" s="556"/>
      <c r="G11" s="556"/>
      <c r="H11" s="556"/>
      <c r="I11" s="556"/>
      <c r="J11" s="556"/>
      <c r="K11" s="556"/>
      <c r="L11" s="62"/>
      <c r="M11" s="59">
        <f t="shared" ref="M11:M73" si="0">N11+O11</f>
        <v>0</v>
      </c>
      <c r="N11" s="267"/>
      <c r="O11" s="267"/>
      <c r="P11" s="555"/>
    </row>
    <row r="12" spans="1:20" ht="15.75" x14ac:dyDescent="0.25">
      <c r="A12" s="132" t="s">
        <v>150</v>
      </c>
      <c r="B12" s="556">
        <v>110</v>
      </c>
      <c r="C12" s="134"/>
      <c r="D12" s="64"/>
      <c r="E12" s="64"/>
      <c r="F12" s="562"/>
      <c r="G12" s="562"/>
      <c r="H12" s="562"/>
      <c r="I12" s="562"/>
      <c r="J12" s="562"/>
      <c r="K12" s="133"/>
      <c r="L12" s="62"/>
      <c r="M12" s="59">
        <f t="shared" si="0"/>
        <v>0</v>
      </c>
      <c r="N12" s="267"/>
      <c r="O12" s="267"/>
      <c r="P12" s="134"/>
      <c r="R12" s="111"/>
      <c r="S12" s="111">
        <f>S10-N10</f>
        <v>653756.99900001287</v>
      </c>
      <c r="T12" s="111">
        <f>T10-O10</f>
        <v>-26376985.670000002</v>
      </c>
    </row>
    <row r="13" spans="1:20" ht="15.75" x14ac:dyDescent="0.25">
      <c r="A13" s="132" t="s">
        <v>151</v>
      </c>
      <c r="B13" s="556">
        <v>120</v>
      </c>
      <c r="C13" s="134"/>
      <c r="D13" s="64">
        <f>E13+F13+L13+M13</f>
        <v>170832000</v>
      </c>
      <c r="E13" s="64">
        <f>E14+E15</f>
        <v>169032000</v>
      </c>
      <c r="F13" s="556"/>
      <c r="G13" s="556"/>
      <c r="H13" s="556"/>
      <c r="I13" s="556"/>
      <c r="J13" s="556"/>
      <c r="K13" s="556"/>
      <c r="L13" s="62">
        <f>SUM(L14:L16)</f>
        <v>1800000</v>
      </c>
      <c r="M13" s="59">
        <f t="shared" si="0"/>
        <v>0</v>
      </c>
      <c r="N13" s="64"/>
      <c r="O13" s="64"/>
      <c r="P13" s="134"/>
    </row>
    <row r="14" spans="1:20" ht="15.75" x14ac:dyDescent="0.25">
      <c r="A14" s="132" t="s">
        <v>152</v>
      </c>
      <c r="B14" s="133"/>
      <c r="C14" s="134"/>
      <c r="D14" s="64">
        <f>E14+F14+L14+M14</f>
        <v>170832000</v>
      </c>
      <c r="E14" s="266">
        <v>169032000</v>
      </c>
      <c r="F14" s="556"/>
      <c r="G14" s="556"/>
      <c r="H14" s="556"/>
      <c r="I14" s="556"/>
      <c r="J14" s="556"/>
      <c r="K14" s="556"/>
      <c r="L14" s="266">
        <v>1800000</v>
      </c>
      <c r="M14" s="59">
        <f t="shared" si="0"/>
        <v>0</v>
      </c>
      <c r="N14" s="64"/>
      <c r="O14" s="64"/>
      <c r="P14" s="134"/>
    </row>
    <row r="15" spans="1:20" ht="15.75" x14ac:dyDescent="0.25">
      <c r="A15" s="132" t="s">
        <v>153</v>
      </c>
      <c r="B15" s="133"/>
      <c r="C15" s="134"/>
      <c r="D15" s="64"/>
      <c r="E15" s="266"/>
      <c r="F15" s="556"/>
      <c r="G15" s="556"/>
      <c r="H15" s="556"/>
      <c r="I15" s="556"/>
      <c r="J15" s="556"/>
      <c r="K15" s="556"/>
      <c r="L15" s="266"/>
      <c r="M15" s="59">
        <f t="shared" si="0"/>
        <v>0</v>
      </c>
      <c r="N15" s="267"/>
      <c r="O15" s="267"/>
      <c r="P15" s="134"/>
    </row>
    <row r="16" spans="1:20" ht="15.75" x14ac:dyDescent="0.25">
      <c r="A16" s="132" t="s">
        <v>154</v>
      </c>
      <c r="B16" s="133"/>
      <c r="C16" s="134"/>
      <c r="D16" s="64">
        <f>E16+F16+L16+M16</f>
        <v>18564470</v>
      </c>
      <c r="E16" s="266"/>
      <c r="F16" s="556"/>
      <c r="G16" s="556"/>
      <c r="H16" s="556"/>
      <c r="I16" s="556"/>
      <c r="J16" s="556"/>
      <c r="K16" s="556"/>
      <c r="L16" s="62"/>
      <c r="M16" s="64">
        <f t="shared" si="0"/>
        <v>18564470</v>
      </c>
      <c r="N16" s="64">
        <v>18564470</v>
      </c>
      <c r="O16" s="64"/>
      <c r="P16" s="134"/>
    </row>
    <row r="17" spans="1:18" ht="31.5" x14ac:dyDescent="0.25">
      <c r="A17" s="132" t="s">
        <v>155</v>
      </c>
      <c r="B17" s="556">
        <v>130</v>
      </c>
      <c r="C17" s="134"/>
      <c r="D17" s="64"/>
      <c r="E17" s="555"/>
      <c r="F17" s="555"/>
      <c r="G17" s="555"/>
      <c r="H17" s="555"/>
      <c r="I17" s="555"/>
      <c r="J17" s="555"/>
      <c r="K17" s="555"/>
      <c r="L17" s="555"/>
      <c r="M17" s="64">
        <f t="shared" si="0"/>
        <v>0</v>
      </c>
      <c r="N17" s="267"/>
      <c r="O17" s="267"/>
      <c r="P17" s="555" t="s">
        <v>149</v>
      </c>
    </row>
    <row r="18" spans="1:18" ht="63.75" customHeight="1" x14ac:dyDescent="0.25">
      <c r="A18" s="132" t="s">
        <v>156</v>
      </c>
      <c r="B18" s="556">
        <v>140</v>
      </c>
      <c r="C18" s="134"/>
      <c r="D18" s="64"/>
      <c r="E18" s="555"/>
      <c r="F18" s="555"/>
      <c r="G18" s="555"/>
      <c r="H18" s="555"/>
      <c r="I18" s="555"/>
      <c r="J18" s="555"/>
      <c r="K18" s="555"/>
      <c r="L18" s="555"/>
      <c r="M18" s="64">
        <f t="shared" si="0"/>
        <v>0</v>
      </c>
      <c r="N18" s="267"/>
      <c r="O18" s="267"/>
      <c r="P18" s="555" t="s">
        <v>149</v>
      </c>
    </row>
    <row r="19" spans="1:18" ht="18.75" customHeight="1" x14ac:dyDescent="0.25">
      <c r="A19" s="132" t="s">
        <v>157</v>
      </c>
      <c r="B19" s="556">
        <v>150</v>
      </c>
      <c r="C19" s="134"/>
      <c r="D19" s="64">
        <f>E19+F19+L19+M19</f>
        <v>632586000</v>
      </c>
      <c r="E19" s="555"/>
      <c r="F19" s="64">
        <f>G19+I19+J19</f>
        <v>632586000</v>
      </c>
      <c r="G19" s="64">
        <f>632253700-29000000-22131000</f>
        <v>581122700</v>
      </c>
      <c r="H19" s="64"/>
      <c r="I19" s="64">
        <f>I22</f>
        <v>22131000</v>
      </c>
      <c r="J19" s="64">
        <v>29332300</v>
      </c>
      <c r="K19" s="134"/>
      <c r="L19" s="555"/>
      <c r="M19" s="64">
        <f t="shared" si="0"/>
        <v>0</v>
      </c>
      <c r="N19" s="64"/>
      <c r="O19" s="64"/>
      <c r="P19" s="555" t="s">
        <v>149</v>
      </c>
    </row>
    <row r="20" spans="1:18" ht="19.5" customHeight="1" x14ac:dyDescent="0.25">
      <c r="A20" s="132" t="s">
        <v>158</v>
      </c>
      <c r="B20" s="556">
        <v>160</v>
      </c>
      <c r="C20" s="134"/>
      <c r="D20" s="64">
        <f>E20+F20+L20+M20</f>
        <v>350511310.12</v>
      </c>
      <c r="E20" s="555"/>
      <c r="F20" s="555"/>
      <c r="G20" s="64"/>
      <c r="H20" s="555"/>
      <c r="I20" s="555"/>
      <c r="J20" s="555"/>
      <c r="K20" s="555"/>
      <c r="L20" s="555"/>
      <c r="M20" s="64">
        <f t="shared" si="0"/>
        <v>350511310.12</v>
      </c>
      <c r="N20" s="64">
        <v>255927461</v>
      </c>
      <c r="O20" s="64">
        <v>94583849.120000005</v>
      </c>
      <c r="P20" s="133"/>
    </row>
    <row r="21" spans="1:18" ht="15.75" x14ac:dyDescent="0.25">
      <c r="A21" s="132" t="s">
        <v>159</v>
      </c>
      <c r="B21" s="556">
        <v>180</v>
      </c>
      <c r="C21" s="555" t="s">
        <v>149</v>
      </c>
      <c r="D21" s="64"/>
      <c r="E21" s="556"/>
      <c r="F21" s="556"/>
      <c r="G21" s="266"/>
      <c r="H21" s="556"/>
      <c r="I21" s="556"/>
      <c r="J21" s="556"/>
      <c r="K21" s="556"/>
      <c r="L21" s="561"/>
      <c r="M21" s="59">
        <f t="shared" si="0"/>
        <v>0</v>
      </c>
      <c r="N21" s="267"/>
      <c r="O21" s="267"/>
      <c r="P21" s="556" t="s">
        <v>149</v>
      </c>
    </row>
    <row r="22" spans="1:18" s="115" customFormat="1" ht="15.75" x14ac:dyDescent="0.2">
      <c r="A22" s="130" t="s">
        <v>160</v>
      </c>
      <c r="B22" s="557">
        <v>200</v>
      </c>
      <c r="C22" s="114" t="s">
        <v>149</v>
      </c>
      <c r="D22" s="59">
        <f>E22+F22+L22+M22</f>
        <v>1172493780.1196175</v>
      </c>
      <c r="E22" s="59">
        <f>E23+E28+E40+E41+E66+E44+E32</f>
        <v>169032000.00186002</v>
      </c>
      <c r="F22" s="59">
        <f>F23+F28+F40+F41+F66+F44+F32</f>
        <v>632585999.99820006</v>
      </c>
      <c r="G22" s="59">
        <f>G23+G32+G44</f>
        <v>581122700</v>
      </c>
      <c r="H22" s="59">
        <f t="shared" ref="H22" si="1">H23+H28+H40+H41+H66+H44+H32</f>
        <v>0</v>
      </c>
      <c r="I22" s="59">
        <f>I23+I28+I40+I41+I66+I44+I32</f>
        <v>22131000</v>
      </c>
      <c r="J22" s="59">
        <f>J23+J28+J40+J41+J66+J44+J32</f>
        <v>29332299.998199999</v>
      </c>
      <c r="K22" s="59">
        <f>K23+K28+K35+K40+K41+K66+K44</f>
        <v>0</v>
      </c>
      <c r="L22" s="59">
        <f>L23+L28+L40+L41+L44+L66+L32</f>
        <v>1800000</v>
      </c>
      <c r="M22" s="59">
        <f t="shared" si="0"/>
        <v>369075780.1195575</v>
      </c>
      <c r="N22" s="59">
        <f t="shared" ref="N22:O22" si="2">N23+N28+N40+N41+N44+N66+N32</f>
        <v>274491930.9995575</v>
      </c>
      <c r="O22" s="59">
        <f t="shared" si="2"/>
        <v>94583849.120000005</v>
      </c>
      <c r="P22" s="59">
        <f>P23+P28+P35+P40+P41+P66+P44</f>
        <v>0</v>
      </c>
      <c r="R22" s="135"/>
    </row>
    <row r="23" spans="1:18" s="115" customFormat="1" ht="18.75" customHeight="1" x14ac:dyDescent="0.2">
      <c r="A23" s="130" t="s">
        <v>161</v>
      </c>
      <c r="B23" s="557">
        <v>210</v>
      </c>
      <c r="C23" s="114">
        <v>110</v>
      </c>
      <c r="D23" s="59">
        <f>E23+F23+L23+M23</f>
        <v>378174132.77141756</v>
      </c>
      <c r="E23" s="59">
        <f>E25+E26+E27</f>
        <v>121144570.42186001</v>
      </c>
      <c r="F23" s="59">
        <f>F25+F26+F27</f>
        <v>28621974.200000003</v>
      </c>
      <c r="G23" s="59">
        <f>G25+G26</f>
        <v>0</v>
      </c>
      <c r="H23" s="59">
        <f t="shared" ref="H23:P23" si="3">H25+H26+H27</f>
        <v>0</v>
      </c>
      <c r="I23" s="59">
        <f t="shared" si="3"/>
        <v>9540874.1999999993</v>
      </c>
      <c r="J23" s="59">
        <f t="shared" si="3"/>
        <v>19081100</v>
      </c>
      <c r="K23" s="59">
        <f t="shared" si="3"/>
        <v>0</v>
      </c>
      <c r="L23" s="59">
        <f>L25+L26+L27</f>
        <v>1730000</v>
      </c>
      <c r="M23" s="59">
        <f t="shared" si="0"/>
        <v>226677588.14955753</v>
      </c>
      <c r="N23" s="59">
        <f t="shared" ref="N23:O23" si="4">N25+N26+N27</f>
        <v>163848862.20955753</v>
      </c>
      <c r="O23" s="59">
        <f t="shared" si="4"/>
        <v>62828725.939999998</v>
      </c>
      <c r="P23" s="59">
        <f t="shared" si="3"/>
        <v>0</v>
      </c>
    </row>
    <row r="24" spans="1:18" ht="15.75" x14ac:dyDescent="0.25">
      <c r="A24" s="132" t="s">
        <v>92</v>
      </c>
      <c r="B24" s="133"/>
      <c r="C24" s="134"/>
      <c r="D24" s="64"/>
      <c r="E24" s="64"/>
      <c r="F24" s="64"/>
      <c r="G24" s="64"/>
      <c r="H24" s="64"/>
      <c r="I24" s="64"/>
      <c r="J24" s="64"/>
      <c r="K24" s="64"/>
      <c r="L24" s="64"/>
      <c r="M24" s="59">
        <f t="shared" si="0"/>
        <v>0</v>
      </c>
      <c r="N24" s="64"/>
      <c r="O24" s="64"/>
      <c r="P24" s="555"/>
    </row>
    <row r="25" spans="1:18" ht="16.5" customHeight="1" x14ac:dyDescent="0.25">
      <c r="A25" s="132" t="s">
        <v>162</v>
      </c>
      <c r="B25" s="1385">
        <v>211</v>
      </c>
      <c r="C25" s="555">
        <v>111</v>
      </c>
      <c r="D25" s="64">
        <f>E25+F25+L25+M25</f>
        <v>289393020.88159758</v>
      </c>
      <c r="E25" s="64">
        <v>92831081.430000007</v>
      </c>
      <c r="F25" s="64">
        <f>SUM(G25:J25)</f>
        <v>21983080.370000001</v>
      </c>
      <c r="G25" s="64"/>
      <c r="H25" s="64"/>
      <c r="I25" s="64">
        <v>7327860.3700000001</v>
      </c>
      <c r="J25" s="64">
        <v>14655220</v>
      </c>
      <c r="K25" s="64"/>
      <c r="L25" s="64">
        <v>1328725.04</v>
      </c>
      <c r="M25" s="64">
        <f t="shared" si="0"/>
        <v>173250134.04159755</v>
      </c>
      <c r="N25" s="64">
        <v>125039160.68159753</v>
      </c>
      <c r="O25" s="64">
        <v>48210973.359999999</v>
      </c>
      <c r="P25" s="555"/>
    </row>
    <row r="26" spans="1:18" ht="18.75" customHeight="1" x14ac:dyDescent="0.25">
      <c r="A26" s="132" t="s">
        <v>163</v>
      </c>
      <c r="B26" s="1385"/>
      <c r="C26" s="555">
        <v>119</v>
      </c>
      <c r="D26" s="64">
        <f>E26+F26+L26+M26</f>
        <v>87396695.849820003</v>
      </c>
      <c r="E26" s="64">
        <f>E25*30.2%</f>
        <v>28034986.59186</v>
      </c>
      <c r="F26" s="64">
        <f>SUM(G26:J26)</f>
        <v>6638893.8300000001</v>
      </c>
      <c r="G26" s="64"/>
      <c r="H26" s="64"/>
      <c r="I26" s="64">
        <v>2213013.83</v>
      </c>
      <c r="J26" s="64">
        <v>4425880</v>
      </c>
      <c r="K26" s="64"/>
      <c r="L26" s="64">
        <v>401274.96</v>
      </c>
      <c r="M26" s="64">
        <f t="shared" si="0"/>
        <v>52321540.46796</v>
      </c>
      <c r="N26" s="64">
        <v>37761826.527960002</v>
      </c>
      <c r="O26" s="64">
        <v>14559713.939999999</v>
      </c>
      <c r="P26" s="555"/>
    </row>
    <row r="27" spans="1:18" ht="31.5" x14ac:dyDescent="0.25">
      <c r="A27" s="132" t="s">
        <v>164</v>
      </c>
      <c r="B27" s="1385"/>
      <c r="C27" s="555">
        <v>112</v>
      </c>
      <c r="D27" s="64">
        <f>E27+F27+L27+M27</f>
        <v>1384416.04</v>
      </c>
      <c r="E27" s="64">
        <v>278502.40000000002</v>
      </c>
      <c r="F27" s="64">
        <f t="shared" ref="F27:F34" si="5">SUM(G27:J27)</f>
        <v>0</v>
      </c>
      <c r="G27" s="64" t="s">
        <v>252</v>
      </c>
      <c r="H27" s="64"/>
      <c r="I27" s="64"/>
      <c r="J27" s="64"/>
      <c r="K27" s="64"/>
      <c r="L27" s="64"/>
      <c r="M27" s="64">
        <f t="shared" si="0"/>
        <v>1105913.6399999999</v>
      </c>
      <c r="N27" s="64">
        <v>1047875</v>
      </c>
      <c r="O27" s="64">
        <v>58038.64</v>
      </c>
      <c r="P27" s="555"/>
    </row>
    <row r="28" spans="1:18" s="115" customFormat="1" ht="31.5" x14ac:dyDescent="0.2">
      <c r="A28" s="130" t="s">
        <v>165</v>
      </c>
      <c r="B28" s="1385">
        <v>220</v>
      </c>
      <c r="C28" s="114">
        <v>300</v>
      </c>
      <c r="D28" s="59">
        <f>E28+F28+L28+N28</f>
        <v>0</v>
      </c>
      <c r="E28" s="59">
        <f>E30+E31</f>
        <v>0</v>
      </c>
      <c r="F28" s="59">
        <f t="shared" si="5"/>
        <v>0</v>
      </c>
      <c r="G28" s="59">
        <v>0</v>
      </c>
      <c r="H28" s="59">
        <v>0</v>
      </c>
      <c r="I28" s="59">
        <v>0</v>
      </c>
      <c r="J28" s="59">
        <f>J30+J31</f>
        <v>0</v>
      </c>
      <c r="K28" s="59">
        <f>K30+K31</f>
        <v>0</v>
      </c>
      <c r="L28" s="59">
        <v>0</v>
      </c>
      <c r="M28" s="64">
        <f t="shared" si="0"/>
        <v>0</v>
      </c>
      <c r="N28" s="59">
        <f t="shared" ref="N28:O28" si="6">N30+N31</f>
        <v>0</v>
      </c>
      <c r="O28" s="59">
        <f t="shared" si="6"/>
        <v>0</v>
      </c>
      <c r="P28" s="59">
        <f>P30+P31</f>
        <v>0</v>
      </c>
    </row>
    <row r="29" spans="1:18" ht="15.75" x14ac:dyDescent="0.25">
      <c r="A29" s="132" t="s">
        <v>92</v>
      </c>
      <c r="B29" s="1385"/>
      <c r="C29" s="134"/>
      <c r="D29" s="64"/>
      <c r="E29" s="64"/>
      <c r="F29" s="64">
        <f t="shared" si="5"/>
        <v>0</v>
      </c>
      <c r="G29" s="64"/>
      <c r="H29" s="64"/>
      <c r="I29" s="64"/>
      <c r="J29" s="64"/>
      <c r="K29" s="64"/>
      <c r="L29" s="64"/>
      <c r="M29" s="59">
        <f t="shared" si="0"/>
        <v>0</v>
      </c>
      <c r="N29" s="64"/>
      <c r="O29" s="64"/>
      <c r="P29" s="555"/>
    </row>
    <row r="30" spans="1:18" ht="15.75" x14ac:dyDescent="0.25">
      <c r="A30" s="1681" t="s">
        <v>166</v>
      </c>
      <c r="B30" s="1385"/>
      <c r="C30" s="555">
        <v>321</v>
      </c>
      <c r="D30" s="64"/>
      <c r="E30" s="64"/>
      <c r="F30" s="64">
        <f t="shared" si="5"/>
        <v>0</v>
      </c>
      <c r="G30" s="64"/>
      <c r="H30" s="64"/>
      <c r="I30" s="64"/>
      <c r="J30" s="64"/>
      <c r="K30" s="64"/>
      <c r="L30" s="64"/>
      <c r="M30" s="59">
        <f t="shared" si="0"/>
        <v>0</v>
      </c>
      <c r="N30" s="64"/>
      <c r="O30" s="64"/>
      <c r="P30" s="555"/>
    </row>
    <row r="31" spans="1:18" ht="15.75" x14ac:dyDescent="0.25">
      <c r="A31" s="1682"/>
      <c r="B31" s="1385"/>
      <c r="C31" s="555">
        <v>360</v>
      </c>
      <c r="D31" s="64"/>
      <c r="E31" s="64"/>
      <c r="F31" s="64">
        <f t="shared" si="5"/>
        <v>0</v>
      </c>
      <c r="G31" s="64"/>
      <c r="H31" s="64"/>
      <c r="I31" s="64"/>
      <c r="J31" s="64"/>
      <c r="K31" s="64"/>
      <c r="L31" s="64"/>
      <c r="M31" s="59">
        <f t="shared" si="0"/>
        <v>0</v>
      </c>
      <c r="N31" s="64"/>
      <c r="O31" s="64"/>
      <c r="P31" s="555"/>
    </row>
    <row r="32" spans="1:18" s="115" customFormat="1" ht="15.75" x14ac:dyDescent="0.2">
      <c r="A32" s="112" t="s">
        <v>167</v>
      </c>
      <c r="B32" s="113"/>
      <c r="C32" s="114">
        <v>800</v>
      </c>
      <c r="D32" s="59">
        <f>E32+F32+L32+M32</f>
        <v>13952109.640000001</v>
      </c>
      <c r="E32" s="59">
        <f>E33+E35</f>
        <v>5888541</v>
      </c>
      <c r="F32" s="59">
        <f>SUM(G32:J32)</f>
        <v>1461939.73</v>
      </c>
      <c r="G32" s="59">
        <f t="shared" ref="G32:P32" si="7">G33+G35</f>
        <v>0</v>
      </c>
      <c r="H32" s="59">
        <f t="shared" si="7"/>
        <v>0</v>
      </c>
      <c r="I32" s="59">
        <f t="shared" si="7"/>
        <v>1293239.8</v>
      </c>
      <c r="J32" s="59">
        <f t="shared" si="7"/>
        <v>168699.93</v>
      </c>
      <c r="K32" s="59">
        <f t="shared" si="7"/>
        <v>0</v>
      </c>
      <c r="L32" s="59">
        <f t="shared" si="7"/>
        <v>0</v>
      </c>
      <c r="M32" s="59">
        <f t="shared" si="0"/>
        <v>6601628.9100000001</v>
      </c>
      <c r="N32" s="59">
        <f t="shared" ref="N32:O32" si="8">N33+N35</f>
        <v>4937910.09</v>
      </c>
      <c r="O32" s="59">
        <f t="shared" si="8"/>
        <v>1663718.8200000003</v>
      </c>
      <c r="P32" s="59">
        <f t="shared" si="7"/>
        <v>0</v>
      </c>
    </row>
    <row r="33" spans="1:21" s="115" customFormat="1" ht="15.75" x14ac:dyDescent="0.25">
      <c r="A33" s="112" t="s">
        <v>168</v>
      </c>
      <c r="B33" s="557"/>
      <c r="C33" s="114">
        <v>830</v>
      </c>
      <c r="D33" s="59">
        <f>E33+F33+L33+M33</f>
        <v>15000</v>
      </c>
      <c r="E33" s="59">
        <f>SUM(E34)</f>
        <v>0</v>
      </c>
      <c r="F33" s="59">
        <f t="shared" si="5"/>
        <v>0</v>
      </c>
      <c r="G33" s="59">
        <f t="shared" ref="G33:P33" si="9">SUM(G34)</f>
        <v>0</v>
      </c>
      <c r="H33" s="59">
        <f t="shared" si="9"/>
        <v>0</v>
      </c>
      <c r="I33" s="59">
        <f t="shared" si="9"/>
        <v>0</v>
      </c>
      <c r="J33" s="59">
        <f t="shared" si="9"/>
        <v>0</v>
      </c>
      <c r="K33" s="59">
        <f t="shared" si="9"/>
        <v>0</v>
      </c>
      <c r="L33" s="59">
        <f t="shared" si="9"/>
        <v>0</v>
      </c>
      <c r="M33" s="59">
        <f t="shared" si="0"/>
        <v>15000</v>
      </c>
      <c r="N33" s="59">
        <f t="shared" ref="N33:O33" si="10">SUM(N34)</f>
        <v>15000</v>
      </c>
      <c r="O33" s="59">
        <f t="shared" si="10"/>
        <v>0</v>
      </c>
      <c r="P33" s="59">
        <f t="shared" si="9"/>
        <v>0</v>
      </c>
      <c r="R33" s="121" t="s">
        <v>237</v>
      </c>
    </row>
    <row r="34" spans="1:21" ht="63" x14ac:dyDescent="0.25">
      <c r="A34" s="116" t="s">
        <v>169</v>
      </c>
      <c r="B34" s="556"/>
      <c r="C34" s="555">
        <v>831</v>
      </c>
      <c r="D34" s="64">
        <f>E34+F34+L34+M34</f>
        <v>15000</v>
      </c>
      <c r="E34" s="64"/>
      <c r="F34" s="64">
        <f t="shared" si="5"/>
        <v>0</v>
      </c>
      <c r="G34" s="64"/>
      <c r="H34" s="64"/>
      <c r="I34" s="64"/>
      <c r="J34" s="64"/>
      <c r="K34" s="64"/>
      <c r="L34" s="64"/>
      <c r="M34" s="64">
        <f t="shared" si="0"/>
        <v>15000</v>
      </c>
      <c r="N34" s="64">
        <v>15000</v>
      </c>
      <c r="O34" s="64"/>
      <c r="P34" s="555"/>
      <c r="R34" s="122">
        <v>15000</v>
      </c>
      <c r="S34" s="121">
        <v>831</v>
      </c>
      <c r="U34" s="111"/>
    </row>
    <row r="35" spans="1:21" s="115" customFormat="1" ht="33" customHeight="1" x14ac:dyDescent="0.2">
      <c r="A35" s="136" t="s">
        <v>170</v>
      </c>
      <c r="B35" s="1424">
        <v>230</v>
      </c>
      <c r="C35" s="114">
        <v>850</v>
      </c>
      <c r="D35" s="59">
        <f>E35+F35+L35+M35</f>
        <v>13937109.640000001</v>
      </c>
      <c r="E35" s="59">
        <f>SUM(E37:E39)</f>
        <v>5888541</v>
      </c>
      <c r="F35" s="59">
        <f>F37+F38+F39</f>
        <v>1461939.7300000002</v>
      </c>
      <c r="G35" s="59">
        <f t="shared" ref="G35:K35" si="11">G37+G38+G39</f>
        <v>0</v>
      </c>
      <c r="H35" s="59">
        <f t="shared" si="11"/>
        <v>0</v>
      </c>
      <c r="I35" s="59">
        <f t="shared" si="11"/>
        <v>1293239.8</v>
      </c>
      <c r="J35" s="59">
        <f t="shared" si="11"/>
        <v>168699.93</v>
      </c>
      <c r="K35" s="59">
        <f t="shared" si="11"/>
        <v>0</v>
      </c>
      <c r="L35" s="59">
        <f>SUM(L36:L39)</f>
        <v>0</v>
      </c>
      <c r="M35" s="59">
        <f t="shared" si="0"/>
        <v>6586628.9100000001</v>
      </c>
      <c r="N35" s="59">
        <f>N37+N38+N39</f>
        <v>4922910.09</v>
      </c>
      <c r="O35" s="59">
        <f>O37+O38+O39</f>
        <v>1663718.8200000003</v>
      </c>
      <c r="P35" s="59">
        <f>P37+P38+P39</f>
        <v>0</v>
      </c>
    </row>
    <row r="36" spans="1:21" ht="15.75" x14ac:dyDescent="0.25">
      <c r="A36" s="132" t="s">
        <v>92</v>
      </c>
      <c r="B36" s="1422"/>
      <c r="C36" s="134"/>
      <c r="D36" s="64"/>
      <c r="E36" s="64"/>
      <c r="F36" s="64"/>
      <c r="G36" s="64"/>
      <c r="H36" s="64"/>
      <c r="I36" s="64"/>
      <c r="J36" s="64"/>
      <c r="K36" s="64"/>
      <c r="L36" s="64"/>
      <c r="M36" s="59">
        <f t="shared" si="0"/>
        <v>0</v>
      </c>
      <c r="N36" s="64"/>
      <c r="O36" s="64"/>
      <c r="P36" s="555"/>
      <c r="R36" s="121" t="s">
        <v>237</v>
      </c>
      <c r="S36" s="121" t="s">
        <v>197</v>
      </c>
      <c r="T36" s="121" t="s">
        <v>237</v>
      </c>
      <c r="U36" s="121"/>
    </row>
    <row r="37" spans="1:21" ht="31.5" x14ac:dyDescent="0.25">
      <c r="A37" s="132" t="s">
        <v>171</v>
      </c>
      <c r="B37" s="1422"/>
      <c r="C37" s="555">
        <v>851</v>
      </c>
      <c r="D37" s="64">
        <f>E37+F37+L37+M37</f>
        <v>11805308.640000001</v>
      </c>
      <c r="E37" s="64">
        <v>5545243.1200000001</v>
      </c>
      <c r="F37" s="64">
        <f>SUM(G37:J37)</f>
        <v>1453167.86</v>
      </c>
      <c r="G37" s="64"/>
      <c r="H37" s="64"/>
      <c r="I37" s="64">
        <v>1293239.8</v>
      </c>
      <c r="J37" s="64">
        <f>168700-0.07-J38</f>
        <v>159928.06</v>
      </c>
      <c r="K37" s="64"/>
      <c r="L37" s="64"/>
      <c r="M37" s="64">
        <f t="shared" si="0"/>
        <v>4806897.66</v>
      </c>
      <c r="N37" s="64">
        <v>3278406.97</v>
      </c>
      <c r="O37" s="64">
        <v>1528490.6900000002</v>
      </c>
      <c r="P37" s="555"/>
      <c r="R37" s="122">
        <v>2116229.66</v>
      </c>
      <c r="S37" s="122">
        <v>-2116229.66</v>
      </c>
      <c r="T37" s="122"/>
      <c r="U37" s="115"/>
    </row>
    <row r="38" spans="1:21" ht="15.75" x14ac:dyDescent="0.25">
      <c r="A38" s="132" t="s">
        <v>172</v>
      </c>
      <c r="B38" s="1422"/>
      <c r="C38" s="555">
        <v>852</v>
      </c>
      <c r="D38" s="64">
        <f>E38+F38+L38+M38</f>
        <v>645699.89</v>
      </c>
      <c r="E38" s="64">
        <v>235990.26</v>
      </c>
      <c r="F38" s="64">
        <f>SUM(G38:J38)</f>
        <v>8771.8700000000008</v>
      </c>
      <c r="G38" s="64"/>
      <c r="H38" s="64"/>
      <c r="I38" s="64"/>
      <c r="J38" s="64">
        <f>8771.87</f>
        <v>8771.8700000000008</v>
      </c>
      <c r="K38" s="64"/>
      <c r="L38" s="64"/>
      <c r="M38" s="64">
        <f t="shared" si="0"/>
        <v>400937.76</v>
      </c>
      <c r="N38" s="64">
        <v>331709.63</v>
      </c>
      <c r="O38" s="64">
        <v>69228.13</v>
      </c>
      <c r="P38" s="555"/>
      <c r="R38" s="122">
        <v>-75470.62</v>
      </c>
      <c r="S38" s="122"/>
      <c r="T38" s="122">
        <v>-49993.01</v>
      </c>
    </row>
    <row r="39" spans="1:21" ht="18.75" customHeight="1" x14ac:dyDescent="0.25">
      <c r="A39" s="132" t="s">
        <v>173</v>
      </c>
      <c r="B39" s="1423"/>
      <c r="C39" s="555">
        <v>853</v>
      </c>
      <c r="D39" s="64">
        <f>E39+F39+L39+M39</f>
        <v>1486101.1099999999</v>
      </c>
      <c r="E39" s="64">
        <v>107307.62</v>
      </c>
      <c r="F39" s="64">
        <f>SUM(G39:J39)</f>
        <v>0</v>
      </c>
      <c r="G39" s="64"/>
      <c r="H39" s="64"/>
      <c r="I39" s="64"/>
      <c r="J39" s="64"/>
      <c r="K39" s="64"/>
      <c r="L39" s="64"/>
      <c r="M39" s="64">
        <f t="shared" si="0"/>
        <v>1378793.49</v>
      </c>
      <c r="N39" s="64">
        <v>1312793.49</v>
      </c>
      <c r="O39" s="64">
        <v>66000</v>
      </c>
      <c r="P39" s="555"/>
      <c r="R39" s="122">
        <v>75470.62</v>
      </c>
      <c r="S39" s="122"/>
      <c r="T39" s="122">
        <v>49993.01</v>
      </c>
      <c r="U39" s="137"/>
    </row>
    <row r="40" spans="1:21" ht="15.75" x14ac:dyDescent="0.25">
      <c r="A40" s="132" t="s">
        <v>174</v>
      </c>
      <c r="B40" s="556">
        <v>240</v>
      </c>
      <c r="C40" s="555">
        <v>860</v>
      </c>
      <c r="D40" s="64"/>
      <c r="E40" s="64"/>
      <c r="F40" s="64">
        <f>SUM(G40:J40)</f>
        <v>0</v>
      </c>
      <c r="G40" s="64"/>
      <c r="H40" s="64"/>
      <c r="I40" s="64"/>
      <c r="J40" s="64"/>
      <c r="K40" s="64"/>
      <c r="L40" s="64"/>
      <c r="M40" s="59">
        <f t="shared" si="0"/>
        <v>0</v>
      </c>
      <c r="N40" s="64"/>
      <c r="O40" s="64"/>
      <c r="P40" s="555"/>
    </row>
    <row r="41" spans="1:21" s="115" customFormat="1" ht="31.5" x14ac:dyDescent="0.2">
      <c r="A41" s="130" t="s">
        <v>175</v>
      </c>
      <c r="B41" s="1387">
        <v>250</v>
      </c>
      <c r="C41" s="138"/>
      <c r="D41" s="59">
        <f>E41+F41+L41+M41</f>
        <v>0</v>
      </c>
      <c r="E41" s="59">
        <f>E43</f>
        <v>0</v>
      </c>
      <c r="F41" s="59">
        <f>SUM(G41:J41)</f>
        <v>0</v>
      </c>
      <c r="G41" s="59">
        <v>0</v>
      </c>
      <c r="H41" s="59">
        <v>0</v>
      </c>
      <c r="I41" s="59">
        <v>0</v>
      </c>
      <c r="J41" s="59">
        <v>0</v>
      </c>
      <c r="K41" s="59">
        <v>0</v>
      </c>
      <c r="L41" s="59">
        <v>0</v>
      </c>
      <c r="M41" s="59">
        <f t="shared" si="0"/>
        <v>0</v>
      </c>
      <c r="N41" s="59">
        <f>N43</f>
        <v>0</v>
      </c>
      <c r="O41" s="59">
        <v>0</v>
      </c>
      <c r="P41" s="59">
        <f>P43</f>
        <v>0</v>
      </c>
    </row>
    <row r="42" spans="1:21" s="115" customFormat="1" ht="15.75" x14ac:dyDescent="0.2">
      <c r="A42" s="130" t="s">
        <v>92</v>
      </c>
      <c r="B42" s="1387"/>
      <c r="C42" s="138"/>
      <c r="D42" s="59"/>
      <c r="E42" s="59"/>
      <c r="F42" s="59"/>
      <c r="G42" s="59"/>
      <c r="H42" s="59"/>
      <c r="I42" s="59"/>
      <c r="J42" s="59"/>
      <c r="K42" s="59"/>
      <c r="L42" s="59"/>
      <c r="M42" s="59">
        <f t="shared" si="0"/>
        <v>0</v>
      </c>
      <c r="N42" s="59"/>
      <c r="O42" s="59"/>
      <c r="P42" s="114"/>
    </row>
    <row r="43" spans="1:21" s="115" customFormat="1" ht="15.75" x14ac:dyDescent="0.2">
      <c r="A43" s="139"/>
      <c r="B43" s="1387"/>
      <c r="C43" s="138"/>
      <c r="D43" s="59"/>
      <c r="E43" s="59"/>
      <c r="F43" s="59"/>
      <c r="G43" s="59"/>
      <c r="H43" s="59"/>
      <c r="I43" s="59"/>
      <c r="J43" s="59"/>
      <c r="K43" s="59"/>
      <c r="L43" s="59"/>
      <c r="M43" s="59">
        <f t="shared" si="0"/>
        <v>0</v>
      </c>
      <c r="N43" s="59"/>
      <c r="O43" s="59"/>
      <c r="P43" s="114"/>
    </row>
    <row r="44" spans="1:21" s="115" customFormat="1" ht="31.5" x14ac:dyDescent="0.2">
      <c r="A44" s="130" t="s">
        <v>176</v>
      </c>
      <c r="B44" s="1388">
        <v>260</v>
      </c>
      <c r="C44" s="114">
        <v>240</v>
      </c>
      <c r="D44" s="59">
        <f>E44+F44+L44+M44</f>
        <v>780367537.70819998</v>
      </c>
      <c r="E44" s="59">
        <f>E46+E47+E48+E49+E50+E54+E58+E60</f>
        <v>41998888.579999998</v>
      </c>
      <c r="F44" s="59">
        <f>F47+F49+F51+F54+F55+F58+F60</f>
        <v>602502086.06819999</v>
      </c>
      <c r="G44" s="59">
        <f>G46+G47+G48+G49+G50+G54+G58+G60+G51+G55</f>
        <v>581122700</v>
      </c>
      <c r="H44" s="59">
        <f t="shared" ref="H44" si="12">H46+H47+H48+H49+H50+H54+H58+H60</f>
        <v>0</v>
      </c>
      <c r="I44" s="59">
        <f>I46+I47+I48+I49+I50+I54+I58+I60</f>
        <v>11296886</v>
      </c>
      <c r="J44" s="59">
        <f>J46+J47+J48+J49+J50+J54+J58+J60</f>
        <v>10082500.0682</v>
      </c>
      <c r="K44" s="59">
        <f>K46+K47+K48+K49+K50+K51+K55+K60</f>
        <v>0</v>
      </c>
      <c r="L44" s="59">
        <f>L46+L47+L48+L49+L50+L54+L58+L60</f>
        <v>70000</v>
      </c>
      <c r="M44" s="59">
        <f>N44+O44</f>
        <v>135796563.06</v>
      </c>
      <c r="N44" s="59">
        <f>N46+N47+N48+N49+N50+N54+N58+N60</f>
        <v>105705158.7</v>
      </c>
      <c r="O44" s="59">
        <f>O46+O47+O48+O49+O50+O54+O58+O60</f>
        <v>30091404.359999999</v>
      </c>
      <c r="P44" s="59">
        <f>P46+P47+P48+P49+P50+P51+P55+P60</f>
        <v>0</v>
      </c>
    </row>
    <row r="45" spans="1:21" ht="15.75" x14ac:dyDescent="0.25">
      <c r="A45" s="132" t="s">
        <v>92</v>
      </c>
      <c r="B45" s="1392"/>
      <c r="C45" s="134"/>
      <c r="D45" s="64"/>
      <c r="E45" s="64"/>
      <c r="F45" s="64"/>
      <c r="G45" s="64"/>
      <c r="H45" s="64"/>
      <c r="I45" s="64"/>
      <c r="J45" s="64"/>
      <c r="K45" s="64"/>
      <c r="L45" s="64"/>
      <c r="M45" s="59">
        <f t="shared" si="0"/>
        <v>0</v>
      </c>
      <c r="N45" s="64"/>
      <c r="O45" s="64"/>
      <c r="P45" s="555"/>
      <c r="R45" s="121" t="s">
        <v>237</v>
      </c>
      <c r="S45" s="121" t="s">
        <v>197</v>
      </c>
    </row>
    <row r="46" spans="1:21" ht="31.5" x14ac:dyDescent="0.25">
      <c r="A46" s="132" t="s">
        <v>177</v>
      </c>
      <c r="B46" s="140"/>
      <c r="C46" s="555">
        <v>241</v>
      </c>
      <c r="D46" s="64"/>
      <c r="E46" s="64"/>
      <c r="F46" s="64"/>
      <c r="G46" s="64"/>
      <c r="H46" s="64"/>
      <c r="I46" s="64"/>
      <c r="J46" s="64"/>
      <c r="K46" s="64"/>
      <c r="L46" s="64"/>
      <c r="M46" s="59">
        <f t="shared" si="0"/>
        <v>0</v>
      </c>
      <c r="N46" s="64"/>
      <c r="O46" s="64"/>
      <c r="P46" s="555"/>
      <c r="R46" s="141"/>
      <c r="S46" s="122">
        <v>25000</v>
      </c>
      <c r="T46" s="117" t="s">
        <v>234</v>
      </c>
    </row>
    <row r="47" spans="1:21" ht="15.75" customHeight="1" x14ac:dyDescent="0.25">
      <c r="A47" s="132" t="s">
        <v>178</v>
      </c>
      <c r="B47" s="140"/>
      <c r="C47" s="555">
        <v>244</v>
      </c>
      <c r="D47" s="64">
        <f>E47+F47+L47+M47</f>
        <v>2314990.81</v>
      </c>
      <c r="E47" s="64">
        <v>550086.28</v>
      </c>
      <c r="F47" s="64">
        <f>SUM(G47:J47)</f>
        <v>406976.1</v>
      </c>
      <c r="G47" s="64"/>
      <c r="H47" s="64"/>
      <c r="I47" s="64">
        <v>216602.1</v>
      </c>
      <c r="J47" s="64">
        <f>190374</f>
        <v>190374</v>
      </c>
      <c r="K47" s="64"/>
      <c r="L47" s="64"/>
      <c r="M47" s="64">
        <f t="shared" si="0"/>
        <v>1357928.4300000002</v>
      </c>
      <c r="N47" s="64">
        <v>575024.80000000005</v>
      </c>
      <c r="O47" s="64">
        <f>785721.68-2818.05</f>
        <v>782903.63</v>
      </c>
      <c r="P47" s="555"/>
      <c r="R47" s="122">
        <v>269900</v>
      </c>
      <c r="S47" s="122">
        <f>-269900</f>
        <v>-269900</v>
      </c>
      <c r="T47" s="117" t="s">
        <v>179</v>
      </c>
    </row>
    <row r="48" spans="1:21" ht="19.5" customHeight="1" x14ac:dyDescent="0.25">
      <c r="A48" s="132" t="s">
        <v>179</v>
      </c>
      <c r="B48" s="140"/>
      <c r="C48" s="555">
        <v>244</v>
      </c>
      <c r="D48" s="64">
        <f>E48+F48+K48+L48+M48</f>
        <v>235100</v>
      </c>
      <c r="E48" s="64"/>
      <c r="F48" s="64">
        <f t="shared" ref="F48:F66" si="13">SUM(G48:J48)</f>
        <v>0</v>
      </c>
      <c r="G48" s="64"/>
      <c r="H48" s="64"/>
      <c r="I48" s="64"/>
      <c r="J48" s="64"/>
      <c r="K48" s="64"/>
      <c r="L48" s="64"/>
      <c r="M48" s="64">
        <f>N48+O48</f>
        <v>235100</v>
      </c>
      <c r="N48" s="64">
        <v>85100</v>
      </c>
      <c r="O48" s="64">
        <v>150000</v>
      </c>
      <c r="P48" s="555"/>
      <c r="R48" s="111">
        <v>50000</v>
      </c>
      <c r="S48" s="111">
        <v>845833.33</v>
      </c>
      <c r="T48" s="117" t="s">
        <v>242</v>
      </c>
    </row>
    <row r="49" spans="1:21" ht="16.5" customHeight="1" x14ac:dyDescent="0.25">
      <c r="A49" s="132" t="s">
        <v>180</v>
      </c>
      <c r="B49" s="140"/>
      <c r="C49" s="555">
        <v>244</v>
      </c>
      <c r="D49" s="64">
        <f>E49+F49+L49+M49</f>
        <v>34672280.330000006</v>
      </c>
      <c r="E49" s="64">
        <v>10376177.310000001</v>
      </c>
      <c r="F49" s="64">
        <f t="shared" si="13"/>
        <v>5704852.4100000001</v>
      </c>
      <c r="G49" s="64"/>
      <c r="H49" s="64"/>
      <c r="I49" s="64">
        <v>2673974.16</v>
      </c>
      <c r="J49" s="64">
        <f>3030878.25</f>
        <v>3030878.25</v>
      </c>
      <c r="K49" s="64"/>
      <c r="L49" s="269"/>
      <c r="M49" s="64">
        <f t="shared" si="0"/>
        <v>18591250.610000003</v>
      </c>
      <c r="N49" s="64">
        <v>17039010.720000003</v>
      </c>
      <c r="O49" s="64">
        <v>1552239.89</v>
      </c>
      <c r="P49" s="555"/>
      <c r="R49" s="122">
        <f>-(R37+R47+R34)</f>
        <v>-2401129.66</v>
      </c>
      <c r="T49" s="117" t="s">
        <v>180</v>
      </c>
    </row>
    <row r="50" spans="1:21" ht="15.75" x14ac:dyDescent="0.25">
      <c r="A50" s="132" t="s">
        <v>181</v>
      </c>
      <c r="B50" s="140"/>
      <c r="C50" s="555">
        <v>244</v>
      </c>
      <c r="D50" s="64"/>
      <c r="E50" s="64"/>
      <c r="F50" s="64">
        <f t="shared" si="13"/>
        <v>0</v>
      </c>
      <c r="G50" s="64"/>
      <c r="H50" s="64"/>
      <c r="I50" s="64"/>
      <c r="J50" s="64"/>
      <c r="K50" s="64"/>
      <c r="L50" s="64"/>
      <c r="M50" s="64">
        <f>N50+O50</f>
        <v>0</v>
      </c>
      <c r="N50" s="64"/>
      <c r="O50" s="64"/>
      <c r="P50" s="555"/>
      <c r="R50" s="111">
        <v>23168167.190000001</v>
      </c>
      <c r="S50" s="111">
        <v>2186471.81</v>
      </c>
      <c r="T50" s="117" t="s">
        <v>243</v>
      </c>
    </row>
    <row r="51" spans="1:21" ht="15.75" x14ac:dyDescent="0.25">
      <c r="A51" s="1685" t="s">
        <v>182</v>
      </c>
      <c r="B51" s="142"/>
      <c r="C51" s="1561">
        <v>243</v>
      </c>
      <c r="D51" s="64">
        <f t="shared" ref="D51:D60" si="14">E51+F51+L51+M51</f>
        <v>259348300</v>
      </c>
      <c r="E51" s="568"/>
      <c r="F51" s="64">
        <f t="shared" si="13"/>
        <v>259348300</v>
      </c>
      <c r="G51" s="64">
        <v>259348300</v>
      </c>
      <c r="H51" s="64"/>
      <c r="I51" s="64"/>
      <c r="J51" s="64"/>
      <c r="K51" s="64"/>
      <c r="L51" s="568"/>
      <c r="M51" s="64">
        <f>N51+O51</f>
        <v>0</v>
      </c>
      <c r="N51" s="122"/>
      <c r="O51" s="122"/>
      <c r="P51" s="555"/>
      <c r="R51" s="111">
        <f>M49-R50</f>
        <v>-4576916.5799999982</v>
      </c>
    </row>
    <row r="52" spans="1:21" s="145" customFormat="1" ht="19.5" hidden="1" customHeight="1" x14ac:dyDescent="0.25">
      <c r="A52" s="1686"/>
      <c r="B52" s="143"/>
      <c r="C52" s="1688"/>
      <c r="D52" s="144">
        <f t="shared" si="14"/>
        <v>0</v>
      </c>
      <c r="E52" s="569"/>
      <c r="F52" s="144">
        <f t="shared" si="13"/>
        <v>0</v>
      </c>
      <c r="G52" s="144"/>
      <c r="H52" s="144"/>
      <c r="I52" s="144"/>
      <c r="J52" s="144"/>
      <c r="K52" s="144"/>
      <c r="L52" s="569"/>
      <c r="M52" s="64">
        <f t="shared" si="0"/>
        <v>0</v>
      </c>
      <c r="N52" s="270"/>
      <c r="O52" s="270"/>
      <c r="P52" s="570"/>
    </row>
    <row r="53" spans="1:21" s="145" customFormat="1" ht="19.5" hidden="1" customHeight="1" x14ac:dyDescent="0.25">
      <c r="A53" s="1686"/>
      <c r="B53" s="143"/>
      <c r="C53" s="1564"/>
      <c r="D53" s="144">
        <f t="shared" si="14"/>
        <v>0</v>
      </c>
      <c r="E53" s="569"/>
      <c r="F53" s="144">
        <f t="shared" si="13"/>
        <v>0</v>
      </c>
      <c r="G53" s="144"/>
      <c r="H53" s="144"/>
      <c r="I53" s="144"/>
      <c r="J53" s="144"/>
      <c r="K53" s="144"/>
      <c r="L53" s="569"/>
      <c r="M53" s="64">
        <f t="shared" si="0"/>
        <v>0</v>
      </c>
      <c r="N53" s="270"/>
      <c r="O53" s="270"/>
      <c r="P53" s="570"/>
      <c r="R53" s="111"/>
      <c r="S53" s="146"/>
      <c r="T53" s="117" t="s">
        <v>239</v>
      </c>
    </row>
    <row r="54" spans="1:21" ht="19.5" customHeight="1" x14ac:dyDescent="0.25">
      <c r="A54" s="1687"/>
      <c r="B54" s="147"/>
      <c r="C54" s="274">
        <v>244</v>
      </c>
      <c r="D54" s="64">
        <f t="shared" si="14"/>
        <v>176236998.69846001</v>
      </c>
      <c r="E54" s="64">
        <v>6506591.7800000003</v>
      </c>
      <c r="F54" s="64">
        <f t="shared" si="13"/>
        <v>160290082.40846002</v>
      </c>
      <c r="G54" s="64">
        <f>186774400-29000000</f>
        <v>157774400</v>
      </c>
      <c r="H54" s="64"/>
      <c r="I54" s="64">
        <v>1004958.24</v>
      </c>
      <c r="J54" s="64">
        <f>'[6]норматив 2018-2630'!K41</f>
        <v>1510724.1684599998</v>
      </c>
      <c r="K54" s="64"/>
      <c r="L54" s="64"/>
      <c r="M54" s="64">
        <f t="shared" si="0"/>
        <v>9440324.5099999998</v>
      </c>
      <c r="N54" s="64">
        <v>7194631.71</v>
      </c>
      <c r="O54" s="64">
        <v>2245692.7999999998</v>
      </c>
      <c r="P54" s="555"/>
      <c r="R54" s="111">
        <v>11260837.890000001</v>
      </c>
      <c r="S54" s="111">
        <v>2931349.03</v>
      </c>
      <c r="T54" s="117" t="s">
        <v>238</v>
      </c>
    </row>
    <row r="55" spans="1:21" ht="19.5" customHeight="1" x14ac:dyDescent="0.25">
      <c r="A55" s="1685" t="s">
        <v>183</v>
      </c>
      <c r="B55" s="148"/>
      <c r="C55" s="1561">
        <v>243</v>
      </c>
      <c r="D55" s="64">
        <f t="shared" si="14"/>
        <v>15000000</v>
      </c>
      <c r="E55" s="568"/>
      <c r="F55" s="64">
        <f t="shared" si="13"/>
        <v>15000000</v>
      </c>
      <c r="G55" s="64">
        <v>15000000</v>
      </c>
      <c r="H55" s="64"/>
      <c r="I55" s="64"/>
      <c r="J55" s="64"/>
      <c r="K55" s="64"/>
      <c r="L55" s="568"/>
      <c r="M55" s="64">
        <f t="shared" si="0"/>
        <v>0</v>
      </c>
      <c r="N55" s="122"/>
      <c r="O55" s="122"/>
      <c r="P55" s="555"/>
    </row>
    <row r="56" spans="1:21" s="145" customFormat="1" ht="15.75" hidden="1" x14ac:dyDescent="0.25">
      <c r="A56" s="1686"/>
      <c r="B56" s="149"/>
      <c r="C56" s="1688"/>
      <c r="D56" s="144" t="e">
        <f t="shared" si="14"/>
        <v>#REF!</v>
      </c>
      <c r="E56" s="569"/>
      <c r="F56" s="144" t="e">
        <f t="shared" si="13"/>
        <v>#REF!</v>
      </c>
      <c r="G56" s="144" t="e">
        <f>#REF!</f>
        <v>#REF!</v>
      </c>
      <c r="H56" s="144"/>
      <c r="I56" s="144"/>
      <c r="J56" s="144"/>
      <c r="K56" s="144"/>
      <c r="L56" s="569"/>
      <c r="M56" s="64">
        <f t="shared" si="0"/>
        <v>0</v>
      </c>
      <c r="N56" s="270"/>
      <c r="O56" s="270"/>
      <c r="P56" s="570"/>
    </row>
    <row r="57" spans="1:21" s="145" customFormat="1" ht="33.75" hidden="1" customHeight="1" x14ac:dyDescent="0.25">
      <c r="A57" s="1686"/>
      <c r="B57" s="149"/>
      <c r="C57" s="1564"/>
      <c r="D57" s="144" t="e">
        <f t="shared" si="14"/>
        <v>#REF!</v>
      </c>
      <c r="E57" s="569"/>
      <c r="F57" s="144" t="e">
        <f t="shared" si="13"/>
        <v>#REF!</v>
      </c>
      <c r="G57" s="144" t="e">
        <f>#REF!</f>
        <v>#REF!</v>
      </c>
      <c r="H57" s="144"/>
      <c r="I57" s="144"/>
      <c r="J57" s="144"/>
      <c r="K57" s="144"/>
      <c r="L57" s="569"/>
      <c r="M57" s="64">
        <f t="shared" si="0"/>
        <v>0</v>
      </c>
      <c r="N57" s="270"/>
      <c r="O57" s="270"/>
      <c r="P57" s="570"/>
    </row>
    <row r="58" spans="1:21" ht="19.5" customHeight="1" x14ac:dyDescent="0.25">
      <c r="A58" s="1687"/>
      <c r="B58" s="140"/>
      <c r="C58" s="274">
        <v>244</v>
      </c>
      <c r="D58" s="64">
        <f t="shared" si="14"/>
        <v>34409989.029739998</v>
      </c>
      <c r="E58" s="64">
        <v>3605743.75</v>
      </c>
      <c r="F58" s="64">
        <f t="shared" si="13"/>
        <v>21802375.899739999</v>
      </c>
      <c r="G58" s="64">
        <v>20000000</v>
      </c>
      <c r="H58" s="64"/>
      <c r="I58" s="64">
        <v>753152.4</v>
      </c>
      <c r="J58" s="64">
        <f>'[6]норматив 2018-2630'!K54</f>
        <v>1049223.4997400001</v>
      </c>
      <c r="K58" s="64"/>
      <c r="L58" s="64">
        <v>70000</v>
      </c>
      <c r="M58" s="64">
        <f t="shared" si="0"/>
        <v>8931869.3800000008</v>
      </c>
      <c r="N58" s="64">
        <v>7214904.8700000001</v>
      </c>
      <c r="O58" s="64">
        <v>1716964.51</v>
      </c>
      <c r="P58" s="555"/>
    </row>
    <row r="59" spans="1:21" s="115" customFormat="1" ht="19.5" customHeight="1" x14ac:dyDescent="0.2">
      <c r="A59" s="1689" t="s">
        <v>184</v>
      </c>
      <c r="B59" s="136"/>
      <c r="C59" s="571">
        <v>243</v>
      </c>
      <c r="D59" s="59">
        <f t="shared" si="14"/>
        <v>0</v>
      </c>
      <c r="E59" s="59">
        <v>0</v>
      </c>
      <c r="F59" s="64">
        <f t="shared" si="13"/>
        <v>0</v>
      </c>
      <c r="G59" s="59">
        <v>0</v>
      </c>
      <c r="H59" s="59">
        <v>0</v>
      </c>
      <c r="I59" s="59">
        <v>0</v>
      </c>
      <c r="J59" s="59">
        <v>0</v>
      </c>
      <c r="K59" s="59">
        <v>0</v>
      </c>
      <c r="L59" s="59">
        <v>0</v>
      </c>
      <c r="M59" s="59">
        <f t="shared" si="0"/>
        <v>0</v>
      </c>
      <c r="N59" s="59">
        <v>0</v>
      </c>
      <c r="O59" s="59">
        <v>0</v>
      </c>
      <c r="P59" s="59">
        <v>0</v>
      </c>
    </row>
    <row r="60" spans="1:21" s="115" customFormat="1" ht="16.5" customHeight="1" x14ac:dyDescent="0.25">
      <c r="A60" s="1689"/>
      <c r="B60" s="150"/>
      <c r="C60" s="571">
        <v>244</v>
      </c>
      <c r="D60" s="59">
        <f t="shared" si="14"/>
        <v>258149878.84</v>
      </c>
      <c r="E60" s="59">
        <f>SUM(E61:E65)</f>
        <v>20960289.459999997</v>
      </c>
      <c r="F60" s="59">
        <f t="shared" si="13"/>
        <v>139949499.25</v>
      </c>
      <c r="G60" s="59">
        <f t="shared" ref="G60:H60" si="15">SUM(G61:G65)</f>
        <v>129000000</v>
      </c>
      <c r="H60" s="59">
        <f t="shared" si="15"/>
        <v>0</v>
      </c>
      <c r="I60" s="59">
        <f>SUM(I61:I65)</f>
        <v>6648199.1000000006</v>
      </c>
      <c r="J60" s="59">
        <f>SUM(J61:J65)</f>
        <v>4301300.1500000004</v>
      </c>
      <c r="K60" s="59">
        <f t="shared" ref="K60:P60" si="16">SUM(K61:K65)</f>
        <v>0</v>
      </c>
      <c r="L60" s="59">
        <f t="shared" si="16"/>
        <v>0</v>
      </c>
      <c r="M60" s="59">
        <f t="shared" si="0"/>
        <v>97240090.129999995</v>
      </c>
      <c r="N60" s="59">
        <f t="shared" ref="N60:O60" si="17">SUM(N61:N65)</f>
        <v>73596486.599999994</v>
      </c>
      <c r="O60" s="59">
        <f t="shared" si="17"/>
        <v>23643603.530000001</v>
      </c>
      <c r="P60" s="59">
        <f t="shared" si="16"/>
        <v>0</v>
      </c>
      <c r="R60" s="121" t="s">
        <v>237</v>
      </c>
      <c r="S60" s="121" t="s">
        <v>197</v>
      </c>
      <c r="T60" s="121" t="s">
        <v>197</v>
      </c>
    </row>
    <row r="61" spans="1:21" ht="15.75" x14ac:dyDescent="0.25">
      <c r="A61" s="1683" t="s">
        <v>185</v>
      </c>
      <c r="B61" s="1422"/>
      <c r="C61" s="555">
        <v>243</v>
      </c>
      <c r="D61" s="64"/>
      <c r="E61" s="64"/>
      <c r="F61" s="64">
        <f t="shared" si="13"/>
        <v>0</v>
      </c>
      <c r="G61" s="64"/>
      <c r="H61" s="64"/>
      <c r="I61" s="64"/>
      <c r="J61" s="64"/>
      <c r="K61" s="64"/>
      <c r="L61" s="64"/>
      <c r="M61" s="59">
        <f t="shared" si="0"/>
        <v>0</v>
      </c>
      <c r="N61" s="64"/>
      <c r="O61" s="64"/>
      <c r="P61" s="64"/>
      <c r="R61" s="118"/>
      <c r="S61" s="146">
        <v>2621361</v>
      </c>
      <c r="T61" s="118"/>
      <c r="U61" s="151"/>
    </row>
    <row r="62" spans="1:21" ht="15.75" x14ac:dyDescent="0.25">
      <c r="A62" s="1684"/>
      <c r="B62" s="1423"/>
      <c r="C62" s="555">
        <v>244</v>
      </c>
      <c r="D62" s="64">
        <f>E62+F62+L62+M62</f>
        <v>110181004.21000001</v>
      </c>
      <c r="E62" s="64">
        <v>1491992.65</v>
      </c>
      <c r="F62" s="64">
        <f t="shared" si="13"/>
        <v>108109103.28</v>
      </c>
      <c r="G62" s="64">
        <f>10000000+80000000+18000000</f>
        <v>108000000</v>
      </c>
      <c r="H62" s="64"/>
      <c r="I62" s="64">
        <v>109103.28</v>
      </c>
      <c r="J62" s="64"/>
      <c r="K62" s="64"/>
      <c r="L62" s="64"/>
      <c r="M62" s="64">
        <f t="shared" si="0"/>
        <v>579908.28</v>
      </c>
      <c r="N62" s="64">
        <v>35192.5</v>
      </c>
      <c r="O62" s="64">
        <f>608635.78-63920</f>
        <v>544715.78</v>
      </c>
      <c r="P62" s="555"/>
      <c r="R62" s="111"/>
      <c r="S62" s="111">
        <v>487564.3</v>
      </c>
    </row>
    <row r="63" spans="1:21" ht="31.5" x14ac:dyDescent="0.25">
      <c r="A63" s="132" t="s">
        <v>186</v>
      </c>
      <c r="B63" s="556"/>
      <c r="C63" s="555">
        <v>244</v>
      </c>
      <c r="D63" s="64">
        <f>E63+F63+L63+M63</f>
        <v>0</v>
      </c>
      <c r="E63" s="64"/>
      <c r="F63" s="64">
        <f t="shared" si="13"/>
        <v>0</v>
      </c>
      <c r="G63" s="64"/>
      <c r="H63" s="64"/>
      <c r="I63" s="64"/>
      <c r="J63" s="64"/>
      <c r="K63" s="64"/>
      <c r="L63" s="64"/>
      <c r="M63" s="64">
        <f t="shared" si="0"/>
        <v>0</v>
      </c>
      <c r="N63" s="64"/>
      <c r="O63" s="64"/>
      <c r="P63" s="555"/>
      <c r="R63" s="121" t="s">
        <v>237</v>
      </c>
      <c r="S63" s="121" t="s">
        <v>197</v>
      </c>
    </row>
    <row r="64" spans="1:21" ht="15.75" x14ac:dyDescent="0.25">
      <c r="A64" s="1683" t="s">
        <v>187</v>
      </c>
      <c r="B64" s="1424"/>
      <c r="C64" s="555">
        <v>243</v>
      </c>
      <c r="D64" s="64"/>
      <c r="E64" s="64"/>
      <c r="F64" s="64">
        <f t="shared" si="13"/>
        <v>0</v>
      </c>
      <c r="G64" s="64"/>
      <c r="H64" s="64"/>
      <c r="I64" s="64"/>
      <c r="J64" s="64"/>
      <c r="K64" s="64"/>
      <c r="L64" s="64"/>
      <c r="M64" s="64">
        <f t="shared" si="0"/>
        <v>0</v>
      </c>
      <c r="N64" s="64"/>
      <c r="O64" s="64"/>
      <c r="P64" s="555"/>
      <c r="R64" s="118"/>
      <c r="S64" s="146">
        <v>-260231.34</v>
      </c>
    </row>
    <row r="65" spans="1:19" ht="15.75" x14ac:dyDescent="0.25">
      <c r="A65" s="1684"/>
      <c r="B65" s="1423"/>
      <c r="C65" s="555">
        <v>244</v>
      </c>
      <c r="D65" s="64">
        <f>E65+F65+L65+M65</f>
        <v>147968874.63</v>
      </c>
      <c r="E65" s="64">
        <v>19468296.809999999</v>
      </c>
      <c r="F65" s="64">
        <f t="shared" si="13"/>
        <v>31840395.969999999</v>
      </c>
      <c r="G65" s="64">
        <v>21000000</v>
      </c>
      <c r="H65" s="64"/>
      <c r="I65" s="64">
        <f>6539495.82-400</f>
        <v>6539095.8200000003</v>
      </c>
      <c r="J65" s="64">
        <v>4301300.1500000004</v>
      </c>
      <c r="K65" s="64"/>
      <c r="L65" s="64"/>
      <c r="M65" s="64">
        <f t="shared" si="0"/>
        <v>96660181.849999994</v>
      </c>
      <c r="N65" s="64">
        <f>80214253.99-6652959.89</f>
        <v>73561294.099999994</v>
      </c>
      <c r="O65" s="64">
        <f>24254635.27-1155747.52</f>
        <v>23098887.75</v>
      </c>
      <c r="P65" s="555"/>
      <c r="R65" s="111">
        <v>74638998.689999998</v>
      </c>
      <c r="S65" s="111">
        <v>25190635.949999999</v>
      </c>
    </row>
    <row r="66" spans="1:19" s="115" customFormat="1" ht="21.75" customHeight="1" x14ac:dyDescent="0.2">
      <c r="A66" s="130" t="s">
        <v>188</v>
      </c>
      <c r="B66" s="557">
        <v>300</v>
      </c>
      <c r="C66" s="114" t="s">
        <v>149</v>
      </c>
      <c r="D66" s="59">
        <f>E66+F66+L66+M66</f>
        <v>0</v>
      </c>
      <c r="E66" s="572">
        <f>E68+E69</f>
        <v>0</v>
      </c>
      <c r="F66" s="572">
        <f t="shared" si="13"/>
        <v>0</v>
      </c>
      <c r="G66" s="572">
        <v>0</v>
      </c>
      <c r="H66" s="572">
        <v>0</v>
      </c>
      <c r="I66" s="572">
        <v>0</v>
      </c>
      <c r="J66" s="572">
        <v>0</v>
      </c>
      <c r="K66" s="572">
        <f>K68+K69</f>
        <v>0</v>
      </c>
      <c r="L66" s="572">
        <f>SUM(L68:L69)</f>
        <v>0</v>
      </c>
      <c r="M66" s="59">
        <f t="shared" si="0"/>
        <v>0</v>
      </c>
      <c r="N66" s="59"/>
      <c r="O66" s="59"/>
      <c r="P66" s="572">
        <f>SUM(P68:P69)</f>
        <v>0</v>
      </c>
    </row>
    <row r="67" spans="1:19" ht="15.75" x14ac:dyDescent="0.25">
      <c r="A67" s="132" t="s">
        <v>92</v>
      </c>
      <c r="B67" s="133"/>
      <c r="C67" s="134"/>
      <c r="D67" s="64"/>
      <c r="E67" s="64"/>
      <c r="F67" s="64"/>
      <c r="G67" s="64"/>
      <c r="H67" s="64"/>
      <c r="I67" s="64"/>
      <c r="J67" s="64"/>
      <c r="K67" s="64"/>
      <c r="L67" s="64"/>
      <c r="M67" s="59">
        <f t="shared" si="0"/>
        <v>0</v>
      </c>
      <c r="N67" s="64"/>
      <c r="O67" s="64"/>
      <c r="P67" s="555"/>
    </row>
    <row r="68" spans="1:19" ht="15.75" x14ac:dyDescent="0.25">
      <c r="A68" s="132" t="s">
        <v>189</v>
      </c>
      <c r="B68" s="556">
        <v>310</v>
      </c>
      <c r="C68" s="134"/>
      <c r="D68" s="64"/>
      <c r="E68" s="64"/>
      <c r="F68" s="64"/>
      <c r="G68" s="64"/>
      <c r="H68" s="64"/>
      <c r="I68" s="64"/>
      <c r="J68" s="64"/>
      <c r="K68" s="64"/>
      <c r="L68" s="64"/>
      <c r="M68" s="59">
        <f t="shared" si="0"/>
        <v>0</v>
      </c>
      <c r="N68" s="64"/>
      <c r="O68" s="64"/>
      <c r="P68" s="555"/>
    </row>
    <row r="69" spans="1:19" ht="15.75" x14ac:dyDescent="0.25">
      <c r="A69" s="132" t="s">
        <v>190</v>
      </c>
      <c r="B69" s="556">
        <v>320</v>
      </c>
      <c r="C69" s="134"/>
      <c r="D69" s="64"/>
      <c r="E69" s="64"/>
      <c r="F69" s="64"/>
      <c r="G69" s="64"/>
      <c r="H69" s="64"/>
      <c r="I69" s="64"/>
      <c r="J69" s="64"/>
      <c r="K69" s="64"/>
      <c r="L69" s="64"/>
      <c r="M69" s="59">
        <f t="shared" si="0"/>
        <v>0</v>
      </c>
      <c r="N69" s="64"/>
      <c r="O69" s="64"/>
      <c r="P69" s="555"/>
    </row>
    <row r="70" spans="1:19" s="115" customFormat="1" ht="15.75" x14ac:dyDescent="0.2">
      <c r="A70" s="130" t="s">
        <v>191</v>
      </c>
      <c r="B70" s="557">
        <v>400</v>
      </c>
      <c r="C70" s="138"/>
      <c r="D70" s="59">
        <f>E70+F70+L70+M70</f>
        <v>0</v>
      </c>
      <c r="E70" s="59">
        <f>E72+E73</f>
        <v>0</v>
      </c>
      <c r="F70" s="59">
        <f>F72+F73</f>
        <v>0</v>
      </c>
      <c r="G70" s="59">
        <v>0</v>
      </c>
      <c r="H70" s="59"/>
      <c r="I70" s="59">
        <v>0</v>
      </c>
      <c r="J70" s="59">
        <v>0</v>
      </c>
      <c r="K70" s="59">
        <f>K72+K73</f>
        <v>0</v>
      </c>
      <c r="L70" s="59">
        <v>0</v>
      </c>
      <c r="M70" s="59">
        <f t="shared" si="0"/>
        <v>0</v>
      </c>
      <c r="N70" s="59"/>
      <c r="O70" s="59"/>
      <c r="P70" s="59">
        <f>P72+P73</f>
        <v>0</v>
      </c>
    </row>
    <row r="71" spans="1:19" ht="15.75" x14ac:dyDescent="0.25">
      <c r="A71" s="132" t="s">
        <v>92</v>
      </c>
      <c r="B71" s="133"/>
      <c r="C71" s="134"/>
      <c r="D71" s="64"/>
      <c r="E71" s="64"/>
      <c r="F71" s="64"/>
      <c r="G71" s="64"/>
      <c r="H71" s="64"/>
      <c r="I71" s="64"/>
      <c r="J71" s="64"/>
      <c r="K71" s="64"/>
      <c r="L71" s="64"/>
      <c r="M71" s="59">
        <f t="shared" si="0"/>
        <v>0</v>
      </c>
      <c r="N71" s="64"/>
      <c r="O71" s="64"/>
      <c r="P71" s="555"/>
    </row>
    <row r="72" spans="1:19" ht="15.75" x14ac:dyDescent="0.25">
      <c r="A72" s="132" t="s">
        <v>192</v>
      </c>
      <c r="B72" s="556">
        <v>410</v>
      </c>
      <c r="C72" s="134"/>
      <c r="D72" s="64">
        <f>E72+F72</f>
        <v>0</v>
      </c>
      <c r="E72" s="64"/>
      <c r="F72" s="64"/>
      <c r="G72" s="64"/>
      <c r="H72" s="64"/>
      <c r="I72" s="64"/>
      <c r="J72" s="64"/>
      <c r="K72" s="64"/>
      <c r="L72" s="64"/>
      <c r="M72" s="59">
        <f t="shared" si="0"/>
        <v>0</v>
      </c>
      <c r="N72" s="64"/>
      <c r="O72" s="64"/>
      <c r="P72" s="555"/>
    </row>
    <row r="73" spans="1:19" ht="15.75" x14ac:dyDescent="0.25">
      <c r="A73" s="132" t="s">
        <v>193</v>
      </c>
      <c r="B73" s="556">
        <v>420</v>
      </c>
      <c r="C73" s="134"/>
      <c r="D73" s="64"/>
      <c r="E73" s="64"/>
      <c r="F73" s="64"/>
      <c r="G73" s="64"/>
      <c r="H73" s="64"/>
      <c r="I73" s="64"/>
      <c r="J73" s="64"/>
      <c r="K73" s="64"/>
      <c r="L73" s="64"/>
      <c r="M73" s="59">
        <f t="shared" si="0"/>
        <v>0</v>
      </c>
      <c r="N73" s="64"/>
      <c r="O73" s="64"/>
      <c r="P73" s="555"/>
    </row>
    <row r="74" spans="1:19" s="115" customFormat="1" ht="17.25" customHeight="1" x14ac:dyDescent="0.2">
      <c r="A74" s="130" t="s">
        <v>194</v>
      </c>
      <c r="B74" s="557">
        <v>500</v>
      </c>
      <c r="C74" s="114" t="s">
        <v>149</v>
      </c>
      <c r="D74" s="59">
        <f>E74+F74+L74+M74</f>
        <v>0</v>
      </c>
      <c r="E74" s="59"/>
      <c r="F74" s="59">
        <f>SUM(G74:J74)</f>
        <v>0</v>
      </c>
      <c r="G74" s="59">
        <v>0</v>
      </c>
      <c r="H74" s="59"/>
      <c r="I74" s="59">
        <v>0</v>
      </c>
      <c r="J74" s="59">
        <v>0</v>
      </c>
      <c r="K74" s="59">
        <v>0</v>
      </c>
      <c r="L74" s="59"/>
      <c r="M74" s="59"/>
      <c r="N74" s="59"/>
      <c r="O74" s="59"/>
      <c r="P74" s="59">
        <v>0</v>
      </c>
    </row>
    <row r="75" spans="1:19" s="115" customFormat="1" ht="15.75" x14ac:dyDescent="0.2">
      <c r="A75" s="130" t="s">
        <v>195</v>
      </c>
      <c r="B75" s="557">
        <v>600</v>
      </c>
      <c r="C75" s="114" t="s">
        <v>149</v>
      </c>
      <c r="D75" s="59"/>
      <c r="E75" s="59"/>
      <c r="F75" s="59"/>
      <c r="G75" s="59"/>
      <c r="H75" s="59"/>
      <c r="I75" s="59"/>
      <c r="J75" s="59"/>
      <c r="K75" s="59"/>
      <c r="L75" s="59"/>
      <c r="M75" s="59"/>
      <c r="N75" s="59">
        <f t="shared" ref="N75:P75" si="18">N10+N74-N22</f>
        <v>4.425048828125E-4</v>
      </c>
      <c r="O75" s="59">
        <f t="shared" si="18"/>
        <v>0</v>
      </c>
      <c r="P75" s="59">
        <f t="shared" si="18"/>
        <v>0</v>
      </c>
    </row>
    <row r="77" spans="1:19" x14ac:dyDescent="0.25">
      <c r="E77" s="111"/>
      <c r="N77" s="125"/>
      <c r="O77" s="125"/>
      <c r="P77" s="125"/>
    </row>
    <row r="78" spans="1:19" x14ac:dyDescent="0.25">
      <c r="F78" s="111"/>
      <c r="N78" s="125"/>
      <c r="O78" s="125"/>
      <c r="P78" s="125"/>
    </row>
    <row r="79" spans="1:19" x14ac:dyDescent="0.25">
      <c r="N79" s="125">
        <f>N73</f>
        <v>0</v>
      </c>
      <c r="O79" s="125"/>
      <c r="P79" s="125"/>
    </row>
    <row r="80" spans="1:19" x14ac:dyDescent="0.25">
      <c r="N80" s="125"/>
      <c r="O80" s="125"/>
      <c r="P80" s="125"/>
    </row>
  </sheetData>
  <mergeCells count="31">
    <mergeCell ref="C51:C53"/>
    <mergeCell ref="A55:A58"/>
    <mergeCell ref="C55:C57"/>
    <mergeCell ref="A59:A60"/>
    <mergeCell ref="A61:A62"/>
    <mergeCell ref="B61:B62"/>
    <mergeCell ref="B25:B27"/>
    <mergeCell ref="A30:A31"/>
    <mergeCell ref="B35:B39"/>
    <mergeCell ref="B41:B43"/>
    <mergeCell ref="A64:A65"/>
    <mergeCell ref="B64:B65"/>
    <mergeCell ref="A51:A54"/>
    <mergeCell ref="B44:B45"/>
    <mergeCell ref="B28:B31"/>
    <mergeCell ref="M7:O8"/>
    <mergeCell ref="P7:P8"/>
    <mergeCell ref="A5:A8"/>
    <mergeCell ref="B5:B8"/>
    <mergeCell ref="C5:C8"/>
    <mergeCell ref="D5:P5"/>
    <mergeCell ref="D6:D8"/>
    <mergeCell ref="E6:P6"/>
    <mergeCell ref="E7:E8"/>
    <mergeCell ref="F7:F8"/>
    <mergeCell ref="G7:G8"/>
    <mergeCell ref="H7:H8"/>
    <mergeCell ref="I7:I8"/>
    <mergeCell ref="J7:J8"/>
    <mergeCell ref="K7:K8"/>
    <mergeCell ref="L7:L8"/>
  </mergeCells>
  <pageMargins left="0.15748031496062992" right="0.19685039370078741" top="0.31496062992125984" bottom="0.15748031496062992" header="0.19685039370078741" footer="0.15748031496062992"/>
  <pageSetup paperSize="9" scale="73" fitToHeight="2" orientation="landscape" r:id="rId1"/>
  <rowBreaks count="1" manualBreakCount="1">
    <brk id="34" max="17" man="1"/>
  </rowBreaks>
  <legacy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50"/>
    <pageSetUpPr fitToPage="1"/>
  </sheetPr>
  <dimension ref="A1:U78"/>
  <sheetViews>
    <sheetView showZeros="0" zoomScale="90" zoomScaleNormal="90" zoomScaleSheetLayoutView="100" workbookViewId="0">
      <pane xSplit="4" ySplit="9" topLeftCell="E37" activePane="bottomRight" state="frozen"/>
      <selection pane="topRight" activeCell="E1" sqref="E1"/>
      <selection pane="bottomLeft" activeCell="A9" sqref="A9"/>
      <selection pane="bottomRight" activeCell="J48" sqref="J48"/>
    </sheetView>
  </sheetViews>
  <sheetFormatPr defaultColWidth="9.140625" defaultRowHeight="15" x14ac:dyDescent="0.25"/>
  <cols>
    <col min="1" max="1" width="45" style="117" customWidth="1"/>
    <col min="2" max="2" width="9" style="117" customWidth="1"/>
    <col min="3" max="3" width="17.85546875" style="124" customWidth="1"/>
    <col min="4" max="4" width="18.42578125" style="117" customWidth="1"/>
    <col min="5" max="5" width="18.85546875" style="117" customWidth="1"/>
    <col min="6" max="10" width="20.28515625" style="117" customWidth="1"/>
    <col min="11" max="11" width="16.7109375" style="117" customWidth="1"/>
    <col min="12" max="13" width="16.7109375" style="125" customWidth="1"/>
    <col min="14" max="15" width="17.5703125" style="117" customWidth="1"/>
    <col min="16" max="16" width="18" style="117" customWidth="1"/>
    <col min="17" max="17" width="9.5703125" style="117" customWidth="1"/>
    <col min="18" max="18" width="15.42578125" style="117" hidden="1" customWidth="1"/>
    <col min="19" max="19" width="17.140625" style="117" hidden="1" customWidth="1"/>
    <col min="20" max="20" width="15.140625" style="117" hidden="1" customWidth="1"/>
    <col min="21" max="21" width="14" style="117" customWidth="1"/>
    <col min="22" max="22" width="13.85546875" style="117" customWidth="1"/>
    <col min="23" max="25" width="9.140625" style="117" customWidth="1"/>
    <col min="26" max="16384" width="9.140625" style="117"/>
  </cols>
  <sheetData>
    <row r="1" spans="1:20" ht="15.75" x14ac:dyDescent="0.25">
      <c r="A1" s="123" t="s">
        <v>131</v>
      </c>
      <c r="F1" s="111"/>
      <c r="G1" s="111"/>
    </row>
    <row r="2" spans="1:20" ht="15.75" x14ac:dyDescent="0.25">
      <c r="A2" s="126" t="s">
        <v>132</v>
      </c>
      <c r="F2" s="111"/>
      <c r="G2" s="111"/>
      <c r="R2" s="127" t="s">
        <v>240</v>
      </c>
      <c r="S2" s="127" t="s">
        <v>241</v>
      </c>
    </row>
    <row r="3" spans="1:20" ht="15.75" x14ac:dyDescent="0.25">
      <c r="A3" s="126"/>
      <c r="F3" s="111"/>
      <c r="G3" s="111"/>
      <c r="H3" s="128"/>
      <c r="N3" s="111"/>
    </row>
    <row r="4" spans="1:20" ht="15.75" x14ac:dyDescent="0.25">
      <c r="A4" s="129"/>
      <c r="N4" s="111"/>
    </row>
    <row r="5" spans="1:20" ht="15.75" x14ac:dyDescent="0.25">
      <c r="A5" s="1383" t="s">
        <v>88</v>
      </c>
      <c r="B5" s="1383" t="s">
        <v>133</v>
      </c>
      <c r="C5" s="1383" t="s">
        <v>134</v>
      </c>
      <c r="D5" s="1383" t="s">
        <v>135</v>
      </c>
      <c r="E5" s="1383"/>
      <c r="F5" s="1383"/>
      <c r="G5" s="1383"/>
      <c r="H5" s="1383"/>
      <c r="I5" s="1383"/>
      <c r="J5" s="1383"/>
      <c r="K5" s="1383"/>
      <c r="L5" s="1383"/>
      <c r="M5" s="1383"/>
      <c r="N5" s="1383"/>
      <c r="O5" s="1383"/>
      <c r="P5" s="1383"/>
    </row>
    <row r="6" spans="1:20" ht="15.75" customHeight="1" x14ac:dyDescent="0.25">
      <c r="A6" s="1383"/>
      <c r="B6" s="1383"/>
      <c r="C6" s="1383"/>
      <c r="D6" s="1383" t="s">
        <v>364</v>
      </c>
      <c r="E6" s="1383" t="s">
        <v>137</v>
      </c>
      <c r="F6" s="1383"/>
      <c r="G6" s="1383"/>
      <c r="H6" s="1383"/>
      <c r="I6" s="1383"/>
      <c r="J6" s="1383"/>
      <c r="K6" s="1383"/>
      <c r="L6" s="1383"/>
      <c r="M6" s="1383"/>
      <c r="N6" s="1383"/>
      <c r="O6" s="1383"/>
      <c r="P6" s="1383"/>
    </row>
    <row r="7" spans="1:20" ht="63" customHeight="1" x14ac:dyDescent="0.25">
      <c r="A7" s="1383"/>
      <c r="B7" s="1383"/>
      <c r="C7" s="1383"/>
      <c r="D7" s="1383"/>
      <c r="E7" s="1383" t="s">
        <v>455</v>
      </c>
      <c r="F7" s="1383" t="s">
        <v>456</v>
      </c>
      <c r="G7" s="1383" t="s">
        <v>457</v>
      </c>
      <c r="H7" s="1383" t="s">
        <v>141</v>
      </c>
      <c r="I7" s="1383" t="s">
        <v>458</v>
      </c>
      <c r="J7" s="1383" t="s">
        <v>142</v>
      </c>
      <c r="K7" s="1383" t="s">
        <v>459</v>
      </c>
      <c r="L7" s="1383" t="s">
        <v>460</v>
      </c>
      <c r="M7" s="1383" t="s">
        <v>461</v>
      </c>
      <c r="N7" s="1383"/>
      <c r="O7" s="1383"/>
      <c r="P7" s="1383"/>
    </row>
    <row r="8" spans="1:20" ht="63.75" customHeight="1" x14ac:dyDescent="0.25">
      <c r="A8" s="1383"/>
      <c r="B8" s="1383"/>
      <c r="C8" s="1383"/>
      <c r="D8" s="1383"/>
      <c r="E8" s="1383"/>
      <c r="F8" s="1383"/>
      <c r="G8" s="1383"/>
      <c r="H8" s="1383"/>
      <c r="I8" s="1383"/>
      <c r="J8" s="1383"/>
      <c r="K8" s="1383"/>
      <c r="L8" s="1383"/>
      <c r="M8" s="555" t="s">
        <v>364</v>
      </c>
      <c r="N8" s="555" t="s">
        <v>139</v>
      </c>
      <c r="O8" s="555" t="s">
        <v>146</v>
      </c>
      <c r="P8" s="555" t="s">
        <v>462</v>
      </c>
    </row>
    <row r="9" spans="1:20" ht="15.75" x14ac:dyDescent="0.25">
      <c r="A9" s="556">
        <v>1</v>
      </c>
      <c r="B9" s="556">
        <v>2</v>
      </c>
      <c r="C9" s="555">
        <v>3</v>
      </c>
      <c r="D9" s="556">
        <v>4</v>
      </c>
      <c r="E9" s="556">
        <v>5</v>
      </c>
      <c r="F9" s="554">
        <v>6</v>
      </c>
      <c r="G9" s="554"/>
      <c r="H9" s="554"/>
      <c r="I9" s="554"/>
      <c r="J9" s="554"/>
      <c r="K9" s="554">
        <v>7</v>
      </c>
      <c r="L9" s="265">
        <v>8</v>
      </c>
      <c r="M9" s="554">
        <v>9</v>
      </c>
      <c r="O9" s="554"/>
      <c r="P9" s="554">
        <v>10</v>
      </c>
    </row>
    <row r="10" spans="1:20" s="115" customFormat="1" ht="15.75" x14ac:dyDescent="0.25">
      <c r="A10" s="130" t="s">
        <v>148</v>
      </c>
      <c r="B10" s="557">
        <v>100</v>
      </c>
      <c r="C10" s="114" t="s">
        <v>149</v>
      </c>
      <c r="D10" s="59">
        <f>F10+K10+L10+M10+P10+E10</f>
        <v>1175178580.1199999</v>
      </c>
      <c r="E10" s="59">
        <f>SUM(E13)</f>
        <v>171716800</v>
      </c>
      <c r="F10" s="59">
        <f>F19</f>
        <v>632586000</v>
      </c>
      <c r="G10" s="59">
        <f>G19</f>
        <v>581122700</v>
      </c>
      <c r="H10" s="59">
        <f>H19</f>
        <v>0</v>
      </c>
      <c r="I10" s="59">
        <f>I19</f>
        <v>22131000</v>
      </c>
      <c r="J10" s="59">
        <f>J19</f>
        <v>29332300</v>
      </c>
      <c r="K10" s="59">
        <v>0</v>
      </c>
      <c r="L10" s="131">
        <f>L12+L13</f>
        <v>1800000</v>
      </c>
      <c r="M10" s="59">
        <f>N10+O10</f>
        <v>369075780.12</v>
      </c>
      <c r="N10" s="59">
        <f>N16+N20</f>
        <v>274491931</v>
      </c>
      <c r="O10" s="59">
        <f>O12+O13+O17+O18+O19+O20+O21</f>
        <v>94583849.120000005</v>
      </c>
      <c r="P10" s="59">
        <v>0</v>
      </c>
      <c r="R10" s="131">
        <v>343352551.449</v>
      </c>
      <c r="S10" s="131">
        <v>275145687.99900001</v>
      </c>
      <c r="T10" s="131">
        <v>68206863.450000003</v>
      </c>
    </row>
    <row r="11" spans="1:20" ht="15.75" x14ac:dyDescent="0.25">
      <c r="A11" s="132" t="s">
        <v>137</v>
      </c>
      <c r="B11" s="133"/>
      <c r="C11" s="134"/>
      <c r="D11" s="64"/>
      <c r="E11" s="556"/>
      <c r="F11" s="556"/>
      <c r="G11" s="556"/>
      <c r="H11" s="556"/>
      <c r="I11" s="556"/>
      <c r="J11" s="556"/>
      <c r="K11" s="556"/>
      <c r="L11" s="62"/>
      <c r="M11" s="59">
        <f t="shared" ref="M11:M73" si="0">N11+O11</f>
        <v>0</v>
      </c>
      <c r="N11" s="267"/>
      <c r="O11" s="267"/>
      <c r="P11" s="555"/>
    </row>
    <row r="12" spans="1:20" ht="15.75" x14ac:dyDescent="0.25">
      <c r="A12" s="132" t="s">
        <v>150</v>
      </c>
      <c r="B12" s="556">
        <v>110</v>
      </c>
      <c r="C12" s="134"/>
      <c r="D12" s="64"/>
      <c r="E12" s="64"/>
      <c r="F12" s="562"/>
      <c r="G12" s="562"/>
      <c r="H12" s="562"/>
      <c r="I12" s="562"/>
      <c r="J12" s="562"/>
      <c r="K12" s="133"/>
      <c r="L12" s="62"/>
      <c r="M12" s="59">
        <f t="shared" si="0"/>
        <v>0</v>
      </c>
      <c r="N12" s="267"/>
      <c r="O12" s="267"/>
      <c r="P12" s="134"/>
      <c r="R12" s="111"/>
      <c r="S12" s="111">
        <f>S10-N10</f>
        <v>653756.99900001287</v>
      </c>
      <c r="T12" s="111">
        <f>T10-O10</f>
        <v>-26376985.670000002</v>
      </c>
    </row>
    <row r="13" spans="1:20" ht="15.75" x14ac:dyDescent="0.25">
      <c r="A13" s="132" t="s">
        <v>151</v>
      </c>
      <c r="B13" s="556">
        <v>120</v>
      </c>
      <c r="C13" s="134"/>
      <c r="D13" s="64">
        <f>E13+F13+L13+M13</f>
        <v>173516800</v>
      </c>
      <c r="E13" s="64">
        <f>E14+E15</f>
        <v>171716800</v>
      </c>
      <c r="F13" s="556"/>
      <c r="G13" s="556"/>
      <c r="H13" s="556"/>
      <c r="I13" s="556"/>
      <c r="J13" s="556"/>
      <c r="K13" s="556"/>
      <c r="L13" s="62">
        <f>SUM(L14:L16)</f>
        <v>1800000</v>
      </c>
      <c r="M13" s="59">
        <f t="shared" si="0"/>
        <v>0</v>
      </c>
      <c r="N13" s="64"/>
      <c r="O13" s="64"/>
      <c r="P13" s="134"/>
    </row>
    <row r="14" spans="1:20" ht="15.75" x14ac:dyDescent="0.25">
      <c r="A14" s="132" t="s">
        <v>152</v>
      </c>
      <c r="B14" s="133"/>
      <c r="C14" s="134"/>
      <c r="D14" s="64">
        <f>E14+F14+L14+M14</f>
        <v>173516800</v>
      </c>
      <c r="E14" s="266">
        <v>171716800</v>
      </c>
      <c r="F14" s="556"/>
      <c r="G14" s="556"/>
      <c r="H14" s="556"/>
      <c r="I14" s="556"/>
      <c r="J14" s="556"/>
      <c r="K14" s="556"/>
      <c r="L14" s="266">
        <v>1800000</v>
      </c>
      <c r="M14" s="59">
        <f t="shared" si="0"/>
        <v>0</v>
      </c>
      <c r="N14" s="64"/>
      <c r="O14" s="64"/>
      <c r="P14" s="134"/>
    </row>
    <row r="15" spans="1:20" ht="15.75" x14ac:dyDescent="0.25">
      <c r="A15" s="132" t="s">
        <v>153</v>
      </c>
      <c r="B15" s="133"/>
      <c r="C15" s="134"/>
      <c r="D15" s="64"/>
      <c r="E15" s="266"/>
      <c r="F15" s="556"/>
      <c r="G15" s="556"/>
      <c r="H15" s="556"/>
      <c r="I15" s="556"/>
      <c r="J15" s="556"/>
      <c r="K15" s="556"/>
      <c r="L15" s="266"/>
      <c r="M15" s="59">
        <f t="shared" si="0"/>
        <v>0</v>
      </c>
      <c r="N15" s="267"/>
      <c r="O15" s="267"/>
      <c r="P15" s="134"/>
    </row>
    <row r="16" spans="1:20" ht="15.75" x14ac:dyDescent="0.25">
      <c r="A16" s="132" t="s">
        <v>154</v>
      </c>
      <c r="B16" s="133"/>
      <c r="C16" s="134"/>
      <c r="D16" s="64">
        <f>E16+F16+L16+M16</f>
        <v>18564470</v>
      </c>
      <c r="E16" s="266"/>
      <c r="F16" s="556"/>
      <c r="G16" s="556"/>
      <c r="H16" s="556"/>
      <c r="I16" s="556"/>
      <c r="J16" s="556"/>
      <c r="K16" s="556"/>
      <c r="L16" s="62"/>
      <c r="M16" s="64">
        <f t="shared" si="0"/>
        <v>18564470</v>
      </c>
      <c r="N16" s="64">
        <v>18564470</v>
      </c>
      <c r="O16" s="64"/>
      <c r="P16" s="134"/>
    </row>
    <row r="17" spans="1:18" ht="31.5" x14ac:dyDescent="0.25">
      <c r="A17" s="132" t="s">
        <v>155</v>
      </c>
      <c r="B17" s="556">
        <v>130</v>
      </c>
      <c r="C17" s="134"/>
      <c r="D17" s="64"/>
      <c r="E17" s="555"/>
      <c r="F17" s="555"/>
      <c r="G17" s="555"/>
      <c r="H17" s="555"/>
      <c r="I17" s="555"/>
      <c r="J17" s="555"/>
      <c r="K17" s="555"/>
      <c r="L17" s="555"/>
      <c r="M17" s="64">
        <f t="shared" si="0"/>
        <v>0</v>
      </c>
      <c r="N17" s="267"/>
      <c r="O17" s="267"/>
      <c r="P17" s="555" t="s">
        <v>149</v>
      </c>
    </row>
    <row r="18" spans="1:18" ht="63.75" customHeight="1" x14ac:dyDescent="0.25">
      <c r="A18" s="132" t="s">
        <v>156</v>
      </c>
      <c r="B18" s="556">
        <v>140</v>
      </c>
      <c r="C18" s="134"/>
      <c r="D18" s="64"/>
      <c r="E18" s="555"/>
      <c r="F18" s="555"/>
      <c r="G18" s="555"/>
      <c r="H18" s="555"/>
      <c r="I18" s="555"/>
      <c r="J18" s="555"/>
      <c r="K18" s="555"/>
      <c r="L18" s="555"/>
      <c r="M18" s="64">
        <f t="shared" si="0"/>
        <v>0</v>
      </c>
      <c r="N18" s="267"/>
      <c r="O18" s="267"/>
      <c r="P18" s="555" t="s">
        <v>149</v>
      </c>
    </row>
    <row r="19" spans="1:18" ht="18.75" customHeight="1" x14ac:dyDescent="0.25">
      <c r="A19" s="132" t="s">
        <v>157</v>
      </c>
      <c r="B19" s="556">
        <v>150</v>
      </c>
      <c r="C19" s="134"/>
      <c r="D19" s="64">
        <f>E19+F19+L19+M19</f>
        <v>632586000</v>
      </c>
      <c r="E19" s="555"/>
      <c r="F19" s="64">
        <f>G19+I19+J19</f>
        <v>632586000</v>
      </c>
      <c r="G19" s="64">
        <f>632253700-29000000-22131000</f>
        <v>581122700</v>
      </c>
      <c r="H19" s="64"/>
      <c r="I19" s="64">
        <f>I22</f>
        <v>22131000</v>
      </c>
      <c r="J19" s="64">
        <v>29332300</v>
      </c>
      <c r="K19" s="134"/>
      <c r="L19" s="555"/>
      <c r="M19" s="64">
        <f t="shared" si="0"/>
        <v>0</v>
      </c>
      <c r="N19" s="64"/>
      <c r="O19" s="64"/>
      <c r="P19" s="555" t="s">
        <v>149</v>
      </c>
    </row>
    <row r="20" spans="1:18" ht="19.5" customHeight="1" x14ac:dyDescent="0.25">
      <c r="A20" s="132" t="s">
        <v>158</v>
      </c>
      <c r="B20" s="556">
        <v>160</v>
      </c>
      <c r="C20" s="134"/>
      <c r="D20" s="64">
        <f>E20+F20+L20+M20</f>
        <v>350511310.12</v>
      </c>
      <c r="E20" s="555"/>
      <c r="F20" s="555"/>
      <c r="G20" s="64"/>
      <c r="H20" s="555"/>
      <c r="I20" s="555"/>
      <c r="J20" s="555"/>
      <c r="K20" s="555"/>
      <c r="L20" s="555"/>
      <c r="M20" s="64">
        <f t="shared" si="0"/>
        <v>350511310.12</v>
      </c>
      <c r="N20" s="64">
        <v>255927461</v>
      </c>
      <c r="O20" s="64">
        <v>94583849.120000005</v>
      </c>
      <c r="P20" s="133"/>
    </row>
    <row r="21" spans="1:18" ht="15.75" x14ac:dyDescent="0.25">
      <c r="A21" s="132" t="s">
        <v>159</v>
      </c>
      <c r="B21" s="556">
        <v>180</v>
      </c>
      <c r="C21" s="555" t="s">
        <v>149</v>
      </c>
      <c r="D21" s="64"/>
      <c r="E21" s="556"/>
      <c r="F21" s="556"/>
      <c r="G21" s="266"/>
      <c r="H21" s="556"/>
      <c r="I21" s="556"/>
      <c r="J21" s="556"/>
      <c r="K21" s="556"/>
      <c r="L21" s="561"/>
      <c r="M21" s="59">
        <f t="shared" si="0"/>
        <v>0</v>
      </c>
      <c r="N21" s="267"/>
      <c r="O21" s="267"/>
      <c r="P21" s="556" t="s">
        <v>149</v>
      </c>
    </row>
    <row r="22" spans="1:18" s="115" customFormat="1" ht="15.75" x14ac:dyDescent="0.2">
      <c r="A22" s="130" t="s">
        <v>160</v>
      </c>
      <c r="B22" s="557">
        <v>200</v>
      </c>
      <c r="C22" s="114" t="s">
        <v>149</v>
      </c>
      <c r="D22" s="59">
        <f>E22+F22+L22+M22</f>
        <v>1175178580.1170175</v>
      </c>
      <c r="E22" s="59">
        <f>E23+E28+E40+E41+E66+E44+E32</f>
        <v>171716799.99925998</v>
      </c>
      <c r="F22" s="59">
        <f>F23+F28+F40+F41+F66+F44+F32</f>
        <v>632585999.99820006</v>
      </c>
      <c r="G22" s="59">
        <f>G23+G32+G44</f>
        <v>581122700</v>
      </c>
      <c r="H22" s="59">
        <f t="shared" ref="H22" si="1">H23+H28+H40+H41+H66+H44+H32</f>
        <v>0</v>
      </c>
      <c r="I22" s="59">
        <f>I23+I28+I40+I41+I66+I44+I32</f>
        <v>22131000</v>
      </c>
      <c r="J22" s="59">
        <f>J23+J28+J40+J41+J66+J44+J32</f>
        <v>29332299.998199999</v>
      </c>
      <c r="K22" s="59">
        <f>K23+K28+K35+K40+K41+K66+K44</f>
        <v>0</v>
      </c>
      <c r="L22" s="59">
        <f>L23+L28+L40+L41+L44+L66+L32</f>
        <v>1800000</v>
      </c>
      <c r="M22" s="59">
        <f t="shared" si="0"/>
        <v>369075780.1195575</v>
      </c>
      <c r="N22" s="59">
        <f t="shared" ref="N22:O22" si="2">N23+N28+N40+N41+N44+N66+N32</f>
        <v>274491930.9995575</v>
      </c>
      <c r="O22" s="59">
        <f t="shared" si="2"/>
        <v>94583849.120000005</v>
      </c>
      <c r="P22" s="59">
        <f>P23+P28+P35+P40+P41+P66+P44</f>
        <v>0</v>
      </c>
      <c r="R22" s="135"/>
    </row>
    <row r="23" spans="1:18" s="115" customFormat="1" ht="18.75" customHeight="1" x14ac:dyDescent="0.2">
      <c r="A23" s="130" t="s">
        <v>161</v>
      </c>
      <c r="B23" s="557">
        <v>210</v>
      </c>
      <c r="C23" s="114">
        <v>110</v>
      </c>
      <c r="D23" s="59">
        <f>E23+F23+L23+M23</f>
        <v>380865827.58881754</v>
      </c>
      <c r="E23" s="59">
        <f>E25+E26+E27</f>
        <v>123836265.23925999</v>
      </c>
      <c r="F23" s="59">
        <f>F25+F26+F27</f>
        <v>28621974.200000003</v>
      </c>
      <c r="G23" s="59">
        <f>G25+G26</f>
        <v>0</v>
      </c>
      <c r="H23" s="59">
        <f t="shared" ref="H23:P23" si="3">H25+H26+H27</f>
        <v>0</v>
      </c>
      <c r="I23" s="59">
        <f t="shared" si="3"/>
        <v>9540874.1999999993</v>
      </c>
      <c r="J23" s="59">
        <f t="shared" si="3"/>
        <v>19081100</v>
      </c>
      <c r="K23" s="59">
        <f t="shared" si="3"/>
        <v>0</v>
      </c>
      <c r="L23" s="59">
        <f>L25+L26+L27</f>
        <v>1730000</v>
      </c>
      <c r="M23" s="59">
        <f t="shared" si="0"/>
        <v>226677588.14955753</v>
      </c>
      <c r="N23" s="59">
        <f t="shared" ref="N23:O23" si="4">N25+N26+N27</f>
        <v>163848862.20955753</v>
      </c>
      <c r="O23" s="59">
        <f t="shared" si="4"/>
        <v>62828725.939999998</v>
      </c>
      <c r="P23" s="59">
        <f t="shared" si="3"/>
        <v>0</v>
      </c>
    </row>
    <row r="24" spans="1:18" ht="15.75" x14ac:dyDescent="0.25">
      <c r="A24" s="132" t="s">
        <v>92</v>
      </c>
      <c r="B24" s="133"/>
      <c r="C24" s="134"/>
      <c r="D24" s="64"/>
      <c r="E24" s="64"/>
      <c r="F24" s="64"/>
      <c r="G24" s="64"/>
      <c r="H24" s="64"/>
      <c r="I24" s="64"/>
      <c r="J24" s="64"/>
      <c r="K24" s="64"/>
      <c r="L24" s="64"/>
      <c r="M24" s="59">
        <f t="shared" si="0"/>
        <v>0</v>
      </c>
      <c r="N24" s="64"/>
      <c r="O24" s="64"/>
      <c r="P24" s="555"/>
    </row>
    <row r="25" spans="1:18" ht="16.5" customHeight="1" x14ac:dyDescent="0.25">
      <c r="A25" s="132" t="s">
        <v>162</v>
      </c>
      <c r="B25" s="1385">
        <v>211</v>
      </c>
      <c r="C25" s="555">
        <v>111</v>
      </c>
      <c r="D25" s="64">
        <f>E25+F25+L25+M25</f>
        <v>291459224.58159757</v>
      </c>
      <c r="E25" s="64">
        <v>94897285.129999995</v>
      </c>
      <c r="F25" s="64">
        <f>SUM(G25:J25)</f>
        <v>21983080.370000001</v>
      </c>
      <c r="G25" s="64"/>
      <c r="H25" s="64"/>
      <c r="I25" s="64">
        <v>7327860.3700000001</v>
      </c>
      <c r="J25" s="64">
        <v>14655220</v>
      </c>
      <c r="K25" s="64"/>
      <c r="L25" s="64">
        <v>1328725.04</v>
      </c>
      <c r="M25" s="64">
        <f t="shared" si="0"/>
        <v>173250134.04159755</v>
      </c>
      <c r="N25" s="64">
        <v>125039160.68159753</v>
      </c>
      <c r="O25" s="64">
        <v>48210973.359999999</v>
      </c>
      <c r="P25" s="555"/>
    </row>
    <row r="26" spans="1:18" ht="18.75" customHeight="1" x14ac:dyDescent="0.25">
      <c r="A26" s="132" t="s">
        <v>163</v>
      </c>
      <c r="B26" s="1385"/>
      <c r="C26" s="555">
        <v>119</v>
      </c>
      <c r="D26" s="64">
        <f>E26+F26+L26+M26</f>
        <v>88020689.367219999</v>
      </c>
      <c r="E26" s="64">
        <f>E25*30.2%</f>
        <v>28658980.109259997</v>
      </c>
      <c r="F26" s="64">
        <f>SUM(G26:J26)</f>
        <v>6638893.8300000001</v>
      </c>
      <c r="G26" s="64"/>
      <c r="H26" s="64"/>
      <c r="I26" s="64">
        <v>2213013.83</v>
      </c>
      <c r="J26" s="64">
        <v>4425880</v>
      </c>
      <c r="K26" s="64"/>
      <c r="L26" s="64">
        <v>401274.96</v>
      </c>
      <c r="M26" s="64">
        <f t="shared" si="0"/>
        <v>52321540.46796</v>
      </c>
      <c r="N26" s="64">
        <v>37761826.527960002</v>
      </c>
      <c r="O26" s="64">
        <v>14559713.939999999</v>
      </c>
      <c r="P26" s="555"/>
    </row>
    <row r="27" spans="1:18" ht="31.5" x14ac:dyDescent="0.25">
      <c r="A27" s="132" t="s">
        <v>164</v>
      </c>
      <c r="B27" s="1385"/>
      <c r="C27" s="555">
        <v>112</v>
      </c>
      <c r="D27" s="64">
        <f>E27+F27+L27+M27</f>
        <v>1385913.64</v>
      </c>
      <c r="E27" s="64">
        <v>280000</v>
      </c>
      <c r="F27" s="64">
        <f t="shared" ref="F27:F34" si="5">SUM(G27:J27)</f>
        <v>0</v>
      </c>
      <c r="G27" s="64" t="s">
        <v>252</v>
      </c>
      <c r="H27" s="64"/>
      <c r="I27" s="64"/>
      <c r="J27" s="64"/>
      <c r="K27" s="64"/>
      <c r="L27" s="64"/>
      <c r="M27" s="64">
        <f t="shared" si="0"/>
        <v>1105913.6399999999</v>
      </c>
      <c r="N27" s="64">
        <v>1047875</v>
      </c>
      <c r="O27" s="64">
        <v>58038.64</v>
      </c>
      <c r="P27" s="555"/>
    </row>
    <row r="28" spans="1:18" s="115" customFormat="1" ht="31.5" x14ac:dyDescent="0.2">
      <c r="A28" s="130" t="s">
        <v>165</v>
      </c>
      <c r="B28" s="1385">
        <v>220</v>
      </c>
      <c r="C28" s="114">
        <v>300</v>
      </c>
      <c r="D28" s="59">
        <f>E28+F28+L28+N28</f>
        <v>0</v>
      </c>
      <c r="E28" s="59">
        <f>E30+E31</f>
        <v>0</v>
      </c>
      <c r="F28" s="59">
        <f t="shared" si="5"/>
        <v>0</v>
      </c>
      <c r="G28" s="59">
        <v>0</v>
      </c>
      <c r="H28" s="59">
        <v>0</v>
      </c>
      <c r="I28" s="59">
        <v>0</v>
      </c>
      <c r="J28" s="59">
        <f>J30+J31</f>
        <v>0</v>
      </c>
      <c r="K28" s="59">
        <f>K30+K31</f>
        <v>0</v>
      </c>
      <c r="L28" s="59">
        <v>0</v>
      </c>
      <c r="M28" s="59">
        <f t="shared" si="0"/>
        <v>0</v>
      </c>
      <c r="N28" s="59">
        <f t="shared" ref="N28:O28" si="6">N30+N31</f>
        <v>0</v>
      </c>
      <c r="O28" s="59">
        <f t="shared" si="6"/>
        <v>0</v>
      </c>
      <c r="P28" s="59">
        <f>P30+P31</f>
        <v>0</v>
      </c>
    </row>
    <row r="29" spans="1:18" ht="15.75" x14ac:dyDescent="0.25">
      <c r="A29" s="132" t="s">
        <v>92</v>
      </c>
      <c r="B29" s="1385"/>
      <c r="C29" s="134"/>
      <c r="D29" s="64"/>
      <c r="E29" s="64"/>
      <c r="F29" s="64">
        <f t="shared" si="5"/>
        <v>0</v>
      </c>
      <c r="G29" s="64"/>
      <c r="H29" s="64"/>
      <c r="I29" s="64"/>
      <c r="J29" s="64"/>
      <c r="K29" s="64"/>
      <c r="L29" s="64"/>
      <c r="M29" s="59">
        <f t="shared" si="0"/>
        <v>0</v>
      </c>
      <c r="N29" s="64"/>
      <c r="O29" s="64"/>
      <c r="P29" s="555"/>
    </row>
    <row r="30" spans="1:18" ht="15.75" x14ac:dyDescent="0.25">
      <c r="A30" s="1681" t="s">
        <v>166</v>
      </c>
      <c r="B30" s="1385"/>
      <c r="C30" s="555">
        <v>321</v>
      </c>
      <c r="D30" s="64"/>
      <c r="E30" s="64"/>
      <c r="F30" s="64">
        <f t="shared" si="5"/>
        <v>0</v>
      </c>
      <c r="G30" s="64"/>
      <c r="H30" s="64"/>
      <c r="I30" s="64"/>
      <c r="J30" s="64"/>
      <c r="K30" s="64"/>
      <c r="L30" s="64"/>
      <c r="M30" s="59">
        <f t="shared" si="0"/>
        <v>0</v>
      </c>
      <c r="N30" s="64"/>
      <c r="O30" s="64"/>
      <c r="P30" s="555"/>
    </row>
    <row r="31" spans="1:18" ht="15.75" x14ac:dyDescent="0.25">
      <c r="A31" s="1682"/>
      <c r="B31" s="1385"/>
      <c r="C31" s="555">
        <v>360</v>
      </c>
      <c r="D31" s="64"/>
      <c r="E31" s="64"/>
      <c r="F31" s="64">
        <f t="shared" si="5"/>
        <v>0</v>
      </c>
      <c r="G31" s="64"/>
      <c r="H31" s="64"/>
      <c r="I31" s="64"/>
      <c r="J31" s="64"/>
      <c r="K31" s="64"/>
      <c r="L31" s="64"/>
      <c r="M31" s="59">
        <f t="shared" si="0"/>
        <v>0</v>
      </c>
      <c r="N31" s="64"/>
      <c r="O31" s="64"/>
      <c r="P31" s="555"/>
    </row>
    <row r="32" spans="1:18" s="115" customFormat="1" ht="15.75" x14ac:dyDescent="0.2">
      <c r="A32" s="112" t="s">
        <v>167</v>
      </c>
      <c r="B32" s="113"/>
      <c r="C32" s="114">
        <v>800</v>
      </c>
      <c r="D32" s="59">
        <f>E32+F32+L32+M32</f>
        <v>13952109.640000001</v>
      </c>
      <c r="E32" s="59">
        <f>E33+E35</f>
        <v>5888541</v>
      </c>
      <c r="F32" s="59">
        <f>SUM(G32:J32)</f>
        <v>1461939.73</v>
      </c>
      <c r="G32" s="59">
        <f t="shared" ref="G32:P32" si="7">G33+G35</f>
        <v>0</v>
      </c>
      <c r="H32" s="59">
        <f t="shared" si="7"/>
        <v>0</v>
      </c>
      <c r="I32" s="59">
        <f t="shared" si="7"/>
        <v>1293239.8</v>
      </c>
      <c r="J32" s="59">
        <f t="shared" si="7"/>
        <v>168699.93</v>
      </c>
      <c r="K32" s="59">
        <f t="shared" si="7"/>
        <v>0</v>
      </c>
      <c r="L32" s="59">
        <f t="shared" si="7"/>
        <v>0</v>
      </c>
      <c r="M32" s="59">
        <f t="shared" si="0"/>
        <v>6601628.9100000001</v>
      </c>
      <c r="N32" s="59">
        <f t="shared" ref="N32:O32" si="8">N33+N35</f>
        <v>4937910.09</v>
      </c>
      <c r="O32" s="59">
        <f t="shared" si="8"/>
        <v>1663718.8200000003</v>
      </c>
      <c r="P32" s="59">
        <f t="shared" si="7"/>
        <v>0</v>
      </c>
    </row>
    <row r="33" spans="1:21" s="115" customFormat="1" ht="15.75" x14ac:dyDescent="0.25">
      <c r="A33" s="112" t="s">
        <v>168</v>
      </c>
      <c r="B33" s="113"/>
      <c r="C33" s="114">
        <v>830</v>
      </c>
      <c r="D33" s="59">
        <f>E33+F33+L33+M33</f>
        <v>15000</v>
      </c>
      <c r="E33" s="59">
        <f>SUM(E34)</f>
        <v>0</v>
      </c>
      <c r="F33" s="59">
        <f t="shared" si="5"/>
        <v>0</v>
      </c>
      <c r="G33" s="59">
        <f t="shared" ref="G33:P33" si="9">SUM(G34)</f>
        <v>0</v>
      </c>
      <c r="H33" s="59">
        <f t="shared" si="9"/>
        <v>0</v>
      </c>
      <c r="I33" s="59">
        <f t="shared" si="9"/>
        <v>0</v>
      </c>
      <c r="J33" s="59">
        <f t="shared" si="9"/>
        <v>0</v>
      </c>
      <c r="K33" s="59">
        <f t="shared" si="9"/>
        <v>0</v>
      </c>
      <c r="L33" s="59">
        <f t="shared" si="9"/>
        <v>0</v>
      </c>
      <c r="M33" s="59">
        <f t="shared" si="0"/>
        <v>15000</v>
      </c>
      <c r="N33" s="59">
        <f t="shared" ref="N33:O33" si="10">SUM(N34)</f>
        <v>15000</v>
      </c>
      <c r="O33" s="59">
        <f t="shared" si="10"/>
        <v>0</v>
      </c>
      <c r="P33" s="59">
        <f t="shared" si="9"/>
        <v>0</v>
      </c>
      <c r="R33" s="121" t="s">
        <v>237</v>
      </c>
    </row>
    <row r="34" spans="1:21" ht="63" x14ac:dyDescent="0.25">
      <c r="A34" s="116" t="s">
        <v>169</v>
      </c>
      <c r="B34" s="556"/>
      <c r="C34" s="555">
        <v>831</v>
      </c>
      <c r="D34" s="64">
        <f>E34+F34+L34+M34</f>
        <v>15000</v>
      </c>
      <c r="E34" s="64"/>
      <c r="F34" s="64">
        <f t="shared" si="5"/>
        <v>0</v>
      </c>
      <c r="G34" s="64"/>
      <c r="H34" s="64"/>
      <c r="I34" s="64"/>
      <c r="J34" s="64"/>
      <c r="K34" s="64"/>
      <c r="L34" s="64"/>
      <c r="M34" s="64">
        <f t="shared" si="0"/>
        <v>15000</v>
      </c>
      <c r="N34" s="64">
        <v>15000</v>
      </c>
      <c r="O34" s="64"/>
      <c r="P34" s="555"/>
      <c r="R34" s="122">
        <v>15000</v>
      </c>
      <c r="S34" s="121">
        <v>831</v>
      </c>
      <c r="U34" s="111"/>
    </row>
    <row r="35" spans="1:21" s="115" customFormat="1" ht="33" customHeight="1" x14ac:dyDescent="0.2">
      <c r="A35" s="136" t="s">
        <v>170</v>
      </c>
      <c r="B35" s="1424">
        <v>230</v>
      </c>
      <c r="C35" s="114">
        <v>850</v>
      </c>
      <c r="D35" s="59">
        <f>E35+F35+L35+M35</f>
        <v>13937109.640000001</v>
      </c>
      <c r="E35" s="59">
        <f>SUM(E37:E39)</f>
        <v>5888541</v>
      </c>
      <c r="F35" s="59">
        <f>F37+F38+F39</f>
        <v>1461939.7300000002</v>
      </c>
      <c r="G35" s="59">
        <f t="shared" ref="G35:K35" si="11">G37+G38+G39</f>
        <v>0</v>
      </c>
      <c r="H35" s="59">
        <f t="shared" si="11"/>
        <v>0</v>
      </c>
      <c r="I35" s="59">
        <f t="shared" si="11"/>
        <v>1293239.8</v>
      </c>
      <c r="J35" s="59">
        <f t="shared" si="11"/>
        <v>168699.93</v>
      </c>
      <c r="K35" s="59">
        <f t="shared" si="11"/>
        <v>0</v>
      </c>
      <c r="L35" s="59">
        <f>SUM(L36:L39)</f>
        <v>0</v>
      </c>
      <c r="M35" s="59">
        <f t="shared" si="0"/>
        <v>6586628.9100000001</v>
      </c>
      <c r="N35" s="59">
        <f>N37+N38+N39</f>
        <v>4922910.09</v>
      </c>
      <c r="O35" s="59">
        <f>O37+O38+O39</f>
        <v>1663718.8200000003</v>
      </c>
      <c r="P35" s="59">
        <f>P37+P38+P39</f>
        <v>0</v>
      </c>
    </row>
    <row r="36" spans="1:21" ht="15.75" x14ac:dyDescent="0.25">
      <c r="A36" s="132" t="s">
        <v>92</v>
      </c>
      <c r="B36" s="1422"/>
      <c r="C36" s="134"/>
      <c r="D36" s="64"/>
      <c r="E36" s="64"/>
      <c r="F36" s="64"/>
      <c r="G36" s="64"/>
      <c r="H36" s="64"/>
      <c r="I36" s="64"/>
      <c r="J36" s="64"/>
      <c r="K36" s="64"/>
      <c r="L36" s="64"/>
      <c r="M36" s="59">
        <f t="shared" si="0"/>
        <v>0</v>
      </c>
      <c r="N36" s="64"/>
      <c r="O36" s="64"/>
      <c r="P36" s="555"/>
      <c r="R36" s="121" t="s">
        <v>237</v>
      </c>
      <c r="S36" s="121" t="s">
        <v>197</v>
      </c>
      <c r="T36" s="121" t="s">
        <v>237</v>
      </c>
      <c r="U36" s="121"/>
    </row>
    <row r="37" spans="1:21" ht="31.5" x14ac:dyDescent="0.25">
      <c r="A37" s="132" t="s">
        <v>171</v>
      </c>
      <c r="B37" s="1422"/>
      <c r="C37" s="555">
        <v>851</v>
      </c>
      <c r="D37" s="64">
        <f>E37+F37+L37+M37</f>
        <v>11805308.640000001</v>
      </c>
      <c r="E37" s="64">
        <v>5545243.1200000001</v>
      </c>
      <c r="F37" s="64">
        <f>SUM(G37:J37)</f>
        <v>1453167.86</v>
      </c>
      <c r="G37" s="64"/>
      <c r="H37" s="64"/>
      <c r="I37" s="64">
        <v>1293239.8</v>
      </c>
      <c r="J37" s="64">
        <f>168700-0.07-J38</f>
        <v>159928.06</v>
      </c>
      <c r="K37" s="64"/>
      <c r="L37" s="64"/>
      <c r="M37" s="64">
        <f t="shared" si="0"/>
        <v>4806897.66</v>
      </c>
      <c r="N37" s="64">
        <v>3278406.97</v>
      </c>
      <c r="O37" s="64">
        <v>1528490.6900000002</v>
      </c>
      <c r="P37" s="555"/>
      <c r="R37" s="122">
        <v>2116229.66</v>
      </c>
      <c r="S37" s="122">
        <v>-2116229.66</v>
      </c>
      <c r="T37" s="122"/>
      <c r="U37" s="115"/>
    </row>
    <row r="38" spans="1:21" ht="15.75" x14ac:dyDescent="0.25">
      <c r="A38" s="132" t="s">
        <v>172</v>
      </c>
      <c r="B38" s="1422"/>
      <c r="C38" s="555">
        <v>852</v>
      </c>
      <c r="D38" s="64">
        <f>E38+F38+L38+M38</f>
        <v>645699.89</v>
      </c>
      <c r="E38" s="64">
        <v>235990.26</v>
      </c>
      <c r="F38" s="64">
        <f>SUM(G38:J38)</f>
        <v>8771.8700000000008</v>
      </c>
      <c r="G38" s="64"/>
      <c r="H38" s="64"/>
      <c r="I38" s="64"/>
      <c r="J38" s="64">
        <f>8771.87</f>
        <v>8771.8700000000008</v>
      </c>
      <c r="K38" s="64"/>
      <c r="L38" s="64"/>
      <c r="M38" s="64">
        <f t="shared" si="0"/>
        <v>400937.76</v>
      </c>
      <c r="N38" s="64">
        <v>331709.63</v>
      </c>
      <c r="O38" s="64">
        <v>69228.13</v>
      </c>
      <c r="P38" s="555"/>
      <c r="R38" s="122">
        <v>-75470.62</v>
      </c>
      <c r="S38" s="122"/>
      <c r="T38" s="122">
        <v>-49993.01</v>
      </c>
    </row>
    <row r="39" spans="1:21" ht="18.75" customHeight="1" x14ac:dyDescent="0.25">
      <c r="A39" s="132" t="s">
        <v>173</v>
      </c>
      <c r="B39" s="1423"/>
      <c r="C39" s="555">
        <v>853</v>
      </c>
      <c r="D39" s="64">
        <f>E39+F39+L39+M39</f>
        <v>1486101.1099999999</v>
      </c>
      <c r="E39" s="64">
        <v>107307.62</v>
      </c>
      <c r="F39" s="64">
        <f>SUM(G39:J39)</f>
        <v>0</v>
      </c>
      <c r="G39" s="64"/>
      <c r="H39" s="64"/>
      <c r="I39" s="64"/>
      <c r="J39" s="64"/>
      <c r="K39" s="64"/>
      <c r="L39" s="64"/>
      <c r="M39" s="64">
        <f t="shared" si="0"/>
        <v>1378793.49</v>
      </c>
      <c r="N39" s="64">
        <v>1312793.49</v>
      </c>
      <c r="O39" s="64">
        <v>66000</v>
      </c>
      <c r="P39" s="555"/>
      <c r="R39" s="122">
        <v>75470.62</v>
      </c>
      <c r="S39" s="122"/>
      <c r="T39" s="122">
        <v>49993.01</v>
      </c>
      <c r="U39" s="137"/>
    </row>
    <row r="40" spans="1:21" ht="15.75" x14ac:dyDescent="0.25">
      <c r="A40" s="132" t="s">
        <v>174</v>
      </c>
      <c r="B40" s="556">
        <v>240</v>
      </c>
      <c r="C40" s="555">
        <v>860</v>
      </c>
      <c r="D40" s="64"/>
      <c r="E40" s="64"/>
      <c r="F40" s="64">
        <f>SUM(G40:J40)</f>
        <v>0</v>
      </c>
      <c r="G40" s="64"/>
      <c r="H40" s="64"/>
      <c r="I40" s="64"/>
      <c r="J40" s="64"/>
      <c r="K40" s="64"/>
      <c r="L40" s="64"/>
      <c r="M40" s="59">
        <f t="shared" si="0"/>
        <v>0</v>
      </c>
      <c r="N40" s="64"/>
      <c r="O40" s="64"/>
      <c r="P40" s="555"/>
    </row>
    <row r="41" spans="1:21" s="115" customFormat="1" ht="31.5" x14ac:dyDescent="0.2">
      <c r="A41" s="130" t="s">
        <v>175</v>
      </c>
      <c r="B41" s="1387">
        <v>250</v>
      </c>
      <c r="C41" s="138"/>
      <c r="D41" s="59">
        <f>E41+F41+L41+M41</f>
        <v>0</v>
      </c>
      <c r="E41" s="59">
        <f>E43</f>
        <v>0</v>
      </c>
      <c r="F41" s="59">
        <f>SUM(G41:J41)</f>
        <v>0</v>
      </c>
      <c r="G41" s="59">
        <v>0</v>
      </c>
      <c r="H41" s="59">
        <v>0</v>
      </c>
      <c r="I41" s="59">
        <v>0</v>
      </c>
      <c r="J41" s="59">
        <v>0</v>
      </c>
      <c r="K41" s="59">
        <v>0</v>
      </c>
      <c r="L41" s="59">
        <v>0</v>
      </c>
      <c r="M41" s="59">
        <f t="shared" si="0"/>
        <v>0</v>
      </c>
      <c r="N41" s="59">
        <f>N43</f>
        <v>0</v>
      </c>
      <c r="O41" s="59">
        <v>0</v>
      </c>
      <c r="P41" s="59">
        <f>P43</f>
        <v>0</v>
      </c>
    </row>
    <row r="42" spans="1:21" s="115" customFormat="1" ht="15.75" x14ac:dyDescent="0.2">
      <c r="A42" s="130" t="s">
        <v>92</v>
      </c>
      <c r="B42" s="1387"/>
      <c r="C42" s="138"/>
      <c r="D42" s="59"/>
      <c r="E42" s="59"/>
      <c r="F42" s="59"/>
      <c r="G42" s="59"/>
      <c r="H42" s="59"/>
      <c r="I42" s="59"/>
      <c r="J42" s="59"/>
      <c r="K42" s="59"/>
      <c r="L42" s="59"/>
      <c r="M42" s="59">
        <f t="shared" si="0"/>
        <v>0</v>
      </c>
      <c r="N42" s="59"/>
      <c r="O42" s="59"/>
      <c r="P42" s="114"/>
    </row>
    <row r="43" spans="1:21" s="115" customFormat="1" ht="15.75" x14ac:dyDescent="0.2">
      <c r="A43" s="139"/>
      <c r="B43" s="1387"/>
      <c r="C43" s="138"/>
      <c r="D43" s="59"/>
      <c r="E43" s="59"/>
      <c r="F43" s="59"/>
      <c r="G43" s="59"/>
      <c r="H43" s="59"/>
      <c r="I43" s="59"/>
      <c r="J43" s="59"/>
      <c r="K43" s="59"/>
      <c r="L43" s="59"/>
      <c r="M43" s="59">
        <f t="shared" si="0"/>
        <v>0</v>
      </c>
      <c r="N43" s="59"/>
      <c r="O43" s="59"/>
      <c r="P43" s="114"/>
    </row>
    <row r="44" spans="1:21" s="115" customFormat="1" ht="31.5" x14ac:dyDescent="0.2">
      <c r="A44" s="130" t="s">
        <v>176</v>
      </c>
      <c r="B44" s="1388">
        <v>260</v>
      </c>
      <c r="C44" s="114">
        <v>240</v>
      </c>
      <c r="D44" s="59">
        <f>E44+F44+L44+M44</f>
        <v>780360642.88820004</v>
      </c>
      <c r="E44" s="59">
        <f>E46+E47+E48+E49+E50+E54+E58+E60</f>
        <v>41991993.759999998</v>
      </c>
      <c r="F44" s="59">
        <f>F47+F49+F51+F54+F55+F58+F60</f>
        <v>602502086.06819999</v>
      </c>
      <c r="G44" s="59">
        <f>G46+G47+G48+G49+G50+G54+G58+G60+G51+G55</f>
        <v>581122700</v>
      </c>
      <c r="H44" s="59">
        <f t="shared" ref="H44" si="12">H46+H47+H48+H49+H50+H54+H58+H60</f>
        <v>0</v>
      </c>
      <c r="I44" s="59">
        <f>I46+I47+I48+I49+I50+I54+I58+I60</f>
        <v>11296886</v>
      </c>
      <c r="J44" s="59">
        <f>J46+J47+J48+J49+J50+J54+J58+J60</f>
        <v>10082500.0682</v>
      </c>
      <c r="K44" s="59">
        <f>K46+K47+K48+K49+K50+K51+K55+K60</f>
        <v>0</v>
      </c>
      <c r="L44" s="59">
        <f>L46+L47+L48+L49+L50+L54+L58+L60</f>
        <v>70000</v>
      </c>
      <c r="M44" s="59">
        <f>N44+O44</f>
        <v>135796563.06</v>
      </c>
      <c r="N44" s="59">
        <f>N46+N47+N48+N49+N50+N54+N58+N60</f>
        <v>105705158.7</v>
      </c>
      <c r="O44" s="59">
        <f>O46+O47+O48+O49+O50+O54+O58+O60</f>
        <v>30091404.359999999</v>
      </c>
      <c r="P44" s="59">
        <f>P46+P47+P48+P49+P50+P51+P55+P60</f>
        <v>0</v>
      </c>
    </row>
    <row r="45" spans="1:21" ht="15.75" x14ac:dyDescent="0.25">
      <c r="A45" s="132" t="s">
        <v>92</v>
      </c>
      <c r="B45" s="1392"/>
      <c r="C45" s="134"/>
      <c r="D45" s="64"/>
      <c r="E45" s="64"/>
      <c r="F45" s="64"/>
      <c r="G45" s="64"/>
      <c r="H45" s="64"/>
      <c r="I45" s="64"/>
      <c r="J45" s="64"/>
      <c r="K45" s="64"/>
      <c r="L45" s="64"/>
      <c r="M45" s="59">
        <f t="shared" si="0"/>
        <v>0</v>
      </c>
      <c r="N45" s="64"/>
      <c r="O45" s="64"/>
      <c r="P45" s="555"/>
      <c r="R45" s="121" t="s">
        <v>237</v>
      </c>
      <c r="S45" s="121" t="s">
        <v>197</v>
      </c>
    </row>
    <row r="46" spans="1:21" ht="31.5" x14ac:dyDescent="0.25">
      <c r="A46" s="132" t="s">
        <v>177</v>
      </c>
      <c r="B46" s="140"/>
      <c r="C46" s="555">
        <v>241</v>
      </c>
      <c r="D46" s="64"/>
      <c r="E46" s="64"/>
      <c r="F46" s="64"/>
      <c r="G46" s="64"/>
      <c r="H46" s="64"/>
      <c r="I46" s="64"/>
      <c r="J46" s="64"/>
      <c r="K46" s="64"/>
      <c r="L46" s="64"/>
      <c r="M46" s="59">
        <f t="shared" si="0"/>
        <v>0</v>
      </c>
      <c r="N46" s="64"/>
      <c r="O46" s="64"/>
      <c r="P46" s="555"/>
      <c r="R46" s="141"/>
      <c r="S46" s="122">
        <v>25000</v>
      </c>
      <c r="T46" s="117" t="s">
        <v>234</v>
      </c>
    </row>
    <row r="47" spans="1:21" ht="15.75" customHeight="1" x14ac:dyDescent="0.25">
      <c r="A47" s="132" t="s">
        <v>178</v>
      </c>
      <c r="B47" s="140"/>
      <c r="C47" s="555">
        <v>244</v>
      </c>
      <c r="D47" s="64">
        <f>E47+F47+L47+M47</f>
        <v>2314990.81</v>
      </c>
      <c r="E47" s="64">
        <v>550086.28</v>
      </c>
      <c r="F47" s="64">
        <f>SUM(G47:J47)</f>
        <v>406976.1</v>
      </c>
      <c r="G47" s="64"/>
      <c r="H47" s="64"/>
      <c r="I47" s="64">
        <v>216602.1</v>
      </c>
      <c r="J47" s="64">
        <f>190374</f>
        <v>190374</v>
      </c>
      <c r="K47" s="64"/>
      <c r="L47" s="64"/>
      <c r="M47" s="64">
        <f t="shared" si="0"/>
        <v>1357928.4300000002</v>
      </c>
      <c r="N47" s="64">
        <v>575024.80000000005</v>
      </c>
      <c r="O47" s="64">
        <f>785721.68-2818.05</f>
        <v>782903.63</v>
      </c>
      <c r="P47" s="555"/>
      <c r="R47" s="122">
        <v>269900</v>
      </c>
      <c r="S47" s="122">
        <f>-269900</f>
        <v>-269900</v>
      </c>
      <c r="T47" s="117" t="s">
        <v>179</v>
      </c>
    </row>
    <row r="48" spans="1:21" ht="19.5" customHeight="1" x14ac:dyDescent="0.25">
      <c r="A48" s="132" t="s">
        <v>179</v>
      </c>
      <c r="B48" s="140"/>
      <c r="C48" s="555">
        <v>244</v>
      </c>
      <c r="D48" s="64">
        <f>E48+F48+K48+L48+M48</f>
        <v>235100</v>
      </c>
      <c r="E48" s="64"/>
      <c r="F48" s="64">
        <f t="shared" ref="F48:F66" si="13">SUM(G48:J48)</f>
        <v>0</v>
      </c>
      <c r="G48" s="64"/>
      <c r="H48" s="64"/>
      <c r="I48" s="64"/>
      <c r="J48" s="64"/>
      <c r="K48" s="64"/>
      <c r="L48" s="64"/>
      <c r="M48" s="64">
        <f>N48+O48</f>
        <v>235100</v>
      </c>
      <c r="N48" s="64">
        <v>85100</v>
      </c>
      <c r="O48" s="64">
        <v>150000</v>
      </c>
      <c r="P48" s="555"/>
      <c r="R48" s="111">
        <v>50000</v>
      </c>
      <c r="S48" s="111">
        <v>845833.33</v>
      </c>
      <c r="T48" s="117" t="s">
        <v>242</v>
      </c>
    </row>
    <row r="49" spans="1:21" ht="16.5" customHeight="1" x14ac:dyDescent="0.25">
      <c r="A49" s="132" t="s">
        <v>180</v>
      </c>
      <c r="B49" s="140"/>
      <c r="C49" s="555">
        <v>244</v>
      </c>
      <c r="D49" s="64">
        <f>E49+F49+L49+M49</f>
        <v>34672280.330000006</v>
      </c>
      <c r="E49" s="64">
        <v>10376177.310000001</v>
      </c>
      <c r="F49" s="64">
        <f t="shared" si="13"/>
        <v>5704852.4100000001</v>
      </c>
      <c r="G49" s="64"/>
      <c r="H49" s="64"/>
      <c r="I49" s="64">
        <v>2673974.16</v>
      </c>
      <c r="J49" s="64">
        <f>3030878.25</f>
        <v>3030878.25</v>
      </c>
      <c r="K49" s="64"/>
      <c r="L49" s="269"/>
      <c r="M49" s="64">
        <f t="shared" si="0"/>
        <v>18591250.610000003</v>
      </c>
      <c r="N49" s="64">
        <v>17039010.720000003</v>
      </c>
      <c r="O49" s="64">
        <v>1552239.89</v>
      </c>
      <c r="P49" s="555"/>
      <c r="R49" s="122">
        <f>-(R37+R47+R34)</f>
        <v>-2401129.66</v>
      </c>
      <c r="T49" s="117" t="s">
        <v>180</v>
      </c>
    </row>
    <row r="50" spans="1:21" ht="15.75" x14ac:dyDescent="0.25">
      <c r="A50" s="132" t="s">
        <v>181</v>
      </c>
      <c r="B50" s="140"/>
      <c r="C50" s="555">
        <v>244</v>
      </c>
      <c r="D50" s="64"/>
      <c r="E50" s="64"/>
      <c r="F50" s="64">
        <f t="shared" si="13"/>
        <v>0</v>
      </c>
      <c r="G50" s="64"/>
      <c r="H50" s="64"/>
      <c r="I50" s="64"/>
      <c r="J50" s="64"/>
      <c r="K50" s="64"/>
      <c r="L50" s="64"/>
      <c r="M50" s="64">
        <f>N50+O50</f>
        <v>0</v>
      </c>
      <c r="N50" s="64"/>
      <c r="O50" s="64"/>
      <c r="P50" s="555"/>
      <c r="R50" s="111">
        <v>23168167.190000001</v>
      </c>
      <c r="S50" s="111">
        <v>2186471.81</v>
      </c>
      <c r="T50" s="117" t="s">
        <v>243</v>
      </c>
    </row>
    <row r="51" spans="1:21" ht="15.75" x14ac:dyDescent="0.25">
      <c r="A51" s="1685" t="s">
        <v>182</v>
      </c>
      <c r="B51" s="142"/>
      <c r="C51" s="1561">
        <v>243</v>
      </c>
      <c r="D51" s="64">
        <f t="shared" ref="D51:D60" si="14">E51+F51+L51+M51</f>
        <v>259348300</v>
      </c>
      <c r="E51" s="568"/>
      <c r="F51" s="64">
        <f t="shared" si="13"/>
        <v>259348300</v>
      </c>
      <c r="G51" s="64">
        <v>259348300</v>
      </c>
      <c r="H51" s="64"/>
      <c r="I51" s="64"/>
      <c r="J51" s="64"/>
      <c r="K51" s="64"/>
      <c r="L51" s="568"/>
      <c r="M51" s="64">
        <f>N51+O51</f>
        <v>0</v>
      </c>
      <c r="N51" s="122"/>
      <c r="O51" s="122"/>
      <c r="P51" s="555"/>
      <c r="R51" s="111">
        <f>M49-R50</f>
        <v>-4576916.5799999982</v>
      </c>
    </row>
    <row r="52" spans="1:21" s="145" customFormat="1" ht="19.5" hidden="1" customHeight="1" x14ac:dyDescent="0.25">
      <c r="A52" s="1686"/>
      <c r="B52" s="143"/>
      <c r="C52" s="1688"/>
      <c r="D52" s="144">
        <f t="shared" si="14"/>
        <v>0</v>
      </c>
      <c r="E52" s="569"/>
      <c r="F52" s="144">
        <f t="shared" si="13"/>
        <v>0</v>
      </c>
      <c r="G52" s="144"/>
      <c r="H52" s="144"/>
      <c r="I52" s="144"/>
      <c r="J52" s="144"/>
      <c r="K52" s="144"/>
      <c r="L52" s="569"/>
      <c r="M52" s="64">
        <f t="shared" si="0"/>
        <v>0</v>
      </c>
      <c r="N52" s="270"/>
      <c r="O52" s="270"/>
      <c r="P52" s="570"/>
    </row>
    <row r="53" spans="1:21" s="145" customFormat="1" ht="19.5" hidden="1" customHeight="1" x14ac:dyDescent="0.25">
      <c r="A53" s="1686"/>
      <c r="B53" s="143"/>
      <c r="C53" s="1564"/>
      <c r="D53" s="144">
        <f t="shared" si="14"/>
        <v>0</v>
      </c>
      <c r="E53" s="569"/>
      <c r="F53" s="144">
        <f t="shared" si="13"/>
        <v>0</v>
      </c>
      <c r="G53" s="144"/>
      <c r="H53" s="144"/>
      <c r="I53" s="144"/>
      <c r="J53" s="144"/>
      <c r="K53" s="144"/>
      <c r="L53" s="569"/>
      <c r="M53" s="64">
        <f t="shared" si="0"/>
        <v>0</v>
      </c>
      <c r="N53" s="270"/>
      <c r="O53" s="270"/>
      <c r="P53" s="570"/>
      <c r="R53" s="111"/>
      <c r="S53" s="146"/>
      <c r="T53" s="117" t="s">
        <v>239</v>
      </c>
    </row>
    <row r="54" spans="1:21" ht="19.5" customHeight="1" x14ac:dyDescent="0.25">
      <c r="A54" s="1687"/>
      <c r="B54" s="147"/>
      <c r="C54" s="274">
        <v>244</v>
      </c>
      <c r="D54" s="64">
        <f t="shared" si="14"/>
        <v>176236998.69846001</v>
      </c>
      <c r="E54" s="64">
        <v>6506591.7800000003</v>
      </c>
      <c r="F54" s="64">
        <f t="shared" si="13"/>
        <v>160290082.40846002</v>
      </c>
      <c r="G54" s="64">
        <f>186774400-29000000</f>
        <v>157774400</v>
      </c>
      <c r="H54" s="64"/>
      <c r="I54" s="64">
        <v>1004958.24</v>
      </c>
      <c r="J54" s="64">
        <f>'[6]норматив 2018-2630'!K41</f>
        <v>1510724.1684599998</v>
      </c>
      <c r="K54" s="64"/>
      <c r="L54" s="64"/>
      <c r="M54" s="64">
        <f t="shared" si="0"/>
        <v>9440324.5099999998</v>
      </c>
      <c r="N54" s="64">
        <v>7194631.71</v>
      </c>
      <c r="O54" s="64">
        <v>2245692.7999999998</v>
      </c>
      <c r="P54" s="555"/>
      <c r="R54" s="111">
        <v>11260837.890000001</v>
      </c>
      <c r="S54" s="111">
        <v>2931349.03</v>
      </c>
      <c r="T54" s="117" t="s">
        <v>238</v>
      </c>
    </row>
    <row r="55" spans="1:21" ht="19.5" customHeight="1" x14ac:dyDescent="0.25">
      <c r="A55" s="1685" t="s">
        <v>183</v>
      </c>
      <c r="B55" s="148"/>
      <c r="C55" s="1561">
        <v>243</v>
      </c>
      <c r="D55" s="64">
        <f t="shared" si="14"/>
        <v>15000000</v>
      </c>
      <c r="E55" s="568"/>
      <c r="F55" s="64">
        <f t="shared" si="13"/>
        <v>15000000</v>
      </c>
      <c r="G55" s="64">
        <v>15000000</v>
      </c>
      <c r="H55" s="64"/>
      <c r="I55" s="64"/>
      <c r="J55" s="64"/>
      <c r="K55" s="64"/>
      <c r="L55" s="568"/>
      <c r="M55" s="64">
        <f t="shared" si="0"/>
        <v>0</v>
      </c>
      <c r="N55" s="122"/>
      <c r="O55" s="122"/>
      <c r="P55" s="555"/>
    </row>
    <row r="56" spans="1:21" s="145" customFormat="1" ht="15.75" hidden="1" x14ac:dyDescent="0.25">
      <c r="A56" s="1686"/>
      <c r="B56" s="149"/>
      <c r="C56" s="1688"/>
      <c r="D56" s="144" t="e">
        <f t="shared" si="14"/>
        <v>#REF!</v>
      </c>
      <c r="E56" s="569"/>
      <c r="F56" s="144" t="e">
        <f t="shared" si="13"/>
        <v>#REF!</v>
      </c>
      <c r="G56" s="144" t="e">
        <f>#REF!</f>
        <v>#REF!</v>
      </c>
      <c r="H56" s="144"/>
      <c r="I56" s="144"/>
      <c r="J56" s="144"/>
      <c r="K56" s="144"/>
      <c r="L56" s="569"/>
      <c r="M56" s="64">
        <f t="shared" si="0"/>
        <v>0</v>
      </c>
      <c r="N56" s="270"/>
      <c r="O56" s="270"/>
      <c r="P56" s="570"/>
    </row>
    <row r="57" spans="1:21" s="145" customFormat="1" ht="33.75" hidden="1" customHeight="1" x14ac:dyDescent="0.25">
      <c r="A57" s="1686"/>
      <c r="B57" s="149"/>
      <c r="C57" s="1564"/>
      <c r="D57" s="144" t="e">
        <f t="shared" si="14"/>
        <v>#REF!</v>
      </c>
      <c r="E57" s="569"/>
      <c r="F57" s="144" t="e">
        <f t="shared" si="13"/>
        <v>#REF!</v>
      </c>
      <c r="G57" s="144" t="e">
        <f>#REF!</f>
        <v>#REF!</v>
      </c>
      <c r="H57" s="144"/>
      <c r="I57" s="144"/>
      <c r="J57" s="144"/>
      <c r="K57" s="144"/>
      <c r="L57" s="569"/>
      <c r="M57" s="64">
        <f t="shared" si="0"/>
        <v>0</v>
      </c>
      <c r="N57" s="270"/>
      <c r="O57" s="270"/>
      <c r="P57" s="570"/>
    </row>
    <row r="58" spans="1:21" ht="19.5" customHeight="1" x14ac:dyDescent="0.25">
      <c r="A58" s="1687"/>
      <c r="B58" s="140"/>
      <c r="C58" s="274">
        <v>244</v>
      </c>
      <c r="D58" s="64">
        <f t="shared" si="14"/>
        <v>34418189.029739998</v>
      </c>
      <c r="E58" s="64">
        <v>3613943.75</v>
      </c>
      <c r="F58" s="64">
        <f t="shared" si="13"/>
        <v>21802375.899739999</v>
      </c>
      <c r="G58" s="64">
        <v>20000000</v>
      </c>
      <c r="H58" s="64"/>
      <c r="I58" s="64">
        <v>753152.4</v>
      </c>
      <c r="J58" s="64">
        <f>'[6]норматив 2018-2630'!K54</f>
        <v>1049223.4997400001</v>
      </c>
      <c r="K58" s="64"/>
      <c r="L58" s="64">
        <v>70000</v>
      </c>
      <c r="M58" s="64">
        <f t="shared" si="0"/>
        <v>8931869.3800000008</v>
      </c>
      <c r="N58" s="64">
        <v>7214904.8700000001</v>
      </c>
      <c r="O58" s="64">
        <v>1716964.51</v>
      </c>
      <c r="P58" s="555"/>
    </row>
    <row r="59" spans="1:21" s="115" customFormat="1" ht="19.5" customHeight="1" x14ac:dyDescent="0.2">
      <c r="A59" s="1689" t="s">
        <v>184</v>
      </c>
      <c r="B59" s="136"/>
      <c r="C59" s="571">
        <v>243</v>
      </c>
      <c r="D59" s="59">
        <f t="shared" si="14"/>
        <v>0</v>
      </c>
      <c r="E59" s="59">
        <v>0</v>
      </c>
      <c r="F59" s="64">
        <f t="shared" si="13"/>
        <v>0</v>
      </c>
      <c r="G59" s="59">
        <v>0</v>
      </c>
      <c r="H59" s="59">
        <v>0</v>
      </c>
      <c r="I59" s="59">
        <v>0</v>
      </c>
      <c r="J59" s="59">
        <v>0</v>
      </c>
      <c r="K59" s="59">
        <v>0</v>
      </c>
      <c r="L59" s="59">
        <v>0</v>
      </c>
      <c r="M59" s="59">
        <f t="shared" si="0"/>
        <v>0</v>
      </c>
      <c r="N59" s="59">
        <v>0</v>
      </c>
      <c r="O59" s="59">
        <v>0</v>
      </c>
      <c r="P59" s="59">
        <v>0</v>
      </c>
    </row>
    <row r="60" spans="1:21" s="115" customFormat="1" ht="16.5" customHeight="1" x14ac:dyDescent="0.25">
      <c r="A60" s="1689"/>
      <c r="B60" s="150"/>
      <c r="C60" s="571">
        <v>244</v>
      </c>
      <c r="D60" s="59">
        <f t="shared" si="14"/>
        <v>258134784.01999998</v>
      </c>
      <c r="E60" s="59">
        <f>SUM(E61:E65)</f>
        <v>20945194.639999997</v>
      </c>
      <c r="F60" s="59">
        <f t="shared" si="13"/>
        <v>139949499.25</v>
      </c>
      <c r="G60" s="59">
        <f t="shared" ref="G60:H60" si="15">SUM(G61:G65)</f>
        <v>129000000</v>
      </c>
      <c r="H60" s="59">
        <f t="shared" si="15"/>
        <v>0</v>
      </c>
      <c r="I60" s="59">
        <f>SUM(I61:I65)</f>
        <v>6648199.1000000006</v>
      </c>
      <c r="J60" s="59">
        <f>SUM(J61:J65)</f>
        <v>4301300.1500000004</v>
      </c>
      <c r="K60" s="59">
        <f t="shared" ref="K60:P60" si="16">SUM(K61:K65)</f>
        <v>0</v>
      </c>
      <c r="L60" s="59">
        <f t="shared" si="16"/>
        <v>0</v>
      </c>
      <c r="M60" s="59">
        <f t="shared" si="0"/>
        <v>97240090.129999995</v>
      </c>
      <c r="N60" s="59">
        <f t="shared" ref="N60:O60" si="17">SUM(N61:N65)</f>
        <v>73596486.599999994</v>
      </c>
      <c r="O60" s="59">
        <f t="shared" si="17"/>
        <v>23643603.530000001</v>
      </c>
      <c r="P60" s="59">
        <f t="shared" si="16"/>
        <v>0</v>
      </c>
      <c r="R60" s="121" t="s">
        <v>237</v>
      </c>
      <c r="S60" s="121" t="s">
        <v>197</v>
      </c>
      <c r="T60" s="121" t="s">
        <v>197</v>
      </c>
    </row>
    <row r="61" spans="1:21" ht="15.75" x14ac:dyDescent="0.25">
      <c r="A61" s="1683" t="s">
        <v>185</v>
      </c>
      <c r="B61" s="1422"/>
      <c r="C61" s="555">
        <v>243</v>
      </c>
      <c r="D61" s="64"/>
      <c r="E61" s="64"/>
      <c r="F61" s="64">
        <f t="shared" si="13"/>
        <v>0</v>
      </c>
      <c r="G61" s="64"/>
      <c r="H61" s="64"/>
      <c r="I61" s="64"/>
      <c r="J61" s="64"/>
      <c r="K61" s="64"/>
      <c r="L61" s="64"/>
      <c r="M61" s="59">
        <f t="shared" si="0"/>
        <v>0</v>
      </c>
      <c r="N61" s="64"/>
      <c r="O61" s="64"/>
      <c r="P61" s="64"/>
      <c r="R61" s="118"/>
      <c r="S61" s="146">
        <v>2621361</v>
      </c>
      <c r="T61" s="118"/>
      <c r="U61" s="151"/>
    </row>
    <row r="62" spans="1:21" ht="15.75" x14ac:dyDescent="0.25">
      <c r="A62" s="1684"/>
      <c r="B62" s="1423"/>
      <c r="C62" s="555">
        <v>244</v>
      </c>
      <c r="D62" s="64">
        <f>E62+F62+L62+M62</f>
        <v>109871727.71000001</v>
      </c>
      <c r="E62" s="64">
        <v>1182716.1499999999</v>
      </c>
      <c r="F62" s="64">
        <f t="shared" si="13"/>
        <v>108109103.28</v>
      </c>
      <c r="G62" s="64">
        <f>10000000+80000000+18000000</f>
        <v>108000000</v>
      </c>
      <c r="H62" s="64"/>
      <c r="I62" s="64">
        <v>109103.28</v>
      </c>
      <c r="J62" s="64"/>
      <c r="K62" s="64"/>
      <c r="L62" s="64"/>
      <c r="M62" s="64">
        <f t="shared" si="0"/>
        <v>579908.28</v>
      </c>
      <c r="N62" s="64">
        <v>35192.5</v>
      </c>
      <c r="O62" s="64">
        <f>608635.78-63920</f>
        <v>544715.78</v>
      </c>
      <c r="P62" s="555"/>
      <c r="R62" s="111"/>
      <c r="S62" s="111">
        <v>487564.3</v>
      </c>
    </row>
    <row r="63" spans="1:21" ht="31.5" x14ac:dyDescent="0.25">
      <c r="A63" s="132" t="s">
        <v>186</v>
      </c>
      <c r="B63" s="556"/>
      <c r="C63" s="555">
        <v>244</v>
      </c>
      <c r="D63" s="64">
        <f>E63+F63+L63+M63</f>
        <v>0</v>
      </c>
      <c r="E63" s="64"/>
      <c r="F63" s="64">
        <f t="shared" si="13"/>
        <v>0</v>
      </c>
      <c r="G63" s="64"/>
      <c r="H63" s="64"/>
      <c r="I63" s="64"/>
      <c r="J63" s="64"/>
      <c r="K63" s="64"/>
      <c r="L63" s="64"/>
      <c r="M63" s="64">
        <f t="shared" si="0"/>
        <v>0</v>
      </c>
      <c r="N63" s="64"/>
      <c r="O63" s="64"/>
      <c r="P63" s="555"/>
      <c r="R63" s="121" t="s">
        <v>237</v>
      </c>
      <c r="S63" s="121" t="s">
        <v>197</v>
      </c>
    </row>
    <row r="64" spans="1:21" ht="15.75" x14ac:dyDescent="0.25">
      <c r="A64" s="1683" t="s">
        <v>187</v>
      </c>
      <c r="B64" s="1424"/>
      <c r="C64" s="555">
        <v>243</v>
      </c>
      <c r="D64" s="64"/>
      <c r="E64" s="64"/>
      <c r="F64" s="64">
        <f t="shared" si="13"/>
        <v>0</v>
      </c>
      <c r="G64" s="64"/>
      <c r="H64" s="64"/>
      <c r="I64" s="64"/>
      <c r="J64" s="64"/>
      <c r="K64" s="64"/>
      <c r="L64" s="64"/>
      <c r="M64" s="64">
        <f t="shared" si="0"/>
        <v>0</v>
      </c>
      <c r="N64" s="64"/>
      <c r="O64" s="64"/>
      <c r="P64" s="555"/>
      <c r="R64" s="118"/>
      <c r="S64" s="146">
        <v>-260231.34</v>
      </c>
    </row>
    <row r="65" spans="1:19" ht="15.75" x14ac:dyDescent="0.25">
      <c r="A65" s="1684"/>
      <c r="B65" s="1423"/>
      <c r="C65" s="555">
        <v>244</v>
      </c>
      <c r="D65" s="64">
        <f>E65+F65+L65+M65</f>
        <v>148263056.31</v>
      </c>
      <c r="E65" s="64">
        <v>19762478.489999998</v>
      </c>
      <c r="F65" s="64">
        <f t="shared" si="13"/>
        <v>31840395.969999999</v>
      </c>
      <c r="G65" s="64">
        <v>21000000</v>
      </c>
      <c r="H65" s="64"/>
      <c r="I65" s="64">
        <f>6539495.82-400</f>
        <v>6539095.8200000003</v>
      </c>
      <c r="J65" s="64">
        <v>4301300.1500000004</v>
      </c>
      <c r="K65" s="64"/>
      <c r="L65" s="64"/>
      <c r="M65" s="64">
        <f t="shared" si="0"/>
        <v>96660181.849999994</v>
      </c>
      <c r="N65" s="64">
        <f>80214253.99-6652959.89</f>
        <v>73561294.099999994</v>
      </c>
      <c r="O65" s="64">
        <f>24254635.27-1155747.52</f>
        <v>23098887.75</v>
      </c>
      <c r="P65" s="555"/>
      <c r="R65" s="111">
        <v>74638998.689999998</v>
      </c>
      <c r="S65" s="111">
        <v>25190635.949999999</v>
      </c>
    </row>
    <row r="66" spans="1:19" s="115" customFormat="1" ht="21.75" customHeight="1" x14ac:dyDescent="0.2">
      <c r="A66" s="130" t="s">
        <v>188</v>
      </c>
      <c r="B66" s="557">
        <v>300</v>
      </c>
      <c r="C66" s="114" t="s">
        <v>149</v>
      </c>
      <c r="D66" s="59">
        <f>E66+F66+L66+M66</f>
        <v>0</v>
      </c>
      <c r="E66" s="572">
        <f>E68+E69</f>
        <v>0</v>
      </c>
      <c r="F66" s="572">
        <f t="shared" si="13"/>
        <v>0</v>
      </c>
      <c r="G66" s="572">
        <v>0</v>
      </c>
      <c r="H66" s="572">
        <v>0</v>
      </c>
      <c r="I66" s="572">
        <v>0</v>
      </c>
      <c r="J66" s="572">
        <v>0</v>
      </c>
      <c r="K66" s="572">
        <f>K68+K69</f>
        <v>0</v>
      </c>
      <c r="L66" s="572">
        <f>SUM(L68:L69)</f>
        <v>0</v>
      </c>
      <c r="M66" s="59">
        <f t="shared" si="0"/>
        <v>0</v>
      </c>
      <c r="N66" s="59"/>
      <c r="O66" s="59"/>
      <c r="P66" s="572">
        <f>SUM(P68:P69)</f>
        <v>0</v>
      </c>
    </row>
    <row r="67" spans="1:19" ht="15.75" x14ac:dyDescent="0.25">
      <c r="A67" s="132" t="s">
        <v>92</v>
      </c>
      <c r="B67" s="133"/>
      <c r="C67" s="134"/>
      <c r="D67" s="64"/>
      <c r="E67" s="64"/>
      <c r="F67" s="64"/>
      <c r="G67" s="64"/>
      <c r="H67" s="64"/>
      <c r="I67" s="64"/>
      <c r="J67" s="64"/>
      <c r="K67" s="64"/>
      <c r="L67" s="64"/>
      <c r="M67" s="59">
        <f t="shared" si="0"/>
        <v>0</v>
      </c>
      <c r="N67" s="64"/>
      <c r="O67" s="64"/>
      <c r="P67" s="555"/>
    </row>
    <row r="68" spans="1:19" ht="15.75" x14ac:dyDescent="0.25">
      <c r="A68" s="132" t="s">
        <v>189</v>
      </c>
      <c r="B68" s="556">
        <v>310</v>
      </c>
      <c r="C68" s="134"/>
      <c r="D68" s="64"/>
      <c r="E68" s="64"/>
      <c r="F68" s="64"/>
      <c r="G68" s="64"/>
      <c r="H68" s="64"/>
      <c r="I68" s="64"/>
      <c r="J68" s="64"/>
      <c r="K68" s="64"/>
      <c r="L68" s="64"/>
      <c r="M68" s="59">
        <f t="shared" si="0"/>
        <v>0</v>
      </c>
      <c r="N68" s="64"/>
      <c r="O68" s="64"/>
      <c r="P68" s="555"/>
    </row>
    <row r="69" spans="1:19" ht="15.75" x14ac:dyDescent="0.25">
      <c r="A69" s="132" t="s">
        <v>190</v>
      </c>
      <c r="B69" s="556">
        <v>320</v>
      </c>
      <c r="C69" s="134"/>
      <c r="D69" s="64"/>
      <c r="E69" s="64"/>
      <c r="F69" s="64"/>
      <c r="G69" s="64"/>
      <c r="H69" s="64"/>
      <c r="I69" s="64"/>
      <c r="J69" s="64"/>
      <c r="K69" s="64"/>
      <c r="L69" s="64"/>
      <c r="M69" s="59">
        <f t="shared" si="0"/>
        <v>0</v>
      </c>
      <c r="N69" s="64"/>
      <c r="O69" s="64"/>
      <c r="P69" s="555"/>
    </row>
    <row r="70" spans="1:19" s="115" customFormat="1" ht="15.75" x14ac:dyDescent="0.2">
      <c r="A70" s="130" t="s">
        <v>191</v>
      </c>
      <c r="B70" s="557">
        <v>400</v>
      </c>
      <c r="C70" s="138"/>
      <c r="D70" s="59">
        <f>E70+F70+L70+M70</f>
        <v>0</v>
      </c>
      <c r="E70" s="59">
        <f>E72+E73</f>
        <v>0</v>
      </c>
      <c r="F70" s="59">
        <f>F72+F73</f>
        <v>0</v>
      </c>
      <c r="G70" s="59">
        <v>0</v>
      </c>
      <c r="H70" s="59"/>
      <c r="I70" s="59">
        <v>0</v>
      </c>
      <c r="J70" s="59">
        <v>0</v>
      </c>
      <c r="K70" s="59">
        <f>K72+K73</f>
        <v>0</v>
      </c>
      <c r="L70" s="59">
        <v>0</v>
      </c>
      <c r="M70" s="59">
        <f t="shared" si="0"/>
        <v>0</v>
      </c>
      <c r="N70" s="59"/>
      <c r="O70" s="59"/>
      <c r="P70" s="59">
        <f>P72+P73</f>
        <v>0</v>
      </c>
    </row>
    <row r="71" spans="1:19" ht="15.75" x14ac:dyDescent="0.25">
      <c r="A71" s="132" t="s">
        <v>92</v>
      </c>
      <c r="B71" s="133"/>
      <c r="C71" s="134"/>
      <c r="D71" s="64"/>
      <c r="E71" s="64"/>
      <c r="F71" s="64"/>
      <c r="G71" s="64"/>
      <c r="H71" s="64"/>
      <c r="I71" s="64"/>
      <c r="J71" s="64"/>
      <c r="K71" s="64"/>
      <c r="L71" s="64"/>
      <c r="M71" s="59">
        <f t="shared" si="0"/>
        <v>0</v>
      </c>
      <c r="N71" s="64"/>
      <c r="O71" s="64"/>
      <c r="P71" s="555"/>
    </row>
    <row r="72" spans="1:19" ht="15.75" x14ac:dyDescent="0.25">
      <c r="A72" s="132" t="s">
        <v>192</v>
      </c>
      <c r="B72" s="556">
        <v>410</v>
      </c>
      <c r="C72" s="134"/>
      <c r="D72" s="64">
        <f>E72+F72</f>
        <v>0</v>
      </c>
      <c r="E72" s="64"/>
      <c r="F72" s="64"/>
      <c r="G72" s="64"/>
      <c r="H72" s="64"/>
      <c r="I72" s="64"/>
      <c r="J72" s="64"/>
      <c r="K72" s="64"/>
      <c r="L72" s="64"/>
      <c r="M72" s="59">
        <f t="shared" si="0"/>
        <v>0</v>
      </c>
      <c r="N72" s="64"/>
      <c r="O72" s="64"/>
      <c r="P72" s="555"/>
    </row>
    <row r="73" spans="1:19" ht="15.75" x14ac:dyDescent="0.25">
      <c r="A73" s="132" t="s">
        <v>193</v>
      </c>
      <c r="B73" s="556">
        <v>420</v>
      </c>
      <c r="C73" s="134"/>
      <c r="D73" s="64"/>
      <c r="E73" s="64"/>
      <c r="F73" s="64"/>
      <c r="G73" s="64"/>
      <c r="H73" s="64"/>
      <c r="I73" s="64"/>
      <c r="J73" s="64"/>
      <c r="K73" s="64"/>
      <c r="L73" s="64"/>
      <c r="M73" s="59">
        <f t="shared" si="0"/>
        <v>0</v>
      </c>
      <c r="N73" s="64"/>
      <c r="O73" s="64"/>
      <c r="P73" s="555"/>
    </row>
    <row r="74" spans="1:19" s="115" customFormat="1" ht="17.25" customHeight="1" x14ac:dyDescent="0.2">
      <c r="A74" s="130" t="s">
        <v>194</v>
      </c>
      <c r="B74" s="557">
        <v>500</v>
      </c>
      <c r="C74" s="114" t="s">
        <v>149</v>
      </c>
      <c r="D74" s="59">
        <f>E74+F74+L74+M74</f>
        <v>0</v>
      </c>
      <c r="E74" s="59"/>
      <c r="F74" s="59">
        <f>SUM(G74:J74)</f>
        <v>0</v>
      </c>
      <c r="G74" s="59">
        <v>0</v>
      </c>
      <c r="H74" s="59"/>
      <c r="I74" s="59">
        <v>0</v>
      </c>
      <c r="J74" s="59">
        <v>0</v>
      </c>
      <c r="K74" s="59">
        <v>0</v>
      </c>
      <c r="L74" s="59"/>
      <c r="M74" s="59"/>
      <c r="N74" s="59"/>
      <c r="O74" s="59"/>
      <c r="P74" s="59">
        <v>0</v>
      </c>
    </row>
    <row r="75" spans="1:19" s="115" customFormat="1" ht="15.75" x14ac:dyDescent="0.2">
      <c r="A75" s="130" t="s">
        <v>195</v>
      </c>
      <c r="B75" s="557">
        <v>600</v>
      </c>
      <c r="C75" s="114" t="s">
        <v>149</v>
      </c>
      <c r="D75" s="59"/>
      <c r="E75" s="59"/>
      <c r="F75" s="59"/>
      <c r="G75" s="59">
        <f t="shared" ref="G75:P75" si="18">G10+G74-G22</f>
        <v>0</v>
      </c>
      <c r="H75" s="59">
        <f t="shared" si="18"/>
        <v>0</v>
      </c>
      <c r="I75" s="59">
        <f t="shared" si="18"/>
        <v>0</v>
      </c>
      <c r="J75" s="59">
        <f t="shared" si="18"/>
        <v>1.8000006675720215E-3</v>
      </c>
      <c r="K75" s="59">
        <f t="shared" si="18"/>
        <v>0</v>
      </c>
      <c r="L75" s="59">
        <f t="shared" si="18"/>
        <v>0</v>
      </c>
      <c r="M75" s="59"/>
      <c r="N75" s="59">
        <f t="shared" ref="N75:O75" si="19">N10+N74-N22</f>
        <v>4.425048828125E-4</v>
      </c>
      <c r="O75" s="59">
        <f t="shared" si="19"/>
        <v>0</v>
      </c>
      <c r="P75" s="59">
        <f t="shared" si="18"/>
        <v>0</v>
      </c>
    </row>
    <row r="77" spans="1:19" x14ac:dyDescent="0.25">
      <c r="E77" s="111"/>
    </row>
    <row r="78" spans="1:19" x14ac:dyDescent="0.25">
      <c r="F78" s="111"/>
    </row>
  </sheetData>
  <mergeCells count="30">
    <mergeCell ref="A64:A65"/>
    <mergeCell ref="B64:B65"/>
    <mergeCell ref="C51:C53"/>
    <mergeCell ref="A55:A58"/>
    <mergeCell ref="C55:C57"/>
    <mergeCell ref="A59:A60"/>
    <mergeCell ref="A61:A62"/>
    <mergeCell ref="B61:B62"/>
    <mergeCell ref="A51:A54"/>
    <mergeCell ref="B28:B31"/>
    <mergeCell ref="A30:A31"/>
    <mergeCell ref="B35:B39"/>
    <mergeCell ref="B41:B43"/>
    <mergeCell ref="B44:B45"/>
    <mergeCell ref="B25:B27"/>
    <mergeCell ref="A5:A8"/>
    <mergeCell ref="B5:B8"/>
    <mergeCell ref="C5:C8"/>
    <mergeCell ref="D5:P5"/>
    <mergeCell ref="D6:D8"/>
    <mergeCell ref="E6:P6"/>
    <mergeCell ref="E7:E8"/>
    <mergeCell ref="F7:F8"/>
    <mergeCell ref="G7:G8"/>
    <mergeCell ref="H7:H8"/>
    <mergeCell ref="I7:I8"/>
    <mergeCell ref="J7:J8"/>
    <mergeCell ref="K7:K8"/>
    <mergeCell ref="L7:L8"/>
    <mergeCell ref="M7:P7"/>
  </mergeCells>
  <pageMargins left="0.15748031496062992" right="0.19685039370078741" top="0.31496062992125984" bottom="0.15748031496062992" header="0.19685039370078741" footer="0.15748031496062992"/>
  <pageSetup paperSize="9" scale="73" fitToHeight="2" orientation="landscape" r:id="rId1"/>
  <rowBreaks count="1" manualBreakCount="1">
    <brk id="34" max="17" man="1"/>
  </rowBreaks>
  <legacy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50"/>
    <pageSetUpPr fitToPage="1"/>
  </sheetPr>
  <dimension ref="A1:AU111"/>
  <sheetViews>
    <sheetView showZeros="0" zoomScale="70" zoomScaleNormal="70" zoomScaleSheetLayoutView="100" workbookViewId="0">
      <pane xSplit="4" ySplit="9" topLeftCell="Z10" activePane="bottomRight" state="frozen"/>
      <selection pane="topRight" activeCell="E1" sqref="E1"/>
      <selection pane="bottomLeft" activeCell="A9" sqref="A9"/>
      <selection pane="bottomRight" activeCell="AF67" sqref="AF67"/>
    </sheetView>
  </sheetViews>
  <sheetFormatPr defaultColWidth="9.140625" defaultRowHeight="15" x14ac:dyDescent="0.25"/>
  <cols>
    <col min="1" max="1" width="45" style="117" customWidth="1"/>
    <col min="2" max="2" width="9" style="117" customWidth="1"/>
    <col min="3" max="3" width="17.85546875" style="124" customWidth="1"/>
    <col min="4" max="6" width="18.42578125" style="117" customWidth="1"/>
    <col min="7" max="10" width="18.85546875" style="155" customWidth="1"/>
    <col min="11" max="16" width="18.28515625" style="155" customWidth="1"/>
    <col min="17" max="17" width="20.28515625" style="152" customWidth="1"/>
    <col min="18" max="19" width="24.140625" style="152" customWidth="1"/>
    <col min="20" max="27" width="20.28515625" style="152" customWidth="1"/>
    <col min="28" max="28" width="16.7109375" style="117" customWidth="1"/>
    <col min="29" max="30" width="16.7109375" style="125" customWidth="1"/>
    <col min="31" max="31" width="18.7109375" style="125" customWidth="1"/>
    <col min="32" max="32" width="20.140625" style="125" customWidth="1"/>
    <col min="33" max="38" width="17.5703125" style="117" customWidth="1"/>
    <col min="39" max="39" width="18" style="117" customWidth="1"/>
    <col min="40" max="40" width="9.5703125" style="117" customWidth="1"/>
    <col min="41" max="41" width="15.42578125" style="117" hidden="1" customWidth="1"/>
    <col min="42" max="42" width="17.140625" style="117" hidden="1" customWidth="1"/>
    <col min="43" max="43" width="15.140625" style="117" hidden="1" customWidth="1"/>
    <col min="44" max="44" width="14" style="117" customWidth="1"/>
    <col min="45" max="45" width="13.85546875" style="117" customWidth="1"/>
    <col min="46" max="48" width="9.140625" style="117" customWidth="1"/>
    <col min="49" max="16384" width="9.140625" style="117"/>
  </cols>
  <sheetData>
    <row r="1" spans="1:47" ht="15.75" x14ac:dyDescent="0.25">
      <c r="A1" s="123" t="s">
        <v>131</v>
      </c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1"/>
      <c r="R1" s="111"/>
      <c r="S1" s="111"/>
      <c r="T1" s="111"/>
      <c r="U1" s="111"/>
      <c r="V1" s="117"/>
      <c r="W1" s="117"/>
      <c r="X1" s="117"/>
      <c r="Y1" s="117"/>
      <c r="Z1" s="117"/>
      <c r="AA1" s="117"/>
    </row>
    <row r="2" spans="1:47" ht="15.75" x14ac:dyDescent="0.25">
      <c r="A2" s="126" t="s">
        <v>132</v>
      </c>
      <c r="G2" s="117"/>
      <c r="H2" s="117"/>
      <c r="I2" s="117"/>
      <c r="J2" s="117"/>
      <c r="K2" s="117"/>
      <c r="L2" s="117"/>
      <c r="M2" s="117"/>
      <c r="N2" s="117"/>
      <c r="O2" s="117"/>
      <c r="P2" s="117"/>
      <c r="Q2" s="111"/>
      <c r="R2" s="111"/>
      <c r="S2" s="111"/>
      <c r="T2" s="111"/>
      <c r="U2" s="111"/>
      <c r="V2" s="117"/>
      <c r="W2" s="117"/>
      <c r="X2" s="117"/>
      <c r="Y2" s="117"/>
      <c r="Z2" s="117"/>
      <c r="AA2" s="117"/>
      <c r="AO2" s="127" t="s">
        <v>240</v>
      </c>
      <c r="AP2" s="127" t="s">
        <v>241</v>
      </c>
    </row>
    <row r="3" spans="1:47" ht="15.75" x14ac:dyDescent="0.25">
      <c r="A3" s="126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1"/>
      <c r="R3" s="111"/>
      <c r="S3" s="111"/>
      <c r="T3" s="111"/>
      <c r="U3" s="111"/>
      <c r="V3" s="128"/>
      <c r="W3" s="128"/>
      <c r="X3" s="117"/>
      <c r="Y3" s="117"/>
      <c r="Z3" s="117"/>
      <c r="AA3" s="117"/>
      <c r="AG3" s="111"/>
      <c r="AH3" s="111"/>
      <c r="AI3" s="111"/>
    </row>
    <row r="4" spans="1:47" ht="16.5" thickBot="1" x14ac:dyDescent="0.3">
      <c r="A4" s="129"/>
      <c r="G4" s="117"/>
      <c r="H4" s="117"/>
      <c r="I4" s="117"/>
      <c r="J4" s="117"/>
      <c r="K4" s="117"/>
      <c r="L4" s="117"/>
      <c r="M4" s="111">
        <f>K10+N10</f>
        <v>113567100</v>
      </c>
      <c r="N4" s="117"/>
      <c r="O4" s="117"/>
      <c r="P4" s="117"/>
      <c r="Q4" s="117"/>
      <c r="R4" s="117"/>
      <c r="S4" s="117"/>
      <c r="T4" s="117"/>
      <c r="U4" s="117"/>
      <c r="V4" s="117"/>
      <c r="W4" s="117"/>
      <c r="X4" s="117"/>
      <c r="Y4" s="117"/>
      <c r="Z4" s="117"/>
      <c r="AA4" s="117"/>
      <c r="AG4" s="111"/>
      <c r="AH4" s="111"/>
      <c r="AI4" s="111"/>
    </row>
    <row r="5" spans="1:47" ht="16.5" thickBot="1" x14ac:dyDescent="0.3">
      <c r="A5" s="1453" t="s">
        <v>88</v>
      </c>
      <c r="B5" s="1439" t="s">
        <v>133</v>
      </c>
      <c r="C5" s="1440" t="s">
        <v>134</v>
      </c>
      <c r="D5" s="1561" t="s">
        <v>135</v>
      </c>
      <c r="E5" s="1388"/>
      <c r="F5" s="1388"/>
      <c r="G5" s="1383"/>
      <c r="H5" s="1383"/>
      <c r="I5" s="1383"/>
      <c r="J5" s="1383"/>
      <c r="K5" s="1383"/>
      <c r="L5" s="1383"/>
      <c r="M5" s="1383"/>
      <c r="N5" s="1383"/>
      <c r="O5" s="1383"/>
      <c r="P5" s="1383"/>
      <c r="Q5" s="1383"/>
      <c r="R5" s="1383"/>
      <c r="S5" s="1383"/>
      <c r="T5" s="1383"/>
      <c r="U5" s="1383"/>
      <c r="V5" s="1383"/>
      <c r="W5" s="1383"/>
      <c r="X5" s="1383"/>
      <c r="Y5" s="1383"/>
      <c r="Z5" s="1383"/>
      <c r="AA5" s="1383"/>
      <c r="AB5" s="1383"/>
      <c r="AC5" s="1383"/>
      <c r="AD5" s="1383"/>
      <c r="AE5" s="1383"/>
      <c r="AF5" s="1383"/>
      <c r="AG5" s="1383"/>
      <c r="AH5" s="1383"/>
      <c r="AI5" s="1383"/>
      <c r="AJ5" s="1383"/>
      <c r="AK5" s="1383"/>
      <c r="AL5" s="1383"/>
      <c r="AM5" s="1383"/>
    </row>
    <row r="6" spans="1:47" ht="15.75" customHeight="1" thickBot="1" x14ac:dyDescent="0.3">
      <c r="A6" s="1454"/>
      <c r="B6" s="1383"/>
      <c r="C6" s="1441"/>
      <c r="D6" s="1442" t="s">
        <v>136</v>
      </c>
      <c r="E6" s="1439" t="s">
        <v>402</v>
      </c>
      <c r="F6" s="1440" t="s">
        <v>395</v>
      </c>
      <c r="G6" s="1561" t="s">
        <v>137</v>
      </c>
      <c r="H6" s="1388"/>
      <c r="I6" s="1388"/>
      <c r="J6" s="1383"/>
      <c r="K6" s="1383"/>
      <c r="L6" s="1383"/>
      <c r="M6" s="1383"/>
      <c r="N6" s="1383"/>
      <c r="O6" s="1383"/>
      <c r="P6" s="1383"/>
      <c r="Q6" s="1388"/>
      <c r="R6" s="1388"/>
      <c r="S6" s="1388"/>
      <c r="T6" s="1388"/>
      <c r="U6" s="1388"/>
      <c r="V6" s="1388"/>
      <c r="W6" s="1388"/>
      <c r="X6" s="1388"/>
      <c r="Y6" s="1388"/>
      <c r="Z6" s="1388"/>
      <c r="AA6" s="1388"/>
      <c r="AB6" s="1388"/>
      <c r="AC6" s="1388"/>
      <c r="AD6" s="1383"/>
      <c r="AE6" s="1383"/>
      <c r="AF6" s="1383"/>
      <c r="AG6" s="1383"/>
      <c r="AH6" s="1383"/>
      <c r="AI6" s="1383"/>
      <c r="AJ6" s="1383"/>
      <c r="AK6" s="1383"/>
      <c r="AL6" s="1383"/>
      <c r="AM6" s="1383"/>
    </row>
    <row r="7" spans="1:47" ht="38.25" customHeight="1" thickBot="1" x14ac:dyDescent="0.3">
      <c r="A7" s="1454"/>
      <c r="B7" s="1383"/>
      <c r="C7" s="1441"/>
      <c r="D7" s="1443"/>
      <c r="E7" s="1383"/>
      <c r="F7" s="1441"/>
      <c r="G7" s="1690" t="s">
        <v>138</v>
      </c>
      <c r="H7" s="1510" t="s">
        <v>397</v>
      </c>
      <c r="I7" s="1511" t="s">
        <v>395</v>
      </c>
      <c r="J7" s="1691" t="s">
        <v>363</v>
      </c>
      <c r="K7" s="1691"/>
      <c r="L7" s="1691"/>
      <c r="M7" s="1691"/>
      <c r="N7" s="1691"/>
      <c r="O7" s="1691"/>
      <c r="P7" s="1691"/>
      <c r="Q7" s="1429" t="s">
        <v>140</v>
      </c>
      <c r="R7" s="1436" t="s">
        <v>403</v>
      </c>
      <c r="S7" s="1444" t="s">
        <v>395</v>
      </c>
      <c r="T7" s="1692" t="s">
        <v>360</v>
      </c>
      <c r="U7" s="1429" t="s">
        <v>359</v>
      </c>
      <c r="V7" s="1436" t="s">
        <v>405</v>
      </c>
      <c r="W7" s="1444" t="s">
        <v>395</v>
      </c>
      <c r="X7" s="1698" t="s">
        <v>253</v>
      </c>
      <c r="Y7" s="1429" t="s">
        <v>142</v>
      </c>
      <c r="Z7" s="1436" t="s">
        <v>404</v>
      </c>
      <c r="AA7" s="1444" t="s">
        <v>395</v>
      </c>
      <c r="AB7" s="1693" t="s">
        <v>143</v>
      </c>
      <c r="AC7" s="1694" t="s">
        <v>144</v>
      </c>
      <c r="AD7" s="1695" t="s">
        <v>145</v>
      </c>
      <c r="AE7" s="1695"/>
      <c r="AF7" s="1695"/>
      <c r="AG7" s="1696"/>
      <c r="AH7" s="1696"/>
      <c r="AI7" s="1696"/>
      <c r="AJ7" s="1696"/>
      <c r="AK7" s="1696"/>
      <c r="AL7" s="1696"/>
      <c r="AM7" s="1697"/>
    </row>
    <row r="8" spans="1:47" ht="114.75" customHeight="1" x14ac:dyDescent="0.25">
      <c r="A8" s="1454"/>
      <c r="B8" s="1383"/>
      <c r="C8" s="1441"/>
      <c r="D8" s="1443"/>
      <c r="E8" s="1383"/>
      <c r="F8" s="1441"/>
      <c r="G8" s="1428"/>
      <c r="H8" s="1435"/>
      <c r="I8" s="1512"/>
      <c r="J8" s="312" t="s">
        <v>235</v>
      </c>
      <c r="K8" s="288" t="s">
        <v>365</v>
      </c>
      <c r="L8" s="289" t="s">
        <v>398</v>
      </c>
      <c r="M8" s="290" t="s">
        <v>395</v>
      </c>
      <c r="N8" s="288" t="s">
        <v>366</v>
      </c>
      <c r="O8" s="311" t="s">
        <v>399</v>
      </c>
      <c r="P8" s="363" t="s">
        <v>396</v>
      </c>
      <c r="Q8" s="1430"/>
      <c r="R8" s="1426"/>
      <c r="S8" s="1445"/>
      <c r="T8" s="1456"/>
      <c r="U8" s="1430"/>
      <c r="V8" s="1450"/>
      <c r="W8" s="1452"/>
      <c r="X8" s="1470"/>
      <c r="Y8" s="1430"/>
      <c r="Z8" s="1450"/>
      <c r="AA8" s="1452"/>
      <c r="AB8" s="1466"/>
      <c r="AC8" s="1468"/>
      <c r="AD8" s="329" t="s">
        <v>364</v>
      </c>
      <c r="AE8" s="330" t="s">
        <v>406</v>
      </c>
      <c r="AF8" s="331" t="s">
        <v>395</v>
      </c>
      <c r="AG8" s="389" t="s">
        <v>139</v>
      </c>
      <c r="AH8" s="330" t="s">
        <v>401</v>
      </c>
      <c r="AI8" s="351" t="s">
        <v>395</v>
      </c>
      <c r="AJ8" s="329" t="s">
        <v>146</v>
      </c>
      <c r="AK8" s="330" t="s">
        <v>400</v>
      </c>
      <c r="AL8" s="331" t="s">
        <v>395</v>
      </c>
      <c r="AM8" s="321" t="s">
        <v>147</v>
      </c>
    </row>
    <row r="9" spans="1:47" ht="15.75" x14ac:dyDescent="0.25">
      <c r="A9" s="408">
        <v>1</v>
      </c>
      <c r="B9" s="355">
        <v>2</v>
      </c>
      <c r="C9" s="434">
        <v>3</v>
      </c>
      <c r="D9" s="429">
        <v>4</v>
      </c>
      <c r="E9" s="355"/>
      <c r="F9" s="409"/>
      <c r="G9" s="282">
        <v>5</v>
      </c>
      <c r="H9" s="156"/>
      <c r="I9" s="292"/>
      <c r="J9" s="313"/>
      <c r="K9" s="291"/>
      <c r="L9" s="156"/>
      <c r="M9" s="292"/>
      <c r="N9" s="291"/>
      <c r="O9" s="282"/>
      <c r="P9" s="364"/>
      <c r="Q9" s="275">
        <v>6</v>
      </c>
      <c r="R9" s="306"/>
      <c r="S9" s="371"/>
      <c r="T9" s="378"/>
      <c r="U9" s="386"/>
      <c r="V9" s="385"/>
      <c r="W9" s="387"/>
      <c r="X9" s="414"/>
      <c r="Y9" s="386"/>
      <c r="Z9" s="385"/>
      <c r="AA9" s="387"/>
      <c r="AB9" s="421">
        <v>7</v>
      </c>
      <c r="AC9" s="391">
        <v>8</v>
      </c>
      <c r="AD9" s="403">
        <v>9</v>
      </c>
      <c r="AE9" s="405"/>
      <c r="AF9" s="404"/>
      <c r="AG9" s="400"/>
      <c r="AH9" s="350"/>
      <c r="AI9" s="352"/>
      <c r="AJ9" s="332"/>
      <c r="AK9" s="160"/>
      <c r="AL9" s="333"/>
      <c r="AM9" s="322">
        <v>10</v>
      </c>
    </row>
    <row r="10" spans="1:47" s="115" customFormat="1" ht="15.75" x14ac:dyDescent="0.25">
      <c r="A10" s="435" t="s">
        <v>148</v>
      </c>
      <c r="B10" s="356">
        <v>100</v>
      </c>
      <c r="C10" s="436" t="s">
        <v>149</v>
      </c>
      <c r="D10" s="430">
        <f>Q10+AB10+AC10+AD10+AM10+G10</f>
        <v>1181738780.1199999</v>
      </c>
      <c r="E10" s="59">
        <f>H10+R10+AD10+AC10</f>
        <v>1181738780.1199999</v>
      </c>
      <c r="F10" s="410">
        <f>E10-D10</f>
        <v>0</v>
      </c>
      <c r="G10" s="283">
        <f>SUM(G13)</f>
        <v>178609300</v>
      </c>
      <c r="H10" s="157">
        <f>H13</f>
        <v>178609300</v>
      </c>
      <c r="I10" s="294">
        <f>H10-G10</f>
        <v>0</v>
      </c>
      <c r="J10" s="314">
        <f>SUM(J13)</f>
        <v>65042200</v>
      </c>
      <c r="K10" s="293">
        <f>SUM(K13)</f>
        <v>102231897.81</v>
      </c>
      <c r="L10" s="157">
        <f>H10-J10-O10</f>
        <v>72876630.599999994</v>
      </c>
      <c r="M10" s="294">
        <f>L10-K10</f>
        <v>-29355267.210000008</v>
      </c>
      <c r="N10" s="293">
        <f>SUM(N13)</f>
        <v>11335202.189999999</v>
      </c>
      <c r="O10" s="283">
        <f>SUM(O13)</f>
        <v>40690469.399999999</v>
      </c>
      <c r="P10" s="365">
        <f>O10-N10</f>
        <v>29355267.210000001</v>
      </c>
      <c r="Q10" s="276">
        <f t="shared" ref="Q10:Z10" si="0">Q19</f>
        <v>632253700</v>
      </c>
      <c r="R10" s="307">
        <f t="shared" si="0"/>
        <v>632253700</v>
      </c>
      <c r="S10" s="372">
        <f>R10-Q10</f>
        <v>0</v>
      </c>
      <c r="T10" s="379">
        <f t="shared" si="0"/>
        <v>0</v>
      </c>
      <c r="U10" s="276">
        <f t="shared" si="0"/>
        <v>581122700</v>
      </c>
      <c r="V10" s="153">
        <f t="shared" si="0"/>
        <v>594009681.62</v>
      </c>
      <c r="W10" s="357">
        <f>V10-U10</f>
        <v>12886981.620000005</v>
      </c>
      <c r="X10" s="415">
        <f t="shared" si="0"/>
        <v>22131000</v>
      </c>
      <c r="Y10" s="276">
        <f t="shared" si="0"/>
        <v>29000000</v>
      </c>
      <c r="Z10" s="153">
        <f t="shared" si="0"/>
        <v>16113018.380000001</v>
      </c>
      <c r="AA10" s="357">
        <f>Z10-Y10</f>
        <v>-12886981.619999999</v>
      </c>
      <c r="AB10" s="422">
        <v>0</v>
      </c>
      <c r="AC10" s="392">
        <f>AC12+AC13</f>
        <v>1800000</v>
      </c>
      <c r="AD10" s="334">
        <f>AG10+AJ10</f>
        <v>369075780.12</v>
      </c>
      <c r="AE10" s="347">
        <f>AH10+AK10</f>
        <v>369075780.12</v>
      </c>
      <c r="AF10" s="335">
        <f>AE10-AD10</f>
        <v>0</v>
      </c>
      <c r="AG10" s="323">
        <f>AG16+AG20+AG13</f>
        <v>274491931</v>
      </c>
      <c r="AH10" s="161">
        <f>AD10-AK10</f>
        <v>302270251.67000002</v>
      </c>
      <c r="AI10" s="347">
        <f>AH10-AG10</f>
        <v>27778320.670000017</v>
      </c>
      <c r="AJ10" s="334">
        <f>AJ16+AJ20+AJ13</f>
        <v>94583849.120000005</v>
      </c>
      <c r="AK10" s="161">
        <f>AK13+AK20</f>
        <v>66805528.449999996</v>
      </c>
      <c r="AL10" s="335">
        <f>AK10-AJ10</f>
        <v>-27778320.670000009</v>
      </c>
      <c r="AM10" s="323">
        <v>0</v>
      </c>
      <c r="AO10" s="131">
        <v>343352551.449</v>
      </c>
      <c r="AP10" s="131">
        <v>275145687.99900001</v>
      </c>
      <c r="AQ10" s="131">
        <v>68206863.450000003</v>
      </c>
      <c r="AR10" s="135">
        <v>115900000</v>
      </c>
      <c r="AS10" s="135">
        <v>29700000</v>
      </c>
      <c r="AT10" s="115">
        <f>AR10/AG10</f>
        <v>0.42223463392080551</v>
      </c>
      <c r="AU10" s="115">
        <f>AS10/AJ10</f>
        <v>0.31400709821313305</v>
      </c>
    </row>
    <row r="11" spans="1:47" ht="15.75" x14ac:dyDescent="0.25">
      <c r="A11" s="437" t="s">
        <v>137</v>
      </c>
      <c r="B11" s="133"/>
      <c r="C11" s="438"/>
      <c r="D11" s="431"/>
      <c r="E11" s="59">
        <f t="shared" ref="E11:E74" si="1">H11+R11+AD11+AC11</f>
        <v>0</v>
      </c>
      <c r="F11" s="410">
        <f t="shared" ref="F11:F74" si="2">E11-D11</f>
        <v>0</v>
      </c>
      <c r="G11" s="284"/>
      <c r="H11" s="159"/>
      <c r="I11" s="296"/>
      <c r="J11" s="315"/>
      <c r="K11" s="295"/>
      <c r="L11" s="159"/>
      <c r="M11" s="296"/>
      <c r="N11" s="295"/>
      <c r="O11" s="284"/>
      <c r="P11" s="366"/>
      <c r="Q11" s="277"/>
      <c r="R11" s="308"/>
      <c r="S11" s="373"/>
      <c r="T11" s="380"/>
      <c r="U11" s="277"/>
      <c r="V11" s="154"/>
      <c r="W11" s="357">
        <f t="shared" ref="W11:W74" si="3">V11-U11</f>
        <v>0</v>
      </c>
      <c r="X11" s="416"/>
      <c r="Y11" s="277"/>
      <c r="Z11" s="154"/>
      <c r="AA11" s="358"/>
      <c r="AB11" s="423"/>
      <c r="AC11" s="393"/>
      <c r="AD11" s="334">
        <f t="shared" ref="AD11:AE26" si="4">AG11+AJ11</f>
        <v>0</v>
      </c>
      <c r="AE11" s="347"/>
      <c r="AF11" s="335">
        <f t="shared" ref="AF11:AF73" si="5">AE11-AD11</f>
        <v>0</v>
      </c>
      <c r="AG11" s="325"/>
      <c r="AH11" s="260"/>
      <c r="AI11" s="348"/>
      <c r="AJ11" s="336"/>
      <c r="AK11" s="260"/>
      <c r="AL11" s="337"/>
      <c r="AM11" s="324"/>
      <c r="AR11" s="135">
        <v>119802986</v>
      </c>
    </row>
    <row r="12" spans="1:47" ht="15.75" x14ac:dyDescent="0.25">
      <c r="A12" s="437" t="s">
        <v>150</v>
      </c>
      <c r="B12" s="355">
        <v>110</v>
      </c>
      <c r="C12" s="438"/>
      <c r="D12" s="431"/>
      <c r="E12" s="59">
        <f t="shared" si="1"/>
        <v>0</v>
      </c>
      <c r="F12" s="410">
        <f t="shared" si="2"/>
        <v>0</v>
      </c>
      <c r="G12" s="285"/>
      <c r="H12" s="158"/>
      <c r="I12" s="298"/>
      <c r="J12" s="316"/>
      <c r="K12" s="297"/>
      <c r="L12" s="158"/>
      <c r="M12" s="298"/>
      <c r="N12" s="297"/>
      <c r="O12" s="285"/>
      <c r="P12" s="367"/>
      <c r="Q12" s="278"/>
      <c r="R12" s="309"/>
      <c r="S12" s="374"/>
      <c r="T12" s="381"/>
      <c r="U12" s="278"/>
      <c r="V12" s="261"/>
      <c r="W12" s="357">
        <f t="shared" si="3"/>
        <v>0</v>
      </c>
      <c r="X12" s="417"/>
      <c r="Y12" s="278"/>
      <c r="Z12" s="261"/>
      <c r="AA12" s="359"/>
      <c r="AB12" s="424"/>
      <c r="AC12" s="393"/>
      <c r="AD12" s="334">
        <f t="shared" si="4"/>
        <v>0</v>
      </c>
      <c r="AE12" s="347"/>
      <c r="AF12" s="335">
        <f t="shared" si="5"/>
        <v>0</v>
      </c>
      <c r="AG12" s="325"/>
      <c r="AH12" s="260"/>
      <c r="AI12" s="348"/>
      <c r="AJ12" s="336"/>
      <c r="AK12" s="260"/>
      <c r="AL12" s="337"/>
      <c r="AM12" s="325"/>
      <c r="AO12" s="111"/>
      <c r="AP12" s="111">
        <f>AP10-AG10</f>
        <v>653756.99900001287</v>
      </c>
      <c r="AQ12" s="111">
        <f>AQ10-AJ10</f>
        <v>-26376985.670000002</v>
      </c>
      <c r="AR12" s="135">
        <f>AR11/5</f>
        <v>23960597.199999999</v>
      </c>
    </row>
    <row r="13" spans="1:47" ht="15.75" x14ac:dyDescent="0.25">
      <c r="A13" s="437" t="s">
        <v>151</v>
      </c>
      <c r="B13" s="355">
        <v>120</v>
      </c>
      <c r="C13" s="438"/>
      <c r="D13" s="431">
        <f>G13+Q13+AC13+AD13</f>
        <v>515920610.12</v>
      </c>
      <c r="E13" s="64">
        <f t="shared" si="1"/>
        <v>515920610.12</v>
      </c>
      <c r="F13" s="410">
        <f t="shared" si="2"/>
        <v>0</v>
      </c>
      <c r="G13" s="284">
        <f>J13+L13+O13</f>
        <v>178609300</v>
      </c>
      <c r="H13" s="159">
        <v>178609300</v>
      </c>
      <c r="I13" s="296">
        <f>H13-G13</f>
        <v>0</v>
      </c>
      <c r="J13" s="316">
        <f>J14</f>
        <v>65042200</v>
      </c>
      <c r="K13" s="295">
        <f>K14+K15</f>
        <v>102231897.81</v>
      </c>
      <c r="L13" s="159">
        <f>H13-J13-O13</f>
        <v>72876630.599999994</v>
      </c>
      <c r="M13" s="298">
        <f>L13-K13</f>
        <v>-29355267.210000008</v>
      </c>
      <c r="N13" s="297">
        <f>N14</f>
        <v>11335202.189999999</v>
      </c>
      <c r="O13" s="285">
        <f>O14</f>
        <v>40690469.399999999</v>
      </c>
      <c r="P13" s="367">
        <f>O13-N13</f>
        <v>29355267.210000001</v>
      </c>
      <c r="Q13" s="277"/>
      <c r="R13" s="308"/>
      <c r="S13" s="373"/>
      <c r="T13" s="380"/>
      <c r="U13" s="277"/>
      <c r="V13" s="154"/>
      <c r="W13" s="357">
        <f t="shared" si="3"/>
        <v>0</v>
      </c>
      <c r="X13" s="416"/>
      <c r="Y13" s="277"/>
      <c r="Z13" s="154"/>
      <c r="AA13" s="358"/>
      <c r="AB13" s="423"/>
      <c r="AC13" s="393">
        <f>SUM(AC14:AC16)</f>
        <v>1800000</v>
      </c>
      <c r="AD13" s="334">
        <f>AG13+AJ13</f>
        <v>335511310.12</v>
      </c>
      <c r="AE13" s="347">
        <f>AH13+AK13</f>
        <v>335511310.12</v>
      </c>
      <c r="AF13" s="335">
        <f t="shared" si="5"/>
        <v>0</v>
      </c>
      <c r="AG13" s="454">
        <f>AG14</f>
        <v>240927461</v>
      </c>
      <c r="AH13" s="455">
        <f>AD13-AK13</f>
        <v>269082728.21000004</v>
      </c>
      <c r="AI13" s="456">
        <f>AH13-AG13</f>
        <v>28155267.210000038</v>
      </c>
      <c r="AJ13" s="457">
        <f>AJ14</f>
        <v>94583849.120000005</v>
      </c>
      <c r="AK13" s="455">
        <f>AK14</f>
        <v>66428581.909999996</v>
      </c>
      <c r="AL13" s="458">
        <f>AK13-AJ13</f>
        <v>-28155267.210000008</v>
      </c>
      <c r="AM13" s="325"/>
    </row>
    <row r="14" spans="1:47" ht="15.75" x14ac:dyDescent="0.25">
      <c r="A14" s="437" t="s">
        <v>152</v>
      </c>
      <c r="B14" s="133"/>
      <c r="C14" s="438"/>
      <c r="D14" s="431">
        <f>G14+Q14+AC14+AD14</f>
        <v>515920610.12</v>
      </c>
      <c r="E14" s="64">
        <f t="shared" si="1"/>
        <v>515920610.12</v>
      </c>
      <c r="F14" s="410">
        <f t="shared" si="2"/>
        <v>0</v>
      </c>
      <c r="G14" s="284">
        <f>J14+L14+O14</f>
        <v>178609300</v>
      </c>
      <c r="H14" s="159">
        <v>178609300</v>
      </c>
      <c r="I14" s="296">
        <f>H14-G14</f>
        <v>0</v>
      </c>
      <c r="J14" s="315">
        <f>57221700+7820500</f>
        <v>65042200</v>
      </c>
      <c r="K14" s="295">
        <v>102231897.81</v>
      </c>
      <c r="L14" s="159">
        <f>H14-J14-O14</f>
        <v>72876630.599999994</v>
      </c>
      <c r="M14" s="296">
        <f>L14-K14</f>
        <v>-29355267.210000008</v>
      </c>
      <c r="N14" s="295">
        <v>11335202.189999999</v>
      </c>
      <c r="O14" s="284">
        <v>40690469.399999999</v>
      </c>
      <c r="P14" s="366">
        <f>O14-N14</f>
        <v>29355267.210000001</v>
      </c>
      <c r="Q14" s="277"/>
      <c r="R14" s="308"/>
      <c r="S14" s="373"/>
      <c r="T14" s="380"/>
      <c r="U14" s="277"/>
      <c r="V14" s="154"/>
      <c r="W14" s="357">
        <f t="shared" si="3"/>
        <v>0</v>
      </c>
      <c r="X14" s="416"/>
      <c r="Y14" s="277"/>
      <c r="Z14" s="154"/>
      <c r="AA14" s="358"/>
      <c r="AB14" s="423"/>
      <c r="AC14" s="394">
        <v>1800000</v>
      </c>
      <c r="AD14" s="334">
        <f t="shared" si="4"/>
        <v>335511310.12</v>
      </c>
      <c r="AE14" s="347">
        <f t="shared" si="4"/>
        <v>335511310.12</v>
      </c>
      <c r="AF14" s="335">
        <f t="shared" si="5"/>
        <v>0</v>
      </c>
      <c r="AG14" s="454">
        <v>240927461</v>
      </c>
      <c r="AH14" s="455">
        <f>AD14-AK14</f>
        <v>269082728.21000004</v>
      </c>
      <c r="AI14" s="456">
        <f>AH14-AG14</f>
        <v>28155267.210000038</v>
      </c>
      <c r="AJ14" s="457">
        <v>94583849.120000005</v>
      </c>
      <c r="AK14" s="455">
        <v>66428581.909999996</v>
      </c>
      <c r="AL14" s="458">
        <f>AK14-AJ14</f>
        <v>-28155267.210000008</v>
      </c>
      <c r="AM14" s="325"/>
    </row>
    <row r="15" spans="1:47" ht="15.75" x14ac:dyDescent="0.25">
      <c r="A15" s="437" t="s">
        <v>153</v>
      </c>
      <c r="B15" s="133"/>
      <c r="C15" s="438"/>
      <c r="D15" s="431"/>
      <c r="E15" s="64">
        <f t="shared" si="1"/>
        <v>0</v>
      </c>
      <c r="F15" s="410">
        <f t="shared" si="2"/>
        <v>0</v>
      </c>
      <c r="G15" s="284"/>
      <c r="H15" s="159"/>
      <c r="I15" s="296">
        <f t="shared" ref="I15:I21" si="6">H15-G15</f>
        <v>0</v>
      </c>
      <c r="J15" s="315"/>
      <c r="K15" s="295"/>
      <c r="L15" s="159"/>
      <c r="M15" s="296"/>
      <c r="N15" s="295"/>
      <c r="O15" s="284"/>
      <c r="P15" s="366"/>
      <c r="Q15" s="277"/>
      <c r="R15" s="308"/>
      <c r="S15" s="373"/>
      <c r="T15" s="380"/>
      <c r="U15" s="277"/>
      <c r="V15" s="154"/>
      <c r="W15" s="357">
        <f t="shared" si="3"/>
        <v>0</v>
      </c>
      <c r="X15" s="416"/>
      <c r="Y15" s="277"/>
      <c r="Z15" s="154"/>
      <c r="AA15" s="358"/>
      <c r="AB15" s="423"/>
      <c r="AC15" s="394"/>
      <c r="AD15" s="334">
        <f t="shared" si="4"/>
        <v>0</v>
      </c>
      <c r="AE15" s="347">
        <f t="shared" si="4"/>
        <v>0</v>
      </c>
      <c r="AF15" s="335">
        <f t="shared" si="5"/>
        <v>0</v>
      </c>
      <c r="AG15" s="325"/>
      <c r="AH15" s="260"/>
      <c r="AI15" s="348"/>
      <c r="AJ15" s="336"/>
      <c r="AK15" s="260"/>
      <c r="AL15" s="337"/>
      <c r="AM15" s="325"/>
    </row>
    <row r="16" spans="1:47" ht="15.75" x14ac:dyDescent="0.25">
      <c r="A16" s="437" t="s">
        <v>154</v>
      </c>
      <c r="B16" s="133"/>
      <c r="C16" s="438"/>
      <c r="D16" s="431">
        <f>G16+Q16+AC16+AD16</f>
        <v>18564470</v>
      </c>
      <c r="E16" s="64">
        <f t="shared" si="1"/>
        <v>18564470</v>
      </c>
      <c r="F16" s="410">
        <f t="shared" si="2"/>
        <v>0</v>
      </c>
      <c r="G16" s="284"/>
      <c r="H16" s="159"/>
      <c r="I16" s="296">
        <f t="shared" si="6"/>
        <v>0</v>
      </c>
      <c r="J16" s="315"/>
      <c r="K16" s="295"/>
      <c r="L16" s="159"/>
      <c r="M16" s="296"/>
      <c r="N16" s="295"/>
      <c r="O16" s="284"/>
      <c r="P16" s="366"/>
      <c r="Q16" s="277"/>
      <c r="R16" s="308"/>
      <c r="S16" s="373"/>
      <c r="T16" s="380"/>
      <c r="U16" s="277"/>
      <c r="V16" s="154"/>
      <c r="W16" s="357">
        <f t="shared" si="3"/>
        <v>0</v>
      </c>
      <c r="X16" s="416"/>
      <c r="Y16" s="277"/>
      <c r="Z16" s="154"/>
      <c r="AA16" s="358"/>
      <c r="AB16" s="423"/>
      <c r="AC16" s="393"/>
      <c r="AD16" s="334">
        <f t="shared" si="4"/>
        <v>18564470</v>
      </c>
      <c r="AE16" s="347">
        <f t="shared" si="4"/>
        <v>18564470</v>
      </c>
      <c r="AF16" s="335">
        <f t="shared" si="5"/>
        <v>0</v>
      </c>
      <c r="AG16" s="324">
        <v>18564470</v>
      </c>
      <c r="AH16" s="162">
        <f>AD16-AK16</f>
        <v>18564470</v>
      </c>
      <c r="AI16" s="349">
        <f>AH16-AG16</f>
        <v>0</v>
      </c>
      <c r="AJ16" s="338"/>
      <c r="AK16" s="162"/>
      <c r="AL16" s="339"/>
      <c r="AM16" s="325"/>
    </row>
    <row r="17" spans="1:41" ht="31.5" x14ac:dyDescent="0.25">
      <c r="A17" s="437" t="s">
        <v>155</v>
      </c>
      <c r="B17" s="355">
        <v>130</v>
      </c>
      <c r="C17" s="438"/>
      <c r="D17" s="431"/>
      <c r="E17" s="59">
        <f t="shared" si="1"/>
        <v>0</v>
      </c>
      <c r="F17" s="410">
        <f t="shared" si="2"/>
        <v>0</v>
      </c>
      <c r="G17" s="285"/>
      <c r="H17" s="158"/>
      <c r="I17" s="296">
        <f t="shared" si="6"/>
        <v>0</v>
      </c>
      <c r="J17" s="316"/>
      <c r="K17" s="297"/>
      <c r="L17" s="158"/>
      <c r="M17" s="298"/>
      <c r="N17" s="297"/>
      <c r="O17" s="285"/>
      <c r="P17" s="367"/>
      <c r="Q17" s="279"/>
      <c r="R17" s="310"/>
      <c r="S17" s="375"/>
      <c r="T17" s="382"/>
      <c r="U17" s="279"/>
      <c r="V17" s="63"/>
      <c r="W17" s="357">
        <f t="shared" si="3"/>
        <v>0</v>
      </c>
      <c r="X17" s="418"/>
      <c r="Y17" s="279"/>
      <c r="Z17" s="63"/>
      <c r="AA17" s="360"/>
      <c r="AB17" s="425"/>
      <c r="AC17" s="395"/>
      <c r="AD17" s="334">
        <f t="shared" si="4"/>
        <v>0</v>
      </c>
      <c r="AE17" s="347">
        <f t="shared" si="4"/>
        <v>0</v>
      </c>
      <c r="AF17" s="335">
        <f t="shared" si="5"/>
        <v>0</v>
      </c>
      <c r="AG17" s="325"/>
      <c r="AH17" s="260"/>
      <c r="AI17" s="348"/>
      <c r="AJ17" s="336"/>
      <c r="AK17" s="260"/>
      <c r="AL17" s="337"/>
      <c r="AM17" s="324" t="s">
        <v>149</v>
      </c>
    </row>
    <row r="18" spans="1:41" ht="63.75" customHeight="1" x14ac:dyDescent="0.25">
      <c r="A18" s="437" t="s">
        <v>156</v>
      </c>
      <c r="B18" s="355">
        <v>140</v>
      </c>
      <c r="C18" s="438"/>
      <c r="D18" s="431"/>
      <c r="E18" s="59">
        <f t="shared" si="1"/>
        <v>0</v>
      </c>
      <c r="F18" s="410">
        <f t="shared" si="2"/>
        <v>0</v>
      </c>
      <c r="G18" s="285"/>
      <c r="H18" s="158"/>
      <c r="I18" s="296">
        <f t="shared" si="6"/>
        <v>0</v>
      </c>
      <c r="J18" s="316"/>
      <c r="K18" s="297"/>
      <c r="L18" s="158"/>
      <c r="M18" s="298"/>
      <c r="N18" s="297"/>
      <c r="O18" s="285"/>
      <c r="P18" s="367"/>
      <c r="Q18" s="279"/>
      <c r="R18" s="310"/>
      <c r="S18" s="375"/>
      <c r="T18" s="382"/>
      <c r="U18" s="279"/>
      <c r="V18" s="63"/>
      <c r="W18" s="357">
        <f t="shared" si="3"/>
        <v>0</v>
      </c>
      <c r="X18" s="418"/>
      <c r="Y18" s="279"/>
      <c r="Z18" s="63"/>
      <c r="AA18" s="360"/>
      <c r="AB18" s="425"/>
      <c r="AC18" s="395"/>
      <c r="AD18" s="334">
        <f t="shared" si="4"/>
        <v>0</v>
      </c>
      <c r="AE18" s="347">
        <f t="shared" si="4"/>
        <v>0</v>
      </c>
      <c r="AF18" s="335">
        <f t="shared" si="5"/>
        <v>0</v>
      </c>
      <c r="AG18" s="325"/>
      <c r="AH18" s="260"/>
      <c r="AI18" s="348"/>
      <c r="AJ18" s="336"/>
      <c r="AK18" s="260"/>
      <c r="AL18" s="337"/>
      <c r="AM18" s="324" t="s">
        <v>149</v>
      </c>
    </row>
    <row r="19" spans="1:41" ht="18.75" customHeight="1" x14ac:dyDescent="0.25">
      <c r="A19" s="437" t="s">
        <v>157</v>
      </c>
      <c r="B19" s="355">
        <v>150</v>
      </c>
      <c r="C19" s="438"/>
      <c r="D19" s="431">
        <f>G19+Q19+AC19+AD19</f>
        <v>632253700</v>
      </c>
      <c r="E19" s="64">
        <f t="shared" si="1"/>
        <v>632253700</v>
      </c>
      <c r="F19" s="411">
        <f t="shared" si="2"/>
        <v>0</v>
      </c>
      <c r="G19" s="285"/>
      <c r="H19" s="158"/>
      <c r="I19" s="296">
        <f t="shared" si="6"/>
        <v>0</v>
      </c>
      <c r="J19" s="316"/>
      <c r="K19" s="297"/>
      <c r="L19" s="158"/>
      <c r="M19" s="298"/>
      <c r="N19" s="297"/>
      <c r="O19" s="285"/>
      <c r="P19" s="367"/>
      <c r="Q19" s="279">
        <f>U19+X19+Y19+T19</f>
        <v>632253700</v>
      </c>
      <c r="R19" s="310">
        <f>T19+V19+X19+Z19</f>
        <v>632253700</v>
      </c>
      <c r="S19" s="375">
        <f>R19-Q19</f>
        <v>0</v>
      </c>
      <c r="T19" s="382"/>
      <c r="U19" s="279">
        <f>632253700-29000000-22131000</f>
        <v>581122700</v>
      </c>
      <c r="V19" s="63">
        <v>594009681.62</v>
      </c>
      <c r="W19" s="357">
        <f t="shared" si="3"/>
        <v>12886981.620000005</v>
      </c>
      <c r="X19" s="418">
        <f>X22</f>
        <v>22131000</v>
      </c>
      <c r="Y19" s="279">
        <v>29000000</v>
      </c>
      <c r="Z19" s="63">
        <v>16113018.380000001</v>
      </c>
      <c r="AA19" s="360">
        <f>Z19-Y19</f>
        <v>-12886981.619999999</v>
      </c>
      <c r="AB19" s="426"/>
      <c r="AC19" s="395"/>
      <c r="AD19" s="334">
        <f t="shared" si="4"/>
        <v>0</v>
      </c>
      <c r="AE19" s="347">
        <f t="shared" si="4"/>
        <v>0</v>
      </c>
      <c r="AF19" s="335">
        <f t="shared" si="5"/>
        <v>0</v>
      </c>
      <c r="AG19" s="324"/>
      <c r="AH19" s="162"/>
      <c r="AI19" s="349"/>
      <c r="AJ19" s="338"/>
      <c r="AK19" s="162"/>
      <c r="AL19" s="339"/>
      <c r="AM19" s="324" t="s">
        <v>149</v>
      </c>
    </row>
    <row r="20" spans="1:41" ht="19.5" customHeight="1" x14ac:dyDescent="0.25">
      <c r="A20" s="437" t="s">
        <v>158</v>
      </c>
      <c r="B20" s="355">
        <v>160</v>
      </c>
      <c r="C20" s="438"/>
      <c r="D20" s="431">
        <f>G20+Q20+AC20+AD20</f>
        <v>15000000</v>
      </c>
      <c r="E20" s="64">
        <f t="shared" si="1"/>
        <v>15000000</v>
      </c>
      <c r="F20" s="411">
        <f t="shared" si="2"/>
        <v>0</v>
      </c>
      <c r="G20" s="285"/>
      <c r="H20" s="158"/>
      <c r="I20" s="296">
        <f t="shared" si="6"/>
        <v>0</v>
      </c>
      <c r="J20" s="316"/>
      <c r="K20" s="297"/>
      <c r="L20" s="158"/>
      <c r="M20" s="298"/>
      <c r="N20" s="297"/>
      <c r="O20" s="285"/>
      <c r="P20" s="367"/>
      <c r="Q20" s="279"/>
      <c r="R20" s="310"/>
      <c r="S20" s="375"/>
      <c r="T20" s="382"/>
      <c r="U20" s="279"/>
      <c r="V20" s="63"/>
      <c r="W20" s="357">
        <f t="shared" si="3"/>
        <v>0</v>
      </c>
      <c r="X20" s="418"/>
      <c r="Y20" s="279"/>
      <c r="Z20" s="63"/>
      <c r="AA20" s="360"/>
      <c r="AB20" s="425"/>
      <c r="AC20" s="395"/>
      <c r="AD20" s="334">
        <f t="shared" si="4"/>
        <v>15000000</v>
      </c>
      <c r="AE20" s="347">
        <f t="shared" si="4"/>
        <v>15000000</v>
      </c>
      <c r="AF20" s="335">
        <f t="shared" si="5"/>
        <v>0</v>
      </c>
      <c r="AG20" s="454">
        <v>15000000</v>
      </c>
      <c r="AH20" s="455">
        <f>AD20-AK20</f>
        <v>14623053.460000001</v>
      </c>
      <c r="AI20" s="456">
        <f>AH20-AD20</f>
        <v>-376946.53999999911</v>
      </c>
      <c r="AJ20" s="457"/>
      <c r="AK20" s="459">
        <v>376946.54</v>
      </c>
      <c r="AL20" s="458">
        <f>AK20-AJ20</f>
        <v>376946.54</v>
      </c>
      <c r="AM20" s="326"/>
    </row>
    <row r="21" spans="1:41" ht="15.75" x14ac:dyDescent="0.25">
      <c r="A21" s="437" t="s">
        <v>159</v>
      </c>
      <c r="B21" s="355">
        <v>180</v>
      </c>
      <c r="C21" s="434" t="s">
        <v>149</v>
      </c>
      <c r="D21" s="431"/>
      <c r="E21" s="59">
        <f t="shared" si="1"/>
        <v>0</v>
      </c>
      <c r="F21" s="410">
        <f t="shared" si="2"/>
        <v>0</v>
      </c>
      <c r="G21" s="284"/>
      <c r="H21" s="159"/>
      <c r="I21" s="296">
        <f t="shared" si="6"/>
        <v>0</v>
      </c>
      <c r="J21" s="315"/>
      <c r="K21" s="295"/>
      <c r="L21" s="159"/>
      <c r="M21" s="296"/>
      <c r="N21" s="295"/>
      <c r="O21" s="284"/>
      <c r="P21" s="366"/>
      <c r="Q21" s="277"/>
      <c r="R21" s="308"/>
      <c r="S21" s="373"/>
      <c r="T21" s="380"/>
      <c r="U21" s="277"/>
      <c r="V21" s="154"/>
      <c r="W21" s="357">
        <f t="shared" si="3"/>
        <v>0</v>
      </c>
      <c r="X21" s="416"/>
      <c r="Y21" s="277"/>
      <c r="Z21" s="154"/>
      <c r="AA21" s="358"/>
      <c r="AB21" s="423"/>
      <c r="AC21" s="393"/>
      <c r="AD21" s="334">
        <f t="shared" si="4"/>
        <v>0</v>
      </c>
      <c r="AE21" s="347">
        <f t="shared" si="4"/>
        <v>0</v>
      </c>
      <c r="AF21" s="335">
        <f t="shared" si="5"/>
        <v>0</v>
      </c>
      <c r="AG21" s="325"/>
      <c r="AH21" s="260"/>
      <c r="AI21" s="348"/>
      <c r="AJ21" s="336"/>
      <c r="AK21" s="260"/>
      <c r="AL21" s="337"/>
      <c r="AM21" s="327" t="s">
        <v>149</v>
      </c>
    </row>
    <row r="22" spans="1:41" s="115" customFormat="1" ht="15.75" x14ac:dyDescent="0.2">
      <c r="A22" s="435" t="s">
        <v>160</v>
      </c>
      <c r="B22" s="356">
        <v>200</v>
      </c>
      <c r="C22" s="436" t="s">
        <v>149</v>
      </c>
      <c r="D22" s="430">
        <f>G22+Q22+AC22+AD22</f>
        <v>1856576824.7183418</v>
      </c>
      <c r="E22" s="59">
        <f t="shared" si="1"/>
        <v>1856576824.7180214</v>
      </c>
      <c r="F22" s="410">
        <f t="shared" si="2"/>
        <v>-3.204345703125E-4</v>
      </c>
      <c r="G22" s="283">
        <f>K22+N22+J22</f>
        <v>179103097.89212</v>
      </c>
      <c r="H22" s="157">
        <f>H23+H35+H44</f>
        <v>179103097.89000002</v>
      </c>
      <c r="I22" s="294">
        <f>H22-G22</f>
        <v>-2.1199882030487061E-3</v>
      </c>
      <c r="J22" s="314">
        <f>J23+J32+J44</f>
        <v>65042200</v>
      </c>
      <c r="K22" s="293">
        <f>K23+K28+K32+K41+K44+K66+K70</f>
        <v>102725695.70212001</v>
      </c>
      <c r="L22" s="157">
        <f>L23+L28+L32+L41+L44+L66+L70</f>
        <v>73370428.489999995</v>
      </c>
      <c r="M22" s="294">
        <f>L22-K22</f>
        <v>-29355267.212120011</v>
      </c>
      <c r="N22" s="293">
        <f>N23+N28+N32+N41+N44+N66+N70</f>
        <v>11335202.189999998</v>
      </c>
      <c r="O22" s="283">
        <f>O23+O28+O32+O41+O44+O66+O70</f>
        <v>40690469.399999999</v>
      </c>
      <c r="P22" s="365">
        <f>O22-N22</f>
        <v>29355267.210000001</v>
      </c>
      <c r="Q22" s="276">
        <f>Q23+Q32+Q44</f>
        <v>1299656162.6882002</v>
      </c>
      <c r="R22" s="307">
        <f>R23+R28+R40+R41+R66+R44+R32</f>
        <v>1299656162.6899998</v>
      </c>
      <c r="S22" s="372">
        <f>R22-Q22</f>
        <v>1.7995834350585938E-3</v>
      </c>
      <c r="T22" s="379">
        <f>T23+T32+T44</f>
        <v>667402462.68999994</v>
      </c>
      <c r="U22" s="276">
        <f>U23+U32+U44</f>
        <v>581122700</v>
      </c>
      <c r="V22" s="153">
        <f>V23+V32+V44</f>
        <v>594009681.62</v>
      </c>
      <c r="W22" s="357">
        <f t="shared" si="3"/>
        <v>12886981.620000005</v>
      </c>
      <c r="X22" s="415">
        <f>X23+X28+X40+X41+X66+X44+X32</f>
        <v>22131000</v>
      </c>
      <c r="Y22" s="276">
        <f>Y23+Y28+Y40+Y41+Y66+Y44+Y32</f>
        <v>28999999.998199999</v>
      </c>
      <c r="Z22" s="153">
        <f t="shared" ref="Z22" si="7">Z23+Z28+Z40+Z41+Z66+Z44+Z32</f>
        <v>16113018.379999999</v>
      </c>
      <c r="AA22" s="357">
        <f>Z22-Y22</f>
        <v>-12886981.6182</v>
      </c>
      <c r="AB22" s="422">
        <f>AB23+AB28+AB35+AB40+AB41+AB66+AB44</f>
        <v>0</v>
      </c>
      <c r="AC22" s="396">
        <f>AC23+AC28+AC40+AC41+AC44+AC66+AC32</f>
        <v>1942804.6584639018</v>
      </c>
      <c r="AD22" s="334">
        <f t="shared" si="4"/>
        <v>375874759.47955751</v>
      </c>
      <c r="AE22" s="347">
        <f t="shared" si="4"/>
        <v>375874759.47955751</v>
      </c>
      <c r="AF22" s="335">
        <f t="shared" si="5"/>
        <v>0</v>
      </c>
      <c r="AG22" s="323">
        <f>AG23+AG28+AG40+AG41+AG44+AG66+AG32</f>
        <v>281144890.88955754</v>
      </c>
      <c r="AH22" s="161">
        <f>AD22-AK22</f>
        <v>308923211.5595575</v>
      </c>
      <c r="AI22" s="347">
        <f>AH22-AG22</f>
        <v>27778320.669999957</v>
      </c>
      <c r="AJ22" s="334">
        <f>AJ23+AJ28+AJ40+AJ41+AJ44+AJ66+AJ32</f>
        <v>94729868.590000004</v>
      </c>
      <c r="AK22" s="161">
        <f>AK23+AK28+AK40+AK41+AK44+AK66+AK32</f>
        <v>66951547.920000002</v>
      </c>
      <c r="AL22" s="335">
        <f>AK22-AJ22</f>
        <v>-27778320.670000002</v>
      </c>
      <c r="AM22" s="323">
        <f>AM23+AM28+AM35+AM40+AM41+AM66+AM44</f>
        <v>0</v>
      </c>
      <c r="AO22" s="135"/>
    </row>
    <row r="23" spans="1:41" s="115" customFormat="1" ht="18.75" customHeight="1" x14ac:dyDescent="0.2">
      <c r="A23" s="435" t="s">
        <v>161</v>
      </c>
      <c r="B23" s="356">
        <v>210</v>
      </c>
      <c r="C23" s="436">
        <v>110</v>
      </c>
      <c r="D23" s="430">
        <f>G23+Q23+AC23+AD23</f>
        <v>387294905.56014144</v>
      </c>
      <c r="E23" s="59">
        <f t="shared" si="1"/>
        <v>377609224.08802146</v>
      </c>
      <c r="F23" s="410">
        <f t="shared" si="2"/>
        <v>-9685681.472119987</v>
      </c>
      <c r="G23" s="283">
        <f>K23+N23+J23</f>
        <v>130321100.24212</v>
      </c>
      <c r="H23" s="157">
        <f>H25+H26+H27</f>
        <v>130321100.23999999</v>
      </c>
      <c r="I23" s="294">
        <f>H23-G23</f>
        <v>-2.1200031042098999E-3</v>
      </c>
      <c r="J23" s="314">
        <f>J25+J26+J27</f>
        <v>65042200</v>
      </c>
      <c r="K23" s="293">
        <f>K25+K26+K27</f>
        <v>58785541.032120004</v>
      </c>
      <c r="L23" s="157">
        <f>L25+L26+L27</f>
        <v>41969405.639999993</v>
      </c>
      <c r="M23" s="294">
        <f>L23-K23</f>
        <v>-16816135.392120011</v>
      </c>
      <c r="N23" s="293">
        <f>N25+N26+N27</f>
        <v>6493359.209999999</v>
      </c>
      <c r="O23" s="283">
        <f>O25+O26+O27</f>
        <v>23309494.600000001</v>
      </c>
      <c r="P23" s="365">
        <f>O23-N23</f>
        <v>16816135.390000001</v>
      </c>
      <c r="Q23" s="276">
        <f>Q25+Q26+Q27</f>
        <v>28423412.510000002</v>
      </c>
      <c r="R23" s="307">
        <f>R25+R26+R27</f>
        <v>18737731.039999999</v>
      </c>
      <c r="S23" s="372">
        <f>R23-Q23</f>
        <v>-9685681.4700000025</v>
      </c>
      <c r="T23" s="379">
        <f>T25+T26</f>
        <v>133738.31</v>
      </c>
      <c r="U23" s="276">
        <f>U25+U26</f>
        <v>0</v>
      </c>
      <c r="V23" s="153">
        <f>V25+V26+V27</f>
        <v>0</v>
      </c>
      <c r="W23" s="357">
        <f t="shared" si="3"/>
        <v>0</v>
      </c>
      <c r="X23" s="415">
        <f>X25+X26+X27</f>
        <v>9540874.1999999993</v>
      </c>
      <c r="Y23" s="276">
        <f>Y25+Y26+Y27</f>
        <v>18748800</v>
      </c>
      <c r="Z23" s="153">
        <f>Z25+Z26</f>
        <v>9063118.5299999993</v>
      </c>
      <c r="AA23" s="357">
        <f>Z23-Y23</f>
        <v>-9685681.4700000007</v>
      </c>
      <c r="AB23" s="422">
        <f>AB25+AB26+AB27</f>
        <v>0</v>
      </c>
      <c r="AC23" s="396">
        <f>AC25+AC26+AC27</f>
        <v>1872804.6584639018</v>
      </c>
      <c r="AD23" s="334">
        <f t="shared" si="4"/>
        <v>226677588.14955753</v>
      </c>
      <c r="AE23" s="347">
        <f t="shared" si="4"/>
        <v>226677588.14955753</v>
      </c>
      <c r="AF23" s="335">
        <f t="shared" si="5"/>
        <v>0</v>
      </c>
      <c r="AG23" s="323">
        <f>AG25+AG26+AG27</f>
        <v>163848862.20955753</v>
      </c>
      <c r="AH23" s="161">
        <f>AD23-AK23</f>
        <v>180407861.89955753</v>
      </c>
      <c r="AI23" s="347">
        <f>AH23-AG23</f>
        <v>16558999.689999998</v>
      </c>
      <c r="AJ23" s="334">
        <f>AJ25+AJ26+AJ27</f>
        <v>62828725.939999998</v>
      </c>
      <c r="AK23" s="161">
        <f>AK25+AK26+AK27</f>
        <v>46269726.25</v>
      </c>
      <c r="AL23" s="335">
        <f>AK23-AJ23</f>
        <v>-16558999.689999998</v>
      </c>
      <c r="AM23" s="323">
        <f>AM25+AM26+AM27</f>
        <v>0</v>
      </c>
    </row>
    <row r="24" spans="1:41" ht="15.75" x14ac:dyDescent="0.25">
      <c r="A24" s="437" t="s">
        <v>92</v>
      </c>
      <c r="B24" s="133"/>
      <c r="C24" s="438"/>
      <c r="D24" s="431"/>
      <c r="E24" s="59">
        <f t="shared" si="1"/>
        <v>0</v>
      </c>
      <c r="F24" s="410">
        <f t="shared" si="2"/>
        <v>0</v>
      </c>
      <c r="G24" s="285"/>
      <c r="H24" s="158"/>
      <c r="I24" s="294">
        <f t="shared" ref="I24:I75" si="8">H24-G24</f>
        <v>0</v>
      </c>
      <c r="J24" s="316"/>
      <c r="K24" s="297"/>
      <c r="L24" s="158"/>
      <c r="M24" s="298"/>
      <c r="N24" s="297"/>
      <c r="O24" s="285"/>
      <c r="P24" s="367"/>
      <c r="Q24" s="279"/>
      <c r="R24" s="310"/>
      <c r="S24" s="375"/>
      <c r="T24" s="382"/>
      <c r="U24" s="279"/>
      <c r="V24" s="63"/>
      <c r="W24" s="357">
        <f t="shared" si="3"/>
        <v>0</v>
      </c>
      <c r="X24" s="418"/>
      <c r="Y24" s="279"/>
      <c r="Z24" s="63"/>
      <c r="AA24" s="360"/>
      <c r="AB24" s="425"/>
      <c r="AC24" s="395"/>
      <c r="AD24" s="334">
        <f t="shared" si="4"/>
        <v>0</v>
      </c>
      <c r="AE24" s="347">
        <f t="shared" si="4"/>
        <v>0</v>
      </c>
      <c r="AF24" s="335">
        <f t="shared" si="5"/>
        <v>0</v>
      </c>
      <c r="AG24" s="324"/>
      <c r="AH24" s="162"/>
      <c r="AI24" s="349"/>
      <c r="AJ24" s="338"/>
      <c r="AK24" s="162"/>
      <c r="AL24" s="339"/>
      <c r="AM24" s="324"/>
    </row>
    <row r="25" spans="1:41" ht="16.5" customHeight="1" x14ac:dyDescent="0.25">
      <c r="A25" s="437" t="s">
        <v>162</v>
      </c>
      <c r="B25" s="1385">
        <v>211</v>
      </c>
      <c r="C25" s="434">
        <v>111</v>
      </c>
      <c r="D25" s="431">
        <f>G25+Q25+AC25+AD25</f>
        <v>296375096.05006146</v>
      </c>
      <c r="E25" s="64">
        <f t="shared" si="1"/>
        <v>288938423.76006144</v>
      </c>
      <c r="F25" s="411">
        <f t="shared" si="2"/>
        <v>-7436672.2900000215</v>
      </c>
      <c r="G25" s="285">
        <f>J25+K25+N25</f>
        <v>99941571.320000008</v>
      </c>
      <c r="H25" s="158">
        <v>99941571.319999993</v>
      </c>
      <c r="I25" s="294">
        <f t="shared" si="8"/>
        <v>0</v>
      </c>
      <c r="J25" s="316">
        <f>43949078+6006500</f>
        <v>49955578</v>
      </c>
      <c r="K25" s="297">
        <f>44862350.03+K78</f>
        <v>45032932.090000004</v>
      </c>
      <c r="L25" s="449">
        <f>H25-J25-O25</f>
        <v>32242803.649999991</v>
      </c>
      <c r="M25" s="298">
        <f>L25-K25</f>
        <v>-12790128.440000013</v>
      </c>
      <c r="N25" s="297">
        <v>4953061.2299999995</v>
      </c>
      <c r="O25" s="285">
        <v>17743189.670000002</v>
      </c>
      <c r="P25" s="367">
        <f>O25-N25</f>
        <v>12790128.440000001</v>
      </c>
      <c r="Q25" s="279">
        <f>U25+X25+Y25+T25</f>
        <v>21744984.650000002</v>
      </c>
      <c r="R25" s="310">
        <f>T25+V25+X25+Z25</f>
        <v>14308312.359999999</v>
      </c>
      <c r="S25" s="375">
        <f>R25-Q25</f>
        <v>-7436672.2900000028</v>
      </c>
      <c r="T25" s="382">
        <v>17124.28</v>
      </c>
      <c r="U25" s="279"/>
      <c r="V25" s="63"/>
      <c r="W25" s="357">
        <f t="shared" si="3"/>
        <v>0</v>
      </c>
      <c r="X25" s="418">
        <v>7327860.3700000001</v>
      </c>
      <c r="Y25" s="279">
        <v>14400000</v>
      </c>
      <c r="Z25" s="453">
        <v>6963327.71</v>
      </c>
      <c r="AA25" s="360">
        <f>Z25-Y25</f>
        <v>-7436672.29</v>
      </c>
      <c r="AB25" s="425"/>
      <c r="AC25" s="395">
        <f>1328725.04+AC78</f>
        <v>1438406.0384639017</v>
      </c>
      <c r="AD25" s="334">
        <f t="shared" si="4"/>
        <v>173250134.04159755</v>
      </c>
      <c r="AE25" s="347">
        <f t="shared" si="4"/>
        <v>173250134.04159755</v>
      </c>
      <c r="AF25" s="335">
        <f t="shared" si="5"/>
        <v>0</v>
      </c>
      <c r="AG25" s="324">
        <v>125039160.68159753</v>
      </c>
      <c r="AH25" s="162">
        <f>AD25-AK25</f>
        <v>137866319.25159755</v>
      </c>
      <c r="AI25" s="349">
        <f>AH25-AG25</f>
        <v>12827158.570000023</v>
      </c>
      <c r="AJ25" s="338">
        <v>48210973.359999999</v>
      </c>
      <c r="AK25" s="162">
        <v>35383814.789999999</v>
      </c>
      <c r="AL25" s="339">
        <f>AK25-AJ25</f>
        <v>-12827158.57</v>
      </c>
      <c r="AM25" s="324"/>
    </row>
    <row r="26" spans="1:41" ht="18.75" customHeight="1" x14ac:dyDescent="0.25">
      <c r="A26" s="437" t="s">
        <v>163</v>
      </c>
      <c r="B26" s="1385"/>
      <c r="C26" s="434">
        <v>119</v>
      </c>
      <c r="D26" s="431">
        <f>G26+Q26+AC26+AD26</f>
        <v>89616758.930079997</v>
      </c>
      <c r="E26" s="64">
        <f t="shared" si="1"/>
        <v>87367749.747960001</v>
      </c>
      <c r="F26" s="411">
        <f t="shared" si="2"/>
        <v>-2249009.1821199954</v>
      </c>
      <c r="G26" s="285">
        <f>J26+K26+N26</f>
        <v>30182391.98212</v>
      </c>
      <c r="H26" s="158">
        <v>30182391.98</v>
      </c>
      <c r="I26" s="298">
        <f t="shared" si="8"/>
        <v>-2.1199993789196014E-3</v>
      </c>
      <c r="J26" s="316">
        <f>13272622+1814000</f>
        <v>15086622</v>
      </c>
      <c r="K26" s="297">
        <f>13548429.52+K79-0.01</f>
        <v>13599945.30212</v>
      </c>
      <c r="L26" s="449">
        <f>H26-J26-O26</f>
        <v>9689112.7800000012</v>
      </c>
      <c r="M26" s="298">
        <f>L26-K26</f>
        <v>-3910832.5221199989</v>
      </c>
      <c r="N26" s="297">
        <v>1495824.68</v>
      </c>
      <c r="O26" s="285">
        <v>5406657.2000000002</v>
      </c>
      <c r="P26" s="367">
        <f>O26-N26</f>
        <v>3910832.5200000005</v>
      </c>
      <c r="Q26" s="279">
        <f>U26+X26+Y26+T26</f>
        <v>6678427.8600000003</v>
      </c>
      <c r="R26" s="310">
        <f>T26+V26+X26+Z26</f>
        <v>4429418.68</v>
      </c>
      <c r="S26" s="375">
        <f>R26-Q26</f>
        <v>-2249009.1800000006</v>
      </c>
      <c r="T26" s="382">
        <v>116614.03</v>
      </c>
      <c r="U26" s="279"/>
      <c r="V26" s="63"/>
      <c r="W26" s="357">
        <f t="shared" si="3"/>
        <v>0</v>
      </c>
      <c r="X26" s="418">
        <v>2213013.83</v>
      </c>
      <c r="Y26" s="279">
        <f>4348800</f>
        <v>4348800</v>
      </c>
      <c r="Z26" s="453">
        <v>2099790.8199999998</v>
      </c>
      <c r="AA26" s="360">
        <f>Z26-Y26</f>
        <v>-2249009.1800000002</v>
      </c>
      <c r="AB26" s="425"/>
      <c r="AC26" s="395">
        <f>401274.96+AC79</f>
        <v>434398.62</v>
      </c>
      <c r="AD26" s="334">
        <f t="shared" si="4"/>
        <v>52321540.46796</v>
      </c>
      <c r="AE26" s="347">
        <f t="shared" si="4"/>
        <v>52321540.46796</v>
      </c>
      <c r="AF26" s="335">
        <f t="shared" si="5"/>
        <v>0</v>
      </c>
      <c r="AG26" s="324">
        <v>37761826.527960002</v>
      </c>
      <c r="AH26" s="162">
        <f>AD26-AK26</f>
        <v>41635629.007959999</v>
      </c>
      <c r="AI26" s="349">
        <f>AH26-AG26</f>
        <v>3873802.4799999967</v>
      </c>
      <c r="AJ26" s="338">
        <v>14559713.939999999</v>
      </c>
      <c r="AK26" s="162">
        <v>10685911.460000001</v>
      </c>
      <c r="AL26" s="339">
        <f>AK26-AJ26</f>
        <v>-3873802.4799999986</v>
      </c>
      <c r="AM26" s="324"/>
    </row>
    <row r="27" spans="1:41" ht="31.5" x14ac:dyDescent="0.25">
      <c r="A27" s="437" t="s">
        <v>164</v>
      </c>
      <c r="B27" s="1385"/>
      <c r="C27" s="434">
        <v>112</v>
      </c>
      <c r="D27" s="431">
        <f>G27+Q27+AC27+AD27</f>
        <v>1303050.5799999998</v>
      </c>
      <c r="E27" s="64">
        <f t="shared" si="1"/>
        <v>1303050.5799999998</v>
      </c>
      <c r="F27" s="410">
        <f t="shared" si="2"/>
        <v>0</v>
      </c>
      <c r="G27" s="285">
        <f>J27+K27+N27</f>
        <v>197136.94</v>
      </c>
      <c r="H27" s="158">
        <v>197136.94</v>
      </c>
      <c r="I27" s="298">
        <f t="shared" si="8"/>
        <v>0</v>
      </c>
      <c r="J27" s="316"/>
      <c r="K27" s="297">
        <v>152663.64000000001</v>
      </c>
      <c r="L27" s="449">
        <f>H27-J27-O27</f>
        <v>37489.209999999992</v>
      </c>
      <c r="M27" s="298">
        <f>L27-K27</f>
        <v>-115174.43000000002</v>
      </c>
      <c r="N27" s="297">
        <v>44473.3</v>
      </c>
      <c r="O27" s="285">
        <v>159647.73000000001</v>
      </c>
      <c r="P27" s="367">
        <f>O27-N27</f>
        <v>115174.43000000001</v>
      </c>
      <c r="Q27" s="279">
        <f t="shared" ref="Q27:Q34" si="9">SUM(U27:Y27)</f>
        <v>0</v>
      </c>
      <c r="R27" s="310"/>
      <c r="S27" s="375"/>
      <c r="T27" s="382"/>
      <c r="U27" s="279" t="s">
        <v>252</v>
      </c>
      <c r="V27" s="63"/>
      <c r="W27" s="357"/>
      <c r="X27" s="418"/>
      <c r="Y27" s="279"/>
      <c r="Z27" s="63"/>
      <c r="AA27" s="360"/>
      <c r="AB27" s="425"/>
      <c r="AC27" s="395"/>
      <c r="AD27" s="334">
        <f t="shared" ref="AD27:AE75" si="10">AG27+AJ27</f>
        <v>1105913.6399999999</v>
      </c>
      <c r="AE27" s="347">
        <f t="shared" si="10"/>
        <v>1105913.6399999999</v>
      </c>
      <c r="AF27" s="335">
        <f t="shared" si="5"/>
        <v>0</v>
      </c>
      <c r="AG27" s="324">
        <v>1047875</v>
      </c>
      <c r="AH27" s="162">
        <f>AD27-AK27</f>
        <v>905913.6399999999</v>
      </c>
      <c r="AI27" s="349">
        <f>AH27-AG27</f>
        <v>-141961.3600000001</v>
      </c>
      <c r="AJ27" s="338">
        <v>58038.64</v>
      </c>
      <c r="AK27" s="162">
        <v>200000</v>
      </c>
      <c r="AL27" s="339">
        <f>AK27-AJ27</f>
        <v>141961.35999999999</v>
      </c>
      <c r="AM27" s="324"/>
    </row>
    <row r="28" spans="1:41" s="115" customFormat="1" ht="31.5" x14ac:dyDescent="0.2">
      <c r="A28" s="435" t="s">
        <v>165</v>
      </c>
      <c r="B28" s="1385">
        <v>220</v>
      </c>
      <c r="C28" s="436">
        <v>300</v>
      </c>
      <c r="D28" s="430">
        <f>G28+Q28+AC28+AG28</f>
        <v>0</v>
      </c>
      <c r="E28" s="59">
        <f t="shared" si="1"/>
        <v>0</v>
      </c>
      <c r="F28" s="410">
        <f t="shared" si="2"/>
        <v>0</v>
      </c>
      <c r="G28" s="283">
        <f>G30+G31</f>
        <v>0</v>
      </c>
      <c r="H28" s="157"/>
      <c r="I28" s="298">
        <f t="shared" si="8"/>
        <v>0</v>
      </c>
      <c r="J28" s="314"/>
      <c r="K28" s="293">
        <f>K30+K31</f>
        <v>0</v>
      </c>
      <c r="L28" s="157"/>
      <c r="M28" s="294"/>
      <c r="N28" s="293">
        <f>N30+N31</f>
        <v>0</v>
      </c>
      <c r="O28" s="283"/>
      <c r="P28" s="365"/>
      <c r="Q28" s="276">
        <f t="shared" si="9"/>
        <v>0</v>
      </c>
      <c r="R28" s="307"/>
      <c r="S28" s="372"/>
      <c r="T28" s="379"/>
      <c r="U28" s="276">
        <v>0</v>
      </c>
      <c r="V28" s="153">
        <v>0</v>
      </c>
      <c r="W28" s="357">
        <f t="shared" si="3"/>
        <v>0</v>
      </c>
      <c r="X28" s="415">
        <v>0</v>
      </c>
      <c r="Y28" s="276">
        <f>Y30+Y31</f>
        <v>0</v>
      </c>
      <c r="Z28" s="153"/>
      <c r="AA28" s="357"/>
      <c r="AB28" s="422">
        <f>AB30+AB31</f>
        <v>0</v>
      </c>
      <c r="AC28" s="396">
        <v>0</v>
      </c>
      <c r="AD28" s="334">
        <f t="shared" si="10"/>
        <v>0</v>
      </c>
      <c r="AE28" s="347">
        <f t="shared" si="10"/>
        <v>0</v>
      </c>
      <c r="AF28" s="335">
        <f t="shared" si="5"/>
        <v>0</v>
      </c>
      <c r="AG28" s="323">
        <f>AG30+AG31</f>
        <v>0</v>
      </c>
      <c r="AH28" s="161"/>
      <c r="AI28" s="347"/>
      <c r="AJ28" s="334">
        <f>AJ30+AJ31</f>
        <v>0</v>
      </c>
      <c r="AK28" s="161"/>
      <c r="AL28" s="335"/>
      <c r="AM28" s="323">
        <f>AM30+AM31</f>
        <v>0</v>
      </c>
    </row>
    <row r="29" spans="1:41" ht="15.75" x14ac:dyDescent="0.25">
      <c r="A29" s="437" t="s">
        <v>92</v>
      </c>
      <c r="B29" s="1385"/>
      <c r="C29" s="438"/>
      <c r="D29" s="431"/>
      <c r="E29" s="59">
        <f t="shared" si="1"/>
        <v>0</v>
      </c>
      <c r="F29" s="410">
        <f t="shared" si="2"/>
        <v>0</v>
      </c>
      <c r="G29" s="285"/>
      <c r="H29" s="158"/>
      <c r="I29" s="298">
        <f t="shared" si="8"/>
        <v>0</v>
      </c>
      <c r="J29" s="316"/>
      <c r="K29" s="297"/>
      <c r="L29" s="158"/>
      <c r="M29" s="298"/>
      <c r="N29" s="297"/>
      <c r="O29" s="285"/>
      <c r="P29" s="367"/>
      <c r="Q29" s="279">
        <f t="shared" si="9"/>
        <v>0</v>
      </c>
      <c r="R29" s="310"/>
      <c r="S29" s="375"/>
      <c r="T29" s="382"/>
      <c r="U29" s="279"/>
      <c r="V29" s="63"/>
      <c r="W29" s="357">
        <f t="shared" si="3"/>
        <v>0</v>
      </c>
      <c r="X29" s="418"/>
      <c r="Y29" s="279"/>
      <c r="Z29" s="63"/>
      <c r="AA29" s="360"/>
      <c r="AB29" s="425"/>
      <c r="AC29" s="395"/>
      <c r="AD29" s="334">
        <f t="shared" si="10"/>
        <v>0</v>
      </c>
      <c r="AE29" s="347">
        <f t="shared" si="10"/>
        <v>0</v>
      </c>
      <c r="AF29" s="335">
        <f t="shared" si="5"/>
        <v>0</v>
      </c>
      <c r="AG29" s="324"/>
      <c r="AH29" s="162"/>
      <c r="AI29" s="349"/>
      <c r="AJ29" s="338"/>
      <c r="AK29" s="162"/>
      <c r="AL29" s="339"/>
      <c r="AM29" s="324"/>
    </row>
    <row r="30" spans="1:41" ht="15.75" x14ac:dyDescent="0.25">
      <c r="A30" s="1446" t="s">
        <v>166</v>
      </c>
      <c r="B30" s="1385"/>
      <c r="C30" s="434">
        <v>321</v>
      </c>
      <c r="D30" s="431"/>
      <c r="E30" s="59">
        <f t="shared" si="1"/>
        <v>0</v>
      </c>
      <c r="F30" s="410">
        <f t="shared" si="2"/>
        <v>0</v>
      </c>
      <c r="G30" s="285"/>
      <c r="H30" s="158"/>
      <c r="I30" s="298">
        <f t="shared" si="8"/>
        <v>0</v>
      </c>
      <c r="J30" s="316"/>
      <c r="K30" s="297"/>
      <c r="L30" s="158"/>
      <c r="M30" s="298"/>
      <c r="N30" s="297"/>
      <c r="O30" s="285"/>
      <c r="P30" s="367"/>
      <c r="Q30" s="279">
        <f t="shared" si="9"/>
        <v>0</v>
      </c>
      <c r="R30" s="310"/>
      <c r="S30" s="375"/>
      <c r="T30" s="382"/>
      <c r="U30" s="279"/>
      <c r="V30" s="63"/>
      <c r="W30" s="357">
        <f t="shared" si="3"/>
        <v>0</v>
      </c>
      <c r="X30" s="418"/>
      <c r="Y30" s="279"/>
      <c r="Z30" s="63"/>
      <c r="AA30" s="360"/>
      <c r="AB30" s="425"/>
      <c r="AC30" s="395"/>
      <c r="AD30" s="334">
        <f t="shared" si="10"/>
        <v>0</v>
      </c>
      <c r="AE30" s="347">
        <f t="shared" si="10"/>
        <v>0</v>
      </c>
      <c r="AF30" s="335">
        <f t="shared" si="5"/>
        <v>0</v>
      </c>
      <c r="AG30" s="324"/>
      <c r="AH30" s="162"/>
      <c r="AI30" s="349"/>
      <c r="AJ30" s="338"/>
      <c r="AK30" s="162"/>
      <c r="AL30" s="339"/>
      <c r="AM30" s="324"/>
    </row>
    <row r="31" spans="1:41" ht="15.75" x14ac:dyDescent="0.25">
      <c r="A31" s="1447"/>
      <c r="B31" s="1385"/>
      <c r="C31" s="434">
        <v>360</v>
      </c>
      <c r="D31" s="431"/>
      <c r="E31" s="59">
        <f t="shared" si="1"/>
        <v>0</v>
      </c>
      <c r="F31" s="410">
        <f t="shared" si="2"/>
        <v>0</v>
      </c>
      <c r="G31" s="285"/>
      <c r="H31" s="158"/>
      <c r="I31" s="298">
        <f t="shared" si="8"/>
        <v>0</v>
      </c>
      <c r="J31" s="316"/>
      <c r="K31" s="297"/>
      <c r="L31" s="158"/>
      <c r="M31" s="298"/>
      <c r="N31" s="297"/>
      <c r="O31" s="285"/>
      <c r="P31" s="367"/>
      <c r="Q31" s="279">
        <f t="shared" si="9"/>
        <v>0</v>
      </c>
      <c r="R31" s="310"/>
      <c r="S31" s="375"/>
      <c r="T31" s="382"/>
      <c r="U31" s="279"/>
      <c r="V31" s="63"/>
      <c r="W31" s="357">
        <f t="shared" si="3"/>
        <v>0</v>
      </c>
      <c r="X31" s="418"/>
      <c r="Y31" s="279"/>
      <c r="Z31" s="63"/>
      <c r="AA31" s="360"/>
      <c r="AB31" s="425"/>
      <c r="AC31" s="395"/>
      <c r="AD31" s="334">
        <f t="shared" si="10"/>
        <v>0</v>
      </c>
      <c r="AE31" s="347">
        <f t="shared" si="10"/>
        <v>0</v>
      </c>
      <c r="AF31" s="335">
        <f t="shared" si="5"/>
        <v>0</v>
      </c>
      <c r="AG31" s="324"/>
      <c r="AH31" s="162"/>
      <c r="AI31" s="349"/>
      <c r="AJ31" s="338"/>
      <c r="AK31" s="162"/>
      <c r="AL31" s="339"/>
      <c r="AM31" s="324"/>
    </row>
    <row r="32" spans="1:41" s="115" customFormat="1" ht="15.75" x14ac:dyDescent="0.2">
      <c r="A32" s="439" t="s">
        <v>167</v>
      </c>
      <c r="B32" s="113"/>
      <c r="C32" s="436">
        <v>800</v>
      </c>
      <c r="D32" s="430">
        <f>G32+Q32+AC32+AD32</f>
        <v>13955783.34</v>
      </c>
      <c r="E32" s="59">
        <f t="shared" si="1"/>
        <v>13955783.34</v>
      </c>
      <c r="F32" s="410">
        <f t="shared" si="2"/>
        <v>0</v>
      </c>
      <c r="G32" s="283">
        <f>G33+G35</f>
        <v>5888541</v>
      </c>
      <c r="H32" s="157">
        <f>H33+H35</f>
        <v>5888541</v>
      </c>
      <c r="I32" s="298">
        <f t="shared" si="8"/>
        <v>0</v>
      </c>
      <c r="J32" s="314">
        <f>J33+J35</f>
        <v>0</v>
      </c>
      <c r="K32" s="293">
        <f>K33+K35</f>
        <v>5300802.03</v>
      </c>
      <c r="L32" s="157">
        <f>L33+L35</f>
        <v>3778708.8</v>
      </c>
      <c r="M32" s="294">
        <f>L32-K32</f>
        <v>-1522093.2300000004</v>
      </c>
      <c r="N32" s="293">
        <f>N33+N35</f>
        <v>587738.97</v>
      </c>
      <c r="O32" s="283">
        <f>O33+O35</f>
        <v>2109832.2000000002</v>
      </c>
      <c r="P32" s="365">
        <f>O32-N32</f>
        <v>1522093.2300000002</v>
      </c>
      <c r="Q32" s="276">
        <f>U32+X32+Y32+T32</f>
        <v>1465613.43</v>
      </c>
      <c r="R32" s="307">
        <f>R34+R35+R36</f>
        <v>1465613.4300000002</v>
      </c>
      <c r="S32" s="372">
        <f>R32-Q32</f>
        <v>0</v>
      </c>
      <c r="T32" s="379">
        <f>T33+T35</f>
        <v>3673.7</v>
      </c>
      <c r="U32" s="276">
        <f t="shared" ref="U32:AM32" si="11">U33+U35</f>
        <v>0</v>
      </c>
      <c r="V32" s="153">
        <f t="shared" si="11"/>
        <v>0</v>
      </c>
      <c r="W32" s="357">
        <f t="shared" si="3"/>
        <v>0</v>
      </c>
      <c r="X32" s="415">
        <f t="shared" si="11"/>
        <v>1293239.8</v>
      </c>
      <c r="Y32" s="276">
        <f t="shared" si="11"/>
        <v>168699.93</v>
      </c>
      <c r="Z32" s="153">
        <f t="shared" si="11"/>
        <v>168699.93</v>
      </c>
      <c r="AA32" s="357">
        <f>Z32-Y32</f>
        <v>0</v>
      </c>
      <c r="AB32" s="422">
        <f t="shared" si="11"/>
        <v>0</v>
      </c>
      <c r="AC32" s="396">
        <f t="shared" si="11"/>
        <v>0</v>
      </c>
      <c r="AD32" s="334">
        <f t="shared" si="10"/>
        <v>6601628.9100000001</v>
      </c>
      <c r="AE32" s="347">
        <f t="shared" si="10"/>
        <v>6601628.9100000001</v>
      </c>
      <c r="AF32" s="335">
        <f t="shared" si="5"/>
        <v>0</v>
      </c>
      <c r="AG32" s="323">
        <f t="shared" si="11"/>
        <v>4937910.09</v>
      </c>
      <c r="AH32" s="161">
        <f>AD32-AK32</f>
        <v>6083056.7800000003</v>
      </c>
      <c r="AI32" s="347">
        <f>AH32-AG32</f>
        <v>1145146.6900000004</v>
      </c>
      <c r="AJ32" s="334">
        <f t="shared" si="11"/>
        <v>1663718.8200000003</v>
      </c>
      <c r="AK32" s="161">
        <f t="shared" si="11"/>
        <v>518572.13</v>
      </c>
      <c r="AL32" s="335">
        <f>AK32-AJ32</f>
        <v>-1145146.6900000004</v>
      </c>
      <c r="AM32" s="323">
        <f t="shared" si="11"/>
        <v>0</v>
      </c>
    </row>
    <row r="33" spans="1:44" s="115" customFormat="1" ht="15.75" x14ac:dyDescent="0.25">
      <c r="A33" s="439" t="s">
        <v>168</v>
      </c>
      <c r="B33" s="113"/>
      <c r="C33" s="436">
        <v>830</v>
      </c>
      <c r="D33" s="430">
        <f>G33+Q33+AC33+AD33</f>
        <v>15000</v>
      </c>
      <c r="E33" s="59">
        <f t="shared" si="1"/>
        <v>15000</v>
      </c>
      <c r="F33" s="410">
        <f t="shared" si="2"/>
        <v>0</v>
      </c>
      <c r="G33" s="283">
        <f>SUM(G34)</f>
        <v>0</v>
      </c>
      <c r="H33" s="157"/>
      <c r="I33" s="298">
        <f t="shared" si="8"/>
        <v>0</v>
      </c>
      <c r="J33" s="314"/>
      <c r="K33" s="293">
        <f>SUM(K34)</f>
        <v>0</v>
      </c>
      <c r="L33" s="157"/>
      <c r="M33" s="294"/>
      <c r="N33" s="293">
        <f>SUM(N34)</f>
        <v>0</v>
      </c>
      <c r="O33" s="283"/>
      <c r="P33" s="365"/>
      <c r="Q33" s="276">
        <f t="shared" si="9"/>
        <v>0</v>
      </c>
      <c r="R33" s="307"/>
      <c r="S33" s="372"/>
      <c r="T33" s="379"/>
      <c r="U33" s="276">
        <f t="shared" ref="U33:AM33" si="12">SUM(U34)</f>
        <v>0</v>
      </c>
      <c r="V33" s="153">
        <f t="shared" si="12"/>
        <v>0</v>
      </c>
      <c r="W33" s="357">
        <f t="shared" si="3"/>
        <v>0</v>
      </c>
      <c r="X33" s="415">
        <f t="shared" si="12"/>
        <v>0</v>
      </c>
      <c r="Y33" s="276">
        <f t="shared" si="12"/>
        <v>0</v>
      </c>
      <c r="Z33" s="153"/>
      <c r="AA33" s="357"/>
      <c r="AB33" s="422">
        <f t="shared" si="12"/>
        <v>0</v>
      </c>
      <c r="AC33" s="396">
        <f t="shared" si="12"/>
        <v>0</v>
      </c>
      <c r="AD33" s="334">
        <f t="shared" si="10"/>
        <v>15000</v>
      </c>
      <c r="AE33" s="347">
        <f t="shared" si="10"/>
        <v>15000</v>
      </c>
      <c r="AF33" s="335">
        <f t="shared" si="5"/>
        <v>0</v>
      </c>
      <c r="AG33" s="323">
        <f t="shared" si="12"/>
        <v>15000</v>
      </c>
      <c r="AH33" s="161">
        <f>AD33-AK33</f>
        <v>15000</v>
      </c>
      <c r="AI33" s="347"/>
      <c r="AJ33" s="334">
        <f t="shared" si="12"/>
        <v>0</v>
      </c>
      <c r="AK33" s="161"/>
      <c r="AL33" s="335"/>
      <c r="AM33" s="323">
        <f t="shared" si="12"/>
        <v>0</v>
      </c>
      <c r="AO33" s="121" t="s">
        <v>237</v>
      </c>
    </row>
    <row r="34" spans="1:44" ht="63" x14ac:dyDescent="0.25">
      <c r="A34" s="440" t="s">
        <v>169</v>
      </c>
      <c r="B34" s="354"/>
      <c r="C34" s="434">
        <v>831</v>
      </c>
      <c r="D34" s="431">
        <f>G34+Q34+AC34+AD34</f>
        <v>15000</v>
      </c>
      <c r="E34" s="64">
        <f t="shared" si="1"/>
        <v>15000</v>
      </c>
      <c r="F34" s="410">
        <f t="shared" si="2"/>
        <v>0</v>
      </c>
      <c r="G34" s="285"/>
      <c r="H34" s="158"/>
      <c r="I34" s="298">
        <f t="shared" si="8"/>
        <v>0</v>
      </c>
      <c r="J34" s="316"/>
      <c r="K34" s="297"/>
      <c r="L34" s="158"/>
      <c r="M34" s="298"/>
      <c r="N34" s="297"/>
      <c r="O34" s="285"/>
      <c r="P34" s="367"/>
      <c r="Q34" s="279">
        <f t="shared" si="9"/>
        <v>0</v>
      </c>
      <c r="R34" s="310"/>
      <c r="S34" s="375"/>
      <c r="T34" s="382"/>
      <c r="U34" s="279"/>
      <c r="V34" s="63"/>
      <c r="W34" s="357">
        <f t="shared" si="3"/>
        <v>0</v>
      </c>
      <c r="X34" s="418"/>
      <c r="Y34" s="279"/>
      <c r="Z34" s="63"/>
      <c r="AA34" s="360"/>
      <c r="AB34" s="425"/>
      <c r="AC34" s="395"/>
      <c r="AD34" s="334">
        <f t="shared" si="10"/>
        <v>15000</v>
      </c>
      <c r="AE34" s="347">
        <f t="shared" si="10"/>
        <v>15000</v>
      </c>
      <c r="AF34" s="335">
        <f t="shared" si="5"/>
        <v>0</v>
      </c>
      <c r="AG34" s="324">
        <v>15000</v>
      </c>
      <c r="AH34" s="162">
        <f>AD34-AK34</f>
        <v>15000</v>
      </c>
      <c r="AI34" s="349"/>
      <c r="AJ34" s="338"/>
      <c r="AK34" s="162"/>
      <c r="AL34" s="339"/>
      <c r="AM34" s="324"/>
      <c r="AO34" s="122">
        <v>15000</v>
      </c>
      <c r="AP34" s="121">
        <v>831</v>
      </c>
      <c r="AR34" s="111"/>
    </row>
    <row r="35" spans="1:44" s="115" customFormat="1" ht="33" customHeight="1" x14ac:dyDescent="0.2">
      <c r="A35" s="441" t="s">
        <v>170</v>
      </c>
      <c r="B35" s="1424">
        <v>230</v>
      </c>
      <c r="C35" s="436">
        <v>850</v>
      </c>
      <c r="D35" s="430">
        <f>G35+Q35+AC35+AD35</f>
        <v>13940783.34</v>
      </c>
      <c r="E35" s="59">
        <f t="shared" si="1"/>
        <v>13940783.34</v>
      </c>
      <c r="F35" s="410">
        <f t="shared" si="2"/>
        <v>0</v>
      </c>
      <c r="G35" s="283">
        <f>SUM(G37:G39)</f>
        <v>5888541</v>
      </c>
      <c r="H35" s="157">
        <f>SUM(H37:H39)</f>
        <v>5888541</v>
      </c>
      <c r="I35" s="298">
        <f t="shared" si="8"/>
        <v>0</v>
      </c>
      <c r="J35" s="314">
        <f>SUM(J37:J39)</f>
        <v>0</v>
      </c>
      <c r="K35" s="293">
        <f>SUM(K37:K39)</f>
        <v>5300802.03</v>
      </c>
      <c r="L35" s="157">
        <f>L37+L38+L39</f>
        <v>3778708.8</v>
      </c>
      <c r="M35" s="294">
        <f>L35-K35</f>
        <v>-1522093.2300000004</v>
      </c>
      <c r="N35" s="293">
        <f>SUM(N37:N39)</f>
        <v>587738.97</v>
      </c>
      <c r="O35" s="283">
        <f>SUM(O37:O39)</f>
        <v>2109832.2000000002</v>
      </c>
      <c r="P35" s="365">
        <f>O35-N35</f>
        <v>1522093.2300000002</v>
      </c>
      <c r="Q35" s="276">
        <f>U35+X35+Y35+T35</f>
        <v>1465613.43</v>
      </c>
      <c r="R35" s="307">
        <f t="shared" ref="R35:Z35" si="13">R37+R38+R39</f>
        <v>1465613.4300000002</v>
      </c>
      <c r="S35" s="372">
        <f>R35-Q35</f>
        <v>0</v>
      </c>
      <c r="T35" s="379">
        <f t="shared" si="13"/>
        <v>3673.7</v>
      </c>
      <c r="U35" s="276">
        <f t="shared" si="13"/>
        <v>0</v>
      </c>
      <c r="V35" s="153">
        <f t="shared" si="13"/>
        <v>0</v>
      </c>
      <c r="W35" s="357">
        <f t="shared" si="3"/>
        <v>0</v>
      </c>
      <c r="X35" s="415">
        <f t="shared" si="13"/>
        <v>1293239.8</v>
      </c>
      <c r="Y35" s="276">
        <f t="shared" si="13"/>
        <v>168699.93</v>
      </c>
      <c r="Z35" s="153">
        <f t="shared" si="13"/>
        <v>168699.93</v>
      </c>
      <c r="AA35" s="357">
        <f>Z35-Y35</f>
        <v>0</v>
      </c>
      <c r="AB35" s="422">
        <f>AB37+AB38+AB39</f>
        <v>0</v>
      </c>
      <c r="AC35" s="396">
        <f>SUM(AC36:AC39)</f>
        <v>0</v>
      </c>
      <c r="AD35" s="334">
        <f t="shared" si="10"/>
        <v>6586628.9100000001</v>
      </c>
      <c r="AE35" s="347">
        <f t="shared" si="10"/>
        <v>6586628.9100000001</v>
      </c>
      <c r="AF35" s="335">
        <f t="shared" si="5"/>
        <v>0</v>
      </c>
      <c r="AG35" s="323">
        <f>AG37+AG38+AG39</f>
        <v>4922910.09</v>
      </c>
      <c r="AH35" s="161">
        <f>AD35-AK35</f>
        <v>6068056.7800000003</v>
      </c>
      <c r="AI35" s="347">
        <f>AH35-AG35</f>
        <v>1145146.6900000004</v>
      </c>
      <c r="AJ35" s="334">
        <f>AJ37+AJ38+AJ39</f>
        <v>1663718.8200000003</v>
      </c>
      <c r="AK35" s="161">
        <f>AK37+AK38+AK39</f>
        <v>518572.13</v>
      </c>
      <c r="AL35" s="335">
        <f>AK35-AJ35</f>
        <v>-1145146.6900000004</v>
      </c>
      <c r="AM35" s="323">
        <f>AM37+AM38+AM39</f>
        <v>0</v>
      </c>
    </row>
    <row r="36" spans="1:44" ht="15.75" x14ac:dyDescent="0.25">
      <c r="A36" s="437" t="s">
        <v>92</v>
      </c>
      <c r="B36" s="1422"/>
      <c r="C36" s="438"/>
      <c r="D36" s="431"/>
      <c r="E36" s="59">
        <f t="shared" si="1"/>
        <v>0</v>
      </c>
      <c r="F36" s="410">
        <f t="shared" si="2"/>
        <v>0</v>
      </c>
      <c r="G36" s="285"/>
      <c r="H36" s="158"/>
      <c r="I36" s="298">
        <f t="shared" si="8"/>
        <v>0</v>
      </c>
      <c r="J36" s="316"/>
      <c r="K36" s="297"/>
      <c r="L36" s="158"/>
      <c r="M36" s="298"/>
      <c r="N36" s="297"/>
      <c r="O36" s="285"/>
      <c r="P36" s="367"/>
      <c r="Q36" s="279"/>
      <c r="R36" s="310"/>
      <c r="S36" s="375"/>
      <c r="T36" s="382"/>
      <c r="U36" s="279"/>
      <c r="V36" s="63"/>
      <c r="W36" s="357">
        <f t="shared" si="3"/>
        <v>0</v>
      </c>
      <c r="X36" s="418"/>
      <c r="Y36" s="279"/>
      <c r="Z36" s="63"/>
      <c r="AA36" s="360"/>
      <c r="AB36" s="425"/>
      <c r="AC36" s="395"/>
      <c r="AD36" s="334">
        <f t="shared" si="10"/>
        <v>0</v>
      </c>
      <c r="AE36" s="347">
        <f t="shared" si="10"/>
        <v>0</v>
      </c>
      <c r="AF36" s="335">
        <f t="shared" si="5"/>
        <v>0</v>
      </c>
      <c r="AG36" s="324"/>
      <c r="AH36" s="162"/>
      <c r="AI36" s="349"/>
      <c r="AJ36" s="338"/>
      <c r="AK36" s="162"/>
      <c r="AL36" s="339"/>
      <c r="AM36" s="324"/>
      <c r="AO36" s="121" t="s">
        <v>237</v>
      </c>
      <c r="AP36" s="121" t="s">
        <v>197</v>
      </c>
      <c r="AQ36" s="121" t="s">
        <v>237</v>
      </c>
      <c r="AR36" s="121"/>
    </row>
    <row r="37" spans="1:44" ht="31.5" x14ac:dyDescent="0.25">
      <c r="A37" s="437" t="s">
        <v>171</v>
      </c>
      <c r="B37" s="1422"/>
      <c r="C37" s="434">
        <v>851</v>
      </c>
      <c r="D37" s="431">
        <f>G37+Q37+AC37+AD37</f>
        <v>11808982.34</v>
      </c>
      <c r="E37" s="64">
        <f t="shared" si="1"/>
        <v>11808982.34</v>
      </c>
      <c r="F37" s="410">
        <f t="shared" si="2"/>
        <v>0</v>
      </c>
      <c r="G37" s="285">
        <v>5545243.1200000001</v>
      </c>
      <c r="H37" s="158">
        <v>5545243.1200000001</v>
      </c>
      <c r="I37" s="298">
        <f t="shared" si="8"/>
        <v>0</v>
      </c>
      <c r="J37" s="316"/>
      <c r="K37" s="297">
        <f>G37-N37</f>
        <v>4957504.1500000004</v>
      </c>
      <c r="L37" s="449">
        <f>H37-O37</f>
        <v>3435410.92</v>
      </c>
      <c r="M37" s="298">
        <f>L37-K37</f>
        <v>-1522093.2300000004</v>
      </c>
      <c r="N37" s="297">
        <v>587738.97</v>
      </c>
      <c r="O37" s="285">
        <v>2109832.2000000002</v>
      </c>
      <c r="P37" s="367">
        <f>O37-N37</f>
        <v>1522093.2300000002</v>
      </c>
      <c r="Q37" s="279">
        <f>U37+X37+Y37+T37</f>
        <v>1456841.56</v>
      </c>
      <c r="R37" s="310">
        <f>T37+V37+X37+Z37</f>
        <v>1456841.56</v>
      </c>
      <c r="S37" s="375">
        <f>R37-Q37</f>
        <v>0</v>
      </c>
      <c r="T37" s="382">
        <v>3673.7</v>
      </c>
      <c r="U37" s="279"/>
      <c r="V37" s="63"/>
      <c r="W37" s="357">
        <f t="shared" si="3"/>
        <v>0</v>
      </c>
      <c r="X37" s="418">
        <v>1293239.8</v>
      </c>
      <c r="Y37" s="279">
        <f>168700-0.07-Y38</f>
        <v>159928.06</v>
      </c>
      <c r="Z37" s="63">
        <v>159928.06</v>
      </c>
      <c r="AA37" s="360">
        <f>Z37-Y37</f>
        <v>0</v>
      </c>
      <c r="AB37" s="425"/>
      <c r="AC37" s="395"/>
      <c r="AD37" s="334">
        <f t="shared" si="10"/>
        <v>4806897.66</v>
      </c>
      <c r="AE37" s="347">
        <f t="shared" si="10"/>
        <v>4806897.66</v>
      </c>
      <c r="AF37" s="335">
        <f t="shared" si="5"/>
        <v>0</v>
      </c>
      <c r="AG37" s="324">
        <v>3278406.97</v>
      </c>
      <c r="AH37" s="162">
        <f>AD37-AK37</f>
        <v>4423553.66</v>
      </c>
      <c r="AI37" s="349">
        <f>AH37-AG37</f>
        <v>1145146.69</v>
      </c>
      <c r="AJ37" s="338">
        <v>1528490.6900000002</v>
      </c>
      <c r="AK37" s="162">
        <v>383344</v>
      </c>
      <c r="AL37" s="339">
        <f>AK37-AJ37</f>
        <v>-1145146.6900000002</v>
      </c>
      <c r="AM37" s="324"/>
      <c r="AO37" s="122">
        <v>2116229.66</v>
      </c>
      <c r="AP37" s="122">
        <v>-2116229.66</v>
      </c>
      <c r="AQ37" s="122"/>
      <c r="AR37" s="115"/>
    </row>
    <row r="38" spans="1:44" ht="15.75" x14ac:dyDescent="0.25">
      <c r="A38" s="437" t="s">
        <v>172</v>
      </c>
      <c r="B38" s="1422"/>
      <c r="C38" s="434">
        <v>852</v>
      </c>
      <c r="D38" s="431">
        <f>G38+Q38+AC38+AD38</f>
        <v>645699.89</v>
      </c>
      <c r="E38" s="64">
        <f t="shared" si="1"/>
        <v>645699.89</v>
      </c>
      <c r="F38" s="410">
        <f t="shared" si="2"/>
        <v>0</v>
      </c>
      <c r="G38" s="285">
        <f>K38</f>
        <v>235990.26</v>
      </c>
      <c r="H38" s="158">
        <v>235990.26</v>
      </c>
      <c r="I38" s="298">
        <f t="shared" si="8"/>
        <v>0</v>
      </c>
      <c r="J38" s="316"/>
      <c r="K38" s="297">
        <f>285983.27+AQ38</f>
        <v>235990.26</v>
      </c>
      <c r="L38" s="449">
        <f>H38-O38</f>
        <v>235990.26</v>
      </c>
      <c r="M38" s="298">
        <f>L38-K38</f>
        <v>0</v>
      </c>
      <c r="N38" s="297"/>
      <c r="O38" s="285"/>
      <c r="P38" s="367"/>
      <c r="Q38" s="279">
        <f>U38+X38+Y38+T38</f>
        <v>8771.8700000000008</v>
      </c>
      <c r="R38" s="310">
        <f>T38+V38+X38+Z38</f>
        <v>8771.8700000000008</v>
      </c>
      <c r="S38" s="375">
        <f>R38-Q38</f>
        <v>0</v>
      </c>
      <c r="T38" s="382"/>
      <c r="U38" s="279"/>
      <c r="V38" s="63"/>
      <c r="W38" s="357">
        <f t="shared" si="3"/>
        <v>0</v>
      </c>
      <c r="X38" s="418"/>
      <c r="Y38" s="279">
        <f>8771.87</f>
        <v>8771.8700000000008</v>
      </c>
      <c r="Z38" s="63">
        <v>8771.8700000000008</v>
      </c>
      <c r="AA38" s="360">
        <f>Z38-Y38</f>
        <v>0</v>
      </c>
      <c r="AB38" s="425"/>
      <c r="AC38" s="395"/>
      <c r="AD38" s="334">
        <f t="shared" si="10"/>
        <v>400937.76</v>
      </c>
      <c r="AE38" s="347">
        <f t="shared" si="10"/>
        <v>400937.76</v>
      </c>
      <c r="AF38" s="335">
        <f t="shared" si="5"/>
        <v>0</v>
      </c>
      <c r="AG38" s="324">
        <v>331709.63</v>
      </c>
      <c r="AH38" s="162">
        <f>AD38-AK38</f>
        <v>331709.63</v>
      </c>
      <c r="AI38" s="349">
        <f>AH38-AG38</f>
        <v>0</v>
      </c>
      <c r="AJ38" s="338">
        <v>69228.13</v>
      </c>
      <c r="AK38" s="162">
        <v>69228.13</v>
      </c>
      <c r="AL38" s="339">
        <f>AK38-AJ38</f>
        <v>0</v>
      </c>
      <c r="AM38" s="324"/>
      <c r="AO38" s="122">
        <v>-75470.62</v>
      </c>
      <c r="AP38" s="122"/>
      <c r="AQ38" s="122">
        <v>-49993.01</v>
      </c>
    </row>
    <row r="39" spans="1:44" ht="18.75" customHeight="1" x14ac:dyDescent="0.25">
      <c r="A39" s="437" t="s">
        <v>173</v>
      </c>
      <c r="B39" s="1423"/>
      <c r="C39" s="434">
        <v>853</v>
      </c>
      <c r="D39" s="431">
        <f>G39+Q39+AC39+AD39</f>
        <v>1486101.1099999999</v>
      </c>
      <c r="E39" s="64">
        <f t="shared" si="1"/>
        <v>1486101.1099999999</v>
      </c>
      <c r="F39" s="410">
        <f t="shared" si="2"/>
        <v>0</v>
      </c>
      <c r="G39" s="285">
        <f>K39</f>
        <v>107307.62</v>
      </c>
      <c r="H39" s="158">
        <v>107307.62</v>
      </c>
      <c r="I39" s="298">
        <f t="shared" si="8"/>
        <v>0</v>
      </c>
      <c r="J39" s="316"/>
      <c r="K39" s="297">
        <f>57314.61+AQ39</f>
        <v>107307.62</v>
      </c>
      <c r="L39" s="449">
        <f>H39-O39</f>
        <v>107307.62</v>
      </c>
      <c r="M39" s="298">
        <f>L39-K39</f>
        <v>0</v>
      </c>
      <c r="N39" s="297"/>
      <c r="O39" s="285"/>
      <c r="P39" s="367"/>
      <c r="Q39" s="279">
        <f>SUM(U39:Y39)</f>
        <v>0</v>
      </c>
      <c r="R39" s="310"/>
      <c r="S39" s="375"/>
      <c r="T39" s="382"/>
      <c r="U39" s="279"/>
      <c r="V39" s="63"/>
      <c r="W39" s="357">
        <f t="shared" si="3"/>
        <v>0</v>
      </c>
      <c r="X39" s="418"/>
      <c r="Y39" s="279"/>
      <c r="Z39" s="63"/>
      <c r="AA39" s="360"/>
      <c r="AB39" s="425"/>
      <c r="AC39" s="395"/>
      <c r="AD39" s="334">
        <f t="shared" si="10"/>
        <v>1378793.49</v>
      </c>
      <c r="AE39" s="347">
        <f t="shared" si="10"/>
        <v>1378793.49</v>
      </c>
      <c r="AF39" s="335">
        <f t="shared" si="5"/>
        <v>0</v>
      </c>
      <c r="AG39" s="324">
        <v>1312793.49</v>
      </c>
      <c r="AH39" s="162">
        <f>AD39-AK39</f>
        <v>1312793.49</v>
      </c>
      <c r="AI39" s="349">
        <f>AH39-AG39</f>
        <v>0</v>
      </c>
      <c r="AJ39" s="338">
        <v>66000</v>
      </c>
      <c r="AK39" s="162">
        <v>66000</v>
      </c>
      <c r="AL39" s="339">
        <f>AK39-AJ39</f>
        <v>0</v>
      </c>
      <c r="AM39" s="324"/>
      <c r="AO39" s="122">
        <v>75470.62</v>
      </c>
      <c r="AP39" s="122"/>
      <c r="AQ39" s="122">
        <v>49993.01</v>
      </c>
      <c r="AR39" s="137"/>
    </row>
    <row r="40" spans="1:44" ht="15.75" x14ac:dyDescent="0.25">
      <c r="A40" s="437" t="s">
        <v>174</v>
      </c>
      <c r="B40" s="355">
        <v>240</v>
      </c>
      <c r="C40" s="434">
        <v>860</v>
      </c>
      <c r="D40" s="431"/>
      <c r="E40" s="59">
        <f t="shared" si="1"/>
        <v>0</v>
      </c>
      <c r="F40" s="410">
        <f t="shared" si="2"/>
        <v>0</v>
      </c>
      <c r="G40" s="285"/>
      <c r="H40" s="158"/>
      <c r="I40" s="298">
        <f t="shared" si="8"/>
        <v>0</v>
      </c>
      <c r="J40" s="316"/>
      <c r="K40" s="297"/>
      <c r="L40" s="158"/>
      <c r="M40" s="298"/>
      <c r="N40" s="297"/>
      <c r="O40" s="285"/>
      <c r="P40" s="367"/>
      <c r="Q40" s="279">
        <f>SUM(U40:Y40)</f>
        <v>0</v>
      </c>
      <c r="R40" s="310"/>
      <c r="S40" s="375"/>
      <c r="T40" s="382"/>
      <c r="U40" s="279"/>
      <c r="V40" s="63"/>
      <c r="W40" s="357">
        <f t="shared" si="3"/>
        <v>0</v>
      </c>
      <c r="X40" s="418"/>
      <c r="Y40" s="279"/>
      <c r="Z40" s="63"/>
      <c r="AA40" s="360"/>
      <c r="AB40" s="425"/>
      <c r="AC40" s="395"/>
      <c r="AD40" s="334">
        <f t="shared" si="10"/>
        <v>0</v>
      </c>
      <c r="AE40" s="347">
        <f t="shared" si="10"/>
        <v>0</v>
      </c>
      <c r="AF40" s="335">
        <f t="shared" si="5"/>
        <v>0</v>
      </c>
      <c r="AG40" s="324"/>
      <c r="AH40" s="162"/>
      <c r="AI40" s="349"/>
      <c r="AJ40" s="338"/>
      <c r="AK40" s="162"/>
      <c r="AL40" s="339"/>
      <c r="AM40" s="324"/>
    </row>
    <row r="41" spans="1:44" s="115" customFormat="1" ht="31.5" x14ac:dyDescent="0.2">
      <c r="A41" s="435" t="s">
        <v>175</v>
      </c>
      <c r="B41" s="1387">
        <v>250</v>
      </c>
      <c r="C41" s="442"/>
      <c r="D41" s="430">
        <f>G41+Q41+AC41+AD41</f>
        <v>0</v>
      </c>
      <c r="E41" s="59">
        <f t="shared" si="1"/>
        <v>0</v>
      </c>
      <c r="F41" s="410">
        <f t="shared" si="2"/>
        <v>0</v>
      </c>
      <c r="G41" s="283">
        <f>G43</f>
        <v>0</v>
      </c>
      <c r="H41" s="157"/>
      <c r="I41" s="298">
        <f t="shared" si="8"/>
        <v>0</v>
      </c>
      <c r="J41" s="314"/>
      <c r="K41" s="293">
        <f>K43</f>
        <v>0</v>
      </c>
      <c r="L41" s="157"/>
      <c r="M41" s="294"/>
      <c r="N41" s="293">
        <f>N43</f>
        <v>0</v>
      </c>
      <c r="O41" s="283"/>
      <c r="P41" s="365"/>
      <c r="Q41" s="276">
        <f>SUM(U41:Y41)</f>
        <v>0</v>
      </c>
      <c r="R41" s="307"/>
      <c r="S41" s="372"/>
      <c r="T41" s="379"/>
      <c r="U41" s="276">
        <v>0</v>
      </c>
      <c r="V41" s="153">
        <v>0</v>
      </c>
      <c r="W41" s="357">
        <f t="shared" si="3"/>
        <v>0</v>
      </c>
      <c r="X41" s="415">
        <v>0</v>
      </c>
      <c r="Y41" s="276">
        <v>0</v>
      </c>
      <c r="Z41" s="153"/>
      <c r="AA41" s="357"/>
      <c r="AB41" s="422">
        <v>0</v>
      </c>
      <c r="AC41" s="396">
        <v>0</v>
      </c>
      <c r="AD41" s="334">
        <f t="shared" si="10"/>
        <v>0</v>
      </c>
      <c r="AE41" s="347">
        <f t="shared" si="10"/>
        <v>0</v>
      </c>
      <c r="AF41" s="335">
        <f t="shared" si="5"/>
        <v>0</v>
      </c>
      <c r="AG41" s="323">
        <f>AG43</f>
        <v>0</v>
      </c>
      <c r="AH41" s="161"/>
      <c r="AI41" s="347"/>
      <c r="AJ41" s="334">
        <v>0</v>
      </c>
      <c r="AK41" s="161"/>
      <c r="AL41" s="335"/>
      <c r="AM41" s="323">
        <f>AM43</f>
        <v>0</v>
      </c>
    </row>
    <row r="42" spans="1:44" s="115" customFormat="1" ht="15.75" x14ac:dyDescent="0.2">
      <c r="A42" s="435" t="s">
        <v>92</v>
      </c>
      <c r="B42" s="1387"/>
      <c r="C42" s="442"/>
      <c r="D42" s="430"/>
      <c r="E42" s="59">
        <f t="shared" si="1"/>
        <v>0</v>
      </c>
      <c r="F42" s="410">
        <f t="shared" si="2"/>
        <v>0</v>
      </c>
      <c r="G42" s="283"/>
      <c r="H42" s="157"/>
      <c r="I42" s="298">
        <f t="shared" si="8"/>
        <v>0</v>
      </c>
      <c r="J42" s="314"/>
      <c r="K42" s="293"/>
      <c r="L42" s="157"/>
      <c r="M42" s="294"/>
      <c r="N42" s="293"/>
      <c r="O42" s="283"/>
      <c r="P42" s="365"/>
      <c r="Q42" s="276"/>
      <c r="R42" s="307"/>
      <c r="S42" s="372"/>
      <c r="T42" s="379"/>
      <c r="U42" s="276"/>
      <c r="V42" s="153"/>
      <c r="W42" s="357">
        <f t="shared" si="3"/>
        <v>0</v>
      </c>
      <c r="X42" s="415"/>
      <c r="Y42" s="276"/>
      <c r="Z42" s="153"/>
      <c r="AA42" s="357"/>
      <c r="AB42" s="422"/>
      <c r="AC42" s="396"/>
      <c r="AD42" s="334">
        <f t="shared" si="10"/>
        <v>0</v>
      </c>
      <c r="AE42" s="347">
        <f t="shared" si="10"/>
        <v>0</v>
      </c>
      <c r="AF42" s="335">
        <f t="shared" si="5"/>
        <v>0</v>
      </c>
      <c r="AG42" s="323"/>
      <c r="AH42" s="161"/>
      <c r="AI42" s="347"/>
      <c r="AJ42" s="334"/>
      <c r="AK42" s="161"/>
      <c r="AL42" s="335"/>
      <c r="AM42" s="323"/>
    </row>
    <row r="43" spans="1:44" s="115" customFormat="1" ht="15.75" x14ac:dyDescent="0.2">
      <c r="A43" s="443"/>
      <c r="B43" s="1387"/>
      <c r="C43" s="442"/>
      <c r="D43" s="430"/>
      <c r="E43" s="59">
        <f t="shared" si="1"/>
        <v>0</v>
      </c>
      <c r="F43" s="410">
        <f t="shared" si="2"/>
        <v>0</v>
      </c>
      <c r="G43" s="283"/>
      <c r="H43" s="157"/>
      <c r="I43" s="298">
        <f t="shared" si="8"/>
        <v>0</v>
      </c>
      <c r="J43" s="314"/>
      <c r="K43" s="293"/>
      <c r="L43" s="157"/>
      <c r="M43" s="294"/>
      <c r="N43" s="293"/>
      <c r="O43" s="283"/>
      <c r="P43" s="365"/>
      <c r="Q43" s="276"/>
      <c r="R43" s="307"/>
      <c r="S43" s="372"/>
      <c r="T43" s="379"/>
      <c r="U43" s="276"/>
      <c r="V43" s="153"/>
      <c r="W43" s="357">
        <f t="shared" si="3"/>
        <v>0</v>
      </c>
      <c r="X43" s="415"/>
      <c r="Y43" s="276"/>
      <c r="Z43" s="153"/>
      <c r="AA43" s="357"/>
      <c r="AB43" s="422"/>
      <c r="AC43" s="396"/>
      <c r="AD43" s="334">
        <f t="shared" si="10"/>
        <v>0</v>
      </c>
      <c r="AE43" s="347">
        <f t="shared" si="10"/>
        <v>0</v>
      </c>
      <c r="AF43" s="335">
        <f t="shared" si="5"/>
        <v>0</v>
      </c>
      <c r="AG43" s="323"/>
      <c r="AH43" s="161"/>
      <c r="AI43" s="347"/>
      <c r="AJ43" s="334"/>
      <c r="AK43" s="161"/>
      <c r="AL43" s="335"/>
      <c r="AM43" s="323"/>
    </row>
    <row r="44" spans="1:44" s="115" customFormat="1" ht="31.5" x14ac:dyDescent="0.2">
      <c r="A44" s="435" t="s">
        <v>176</v>
      </c>
      <c r="B44" s="1388">
        <v>260</v>
      </c>
      <c r="C44" s="436">
        <v>240</v>
      </c>
      <c r="D44" s="430">
        <f>G44+Q44+AC44+AD44</f>
        <v>1455326135.8182003</v>
      </c>
      <c r="E44" s="59">
        <f t="shared" si="1"/>
        <v>1465011817.29</v>
      </c>
      <c r="F44" s="410">
        <f t="shared" si="2"/>
        <v>9685681.471799612</v>
      </c>
      <c r="G44" s="283">
        <f>G46+G47+G48+G49+G50+G54+G58+G60</f>
        <v>42893456.650000006</v>
      </c>
      <c r="H44" s="157">
        <f>H46+H47+H48+H49+H50+H54+H58+H60</f>
        <v>42893456.650000006</v>
      </c>
      <c r="I44" s="298">
        <f t="shared" si="8"/>
        <v>0</v>
      </c>
      <c r="J44" s="314">
        <f>J46+J47+J48+J49+J50+J54+J58+J60</f>
        <v>0</v>
      </c>
      <c r="K44" s="293">
        <f>K46+K47+K48+K49+K50+K54+K58+K60</f>
        <v>38639352.640000001</v>
      </c>
      <c r="L44" s="157">
        <f>L46+L47+L48+L49+L50+L54+L58+L60</f>
        <v>27622314.050000001</v>
      </c>
      <c r="M44" s="294">
        <f>L44-K44</f>
        <v>-11017038.59</v>
      </c>
      <c r="N44" s="293">
        <f>N46+N47+N48+N49+N50+N54+N58+N60</f>
        <v>4254104.01</v>
      </c>
      <c r="O44" s="283">
        <f>O46+O47+O48+O49+O50+O54+O58+O60</f>
        <v>15271142.599999998</v>
      </c>
      <c r="P44" s="365">
        <f>O44-N44</f>
        <v>11017038.589999998</v>
      </c>
      <c r="Q44" s="276">
        <f>Q46+Q47+Q48+Q49+Q50+Q54+Q58+Q60+Q51+Q55</f>
        <v>1269767136.7482002</v>
      </c>
      <c r="R44" s="307">
        <f>R47+R49+R51+R54+R55+R58+R60</f>
        <v>1279452818.2199998</v>
      </c>
      <c r="S44" s="372">
        <f>R44-Q44</f>
        <v>9685681.471799612</v>
      </c>
      <c r="T44" s="379">
        <f>T46+T47+T48+T49+T50+T54+T58+T60+T51+T55</f>
        <v>667265050.67999995</v>
      </c>
      <c r="U44" s="276">
        <f>U46+U47+U48+U49+U50+U54+U58+U60+U51+U55</f>
        <v>581122700</v>
      </c>
      <c r="V44" s="153">
        <f>V46+V47+V48+V49+V50+V54+V58+V60+V51+V55</f>
        <v>594009681.62</v>
      </c>
      <c r="W44" s="357">
        <f t="shared" si="3"/>
        <v>12886981.620000005</v>
      </c>
      <c r="X44" s="415">
        <f>X46+X47+X48+X49+X50+X54+X58+X60</f>
        <v>11296886</v>
      </c>
      <c r="Y44" s="276">
        <f>Y46+Y47+Y48+Y49+Y50+Y54+Y58+Y60</f>
        <v>10082500.0682</v>
      </c>
      <c r="Z44" s="153">
        <f>Z46+Z47+Z48+Z49+Z50+Z54+Z58+Z60</f>
        <v>6881199.9199999999</v>
      </c>
      <c r="AA44" s="357">
        <f>Z44-Y44</f>
        <v>-3201300.1481999997</v>
      </c>
      <c r="AB44" s="422">
        <f>AB46+AB47+AB48+AB49+AB50+AB51+AB55+AB60</f>
        <v>0</v>
      </c>
      <c r="AC44" s="396">
        <f>AC46+AC47+AC48+AC49+AC50+AC54+AC58+AC60</f>
        <v>70000</v>
      </c>
      <c r="AD44" s="334">
        <f>AG44+AJ44</f>
        <v>142595542.42000002</v>
      </c>
      <c r="AE44" s="161">
        <f>AE46+AE47+AE48+AE49+AE50+AE54+AE58+AE60</f>
        <v>144276173.29000002</v>
      </c>
      <c r="AF44" s="335">
        <f t="shared" si="5"/>
        <v>1680630.8700000048</v>
      </c>
      <c r="AG44" s="323">
        <f>AG46+AG47+AG48+AG49+AG50+AG54+AG58+AG60</f>
        <v>112358118.59000002</v>
      </c>
      <c r="AH44" s="323">
        <f>AH46+AH47+AH48+AH49+AH50+AH54+AH58+AH60</f>
        <v>124112923.75000003</v>
      </c>
      <c r="AI44" s="347">
        <f>AH44-AG44</f>
        <v>11754805.160000011</v>
      </c>
      <c r="AJ44" s="334">
        <f>AJ46+AJ47+AJ48+AJ49+AJ50+AJ54+AJ58+AJ60</f>
        <v>30237423.829999998</v>
      </c>
      <c r="AK44" s="161">
        <f>AK46+AK47+AK48+AK49+AK50+AK54+AK58+AK60</f>
        <v>20163249.539999999</v>
      </c>
      <c r="AL44" s="335">
        <f>AK44-AJ44</f>
        <v>-10074174.289999999</v>
      </c>
      <c r="AM44" s="323">
        <f>AM46+AM47+AM48+AM49+AM50+AM51+AM55+AM60</f>
        <v>0</v>
      </c>
    </row>
    <row r="45" spans="1:44" ht="15.75" x14ac:dyDescent="0.25">
      <c r="A45" s="437" t="s">
        <v>92</v>
      </c>
      <c r="B45" s="1392"/>
      <c r="C45" s="438"/>
      <c r="D45" s="431"/>
      <c r="E45" s="59">
        <f t="shared" si="1"/>
        <v>0</v>
      </c>
      <c r="F45" s="410">
        <f t="shared" si="2"/>
        <v>0</v>
      </c>
      <c r="G45" s="285"/>
      <c r="H45" s="158"/>
      <c r="I45" s="298">
        <f t="shared" si="8"/>
        <v>0</v>
      </c>
      <c r="J45" s="316"/>
      <c r="K45" s="297"/>
      <c r="L45" s="158"/>
      <c r="M45" s="298"/>
      <c r="N45" s="297"/>
      <c r="O45" s="285"/>
      <c r="P45" s="367"/>
      <c r="Q45" s="279"/>
      <c r="R45" s="310"/>
      <c r="S45" s="375"/>
      <c r="T45" s="382"/>
      <c r="U45" s="279"/>
      <c r="V45" s="63"/>
      <c r="W45" s="357">
        <f t="shared" si="3"/>
        <v>0</v>
      </c>
      <c r="X45" s="418"/>
      <c r="Y45" s="279"/>
      <c r="Z45" s="63"/>
      <c r="AA45" s="360"/>
      <c r="AB45" s="425"/>
      <c r="AC45" s="395"/>
      <c r="AD45" s="334">
        <f t="shared" si="10"/>
        <v>0</v>
      </c>
      <c r="AE45" s="347">
        <f t="shared" si="10"/>
        <v>0</v>
      </c>
      <c r="AF45" s="335">
        <f t="shared" si="5"/>
        <v>0</v>
      </c>
      <c r="AG45" s="324"/>
      <c r="AH45" s="162"/>
      <c r="AI45" s="349"/>
      <c r="AJ45" s="338"/>
      <c r="AK45" s="162"/>
      <c r="AL45" s="339"/>
      <c r="AM45" s="324"/>
      <c r="AO45" s="121" t="s">
        <v>237</v>
      </c>
      <c r="AP45" s="121" t="s">
        <v>197</v>
      </c>
    </row>
    <row r="46" spans="1:44" ht="31.5" x14ac:dyDescent="0.25">
      <c r="A46" s="437" t="s">
        <v>177</v>
      </c>
      <c r="B46" s="140"/>
      <c r="C46" s="434">
        <v>241</v>
      </c>
      <c r="D46" s="431"/>
      <c r="E46" s="59">
        <f t="shared" si="1"/>
        <v>0</v>
      </c>
      <c r="F46" s="410">
        <f t="shared" si="2"/>
        <v>0</v>
      </c>
      <c r="G46" s="285"/>
      <c r="H46" s="158"/>
      <c r="I46" s="298">
        <f t="shared" si="8"/>
        <v>0</v>
      </c>
      <c r="J46" s="316"/>
      <c r="K46" s="297"/>
      <c r="L46" s="450"/>
      <c r="M46" s="298"/>
      <c r="N46" s="297"/>
      <c r="O46" s="285"/>
      <c r="P46" s="367"/>
      <c r="Q46" s="279"/>
      <c r="R46" s="310"/>
      <c r="S46" s="375"/>
      <c r="T46" s="382"/>
      <c r="U46" s="279"/>
      <c r="V46" s="63"/>
      <c r="W46" s="357">
        <f t="shared" si="3"/>
        <v>0</v>
      </c>
      <c r="X46" s="418"/>
      <c r="Y46" s="279"/>
      <c r="Z46" s="63"/>
      <c r="AA46" s="360"/>
      <c r="AB46" s="425"/>
      <c r="AC46" s="395"/>
      <c r="AD46" s="334">
        <f t="shared" si="10"/>
        <v>0</v>
      </c>
      <c r="AE46" s="347">
        <f t="shared" si="10"/>
        <v>0</v>
      </c>
      <c r="AF46" s="335">
        <f t="shared" si="5"/>
        <v>0</v>
      </c>
      <c r="AG46" s="324"/>
      <c r="AH46" s="162"/>
      <c r="AI46" s="349"/>
      <c r="AJ46" s="338"/>
      <c r="AK46" s="162"/>
      <c r="AL46" s="339"/>
      <c r="AM46" s="324"/>
      <c r="AO46" s="141"/>
      <c r="AP46" s="122">
        <v>25000</v>
      </c>
      <c r="AQ46" s="117" t="s">
        <v>234</v>
      </c>
    </row>
    <row r="47" spans="1:44" ht="15.75" customHeight="1" x14ac:dyDescent="0.25">
      <c r="A47" s="437" t="s">
        <v>178</v>
      </c>
      <c r="B47" s="140"/>
      <c r="C47" s="434">
        <v>244</v>
      </c>
      <c r="D47" s="431">
        <f>G47+Q47+AC47+AD47</f>
        <v>2371773.46</v>
      </c>
      <c r="E47" s="64">
        <f t="shared" si="1"/>
        <v>2371773.46</v>
      </c>
      <c r="F47" s="410">
        <f t="shared" si="2"/>
        <v>0</v>
      </c>
      <c r="G47" s="285">
        <f>J47+K47+N47</f>
        <v>539100</v>
      </c>
      <c r="H47" s="158">
        <v>539100</v>
      </c>
      <c r="I47" s="298">
        <f t="shared" si="8"/>
        <v>0</v>
      </c>
      <c r="J47" s="316"/>
      <c r="K47" s="297">
        <v>485293.65</v>
      </c>
      <c r="L47" s="449">
        <f>H47-O47</f>
        <v>345949</v>
      </c>
      <c r="M47" s="298">
        <f>L47-K47</f>
        <v>-139344.65000000002</v>
      </c>
      <c r="N47" s="297">
        <v>53806.35</v>
      </c>
      <c r="O47" s="285">
        <v>193151</v>
      </c>
      <c r="P47" s="367">
        <f>O47-N47</f>
        <v>139344.65</v>
      </c>
      <c r="Q47" s="279">
        <f>U47+X47+Y47+T47</f>
        <v>471926.98</v>
      </c>
      <c r="R47" s="310">
        <f>T47+V47+X47+Z47</f>
        <v>471926.98</v>
      </c>
      <c r="S47" s="375">
        <f>R47-Q47</f>
        <v>0</v>
      </c>
      <c r="T47" s="383">
        <f>54723.88+10227</f>
        <v>64950.879999999997</v>
      </c>
      <c r="U47" s="279"/>
      <c r="V47" s="63"/>
      <c r="W47" s="357">
        <f t="shared" si="3"/>
        <v>0</v>
      </c>
      <c r="X47" s="418">
        <v>216602.1</v>
      </c>
      <c r="Y47" s="279">
        <f>190374</f>
        <v>190374</v>
      </c>
      <c r="Z47" s="63">
        <v>190374</v>
      </c>
      <c r="AA47" s="360">
        <f>Z47-Y47</f>
        <v>0</v>
      </c>
      <c r="AB47" s="425"/>
      <c r="AC47" s="395"/>
      <c r="AD47" s="334">
        <f t="shared" si="10"/>
        <v>1360746.48</v>
      </c>
      <c r="AE47" s="347">
        <f t="shared" si="10"/>
        <v>1360746.48</v>
      </c>
      <c r="AF47" s="335">
        <f t="shared" si="5"/>
        <v>0</v>
      </c>
      <c r="AG47" s="324">
        <v>575024.80000000005</v>
      </c>
      <c r="AH47" s="162">
        <f>AD47-AK47</f>
        <v>914369.45</v>
      </c>
      <c r="AI47" s="349">
        <f>AH47-AG47</f>
        <v>339344.64999999991</v>
      </c>
      <c r="AJ47" s="338">
        <v>785721.68</v>
      </c>
      <c r="AK47" s="162">
        <v>446377.03</v>
      </c>
      <c r="AL47" s="339">
        <f>AK47-AJ47</f>
        <v>-339344.65</v>
      </c>
      <c r="AM47" s="324"/>
      <c r="AO47" s="122">
        <v>269900</v>
      </c>
      <c r="AP47" s="122">
        <f>-269900</f>
        <v>-269900</v>
      </c>
      <c r="AQ47" s="117" t="s">
        <v>179</v>
      </c>
    </row>
    <row r="48" spans="1:44" ht="19.5" customHeight="1" x14ac:dyDescent="0.25">
      <c r="A48" s="437" t="s">
        <v>179</v>
      </c>
      <c r="B48" s="140"/>
      <c r="C48" s="434">
        <v>244</v>
      </c>
      <c r="D48" s="431">
        <f>G48+Q48+AB48+AC48+AD48</f>
        <v>235100</v>
      </c>
      <c r="E48" s="64">
        <f t="shared" si="1"/>
        <v>235100</v>
      </c>
      <c r="F48" s="410">
        <f t="shared" si="2"/>
        <v>0</v>
      </c>
      <c r="G48" s="285"/>
      <c r="H48" s="158"/>
      <c r="I48" s="298">
        <f t="shared" si="8"/>
        <v>0</v>
      </c>
      <c r="J48" s="316"/>
      <c r="K48" s="297"/>
      <c r="L48" s="450"/>
      <c r="M48" s="298"/>
      <c r="N48" s="297"/>
      <c r="O48" s="285"/>
      <c r="P48" s="367"/>
      <c r="Q48" s="279">
        <f t="shared" ref="Q48:Q57" si="14">SUM(T48:Y48)</f>
        <v>0</v>
      </c>
      <c r="R48" s="310"/>
      <c r="S48" s="375"/>
      <c r="T48" s="382"/>
      <c r="U48" s="279"/>
      <c r="V48" s="63"/>
      <c r="W48" s="357">
        <f t="shared" si="3"/>
        <v>0</v>
      </c>
      <c r="X48" s="418"/>
      <c r="Y48" s="279"/>
      <c r="Z48" s="63"/>
      <c r="AA48" s="360"/>
      <c r="AB48" s="425"/>
      <c r="AC48" s="395"/>
      <c r="AD48" s="334">
        <f>AG48+AJ48</f>
        <v>235100</v>
      </c>
      <c r="AE48" s="347">
        <f t="shared" si="10"/>
        <v>235100</v>
      </c>
      <c r="AF48" s="335">
        <f t="shared" si="5"/>
        <v>0</v>
      </c>
      <c r="AG48" s="324">
        <v>85100</v>
      </c>
      <c r="AH48" s="162">
        <f t="shared" ref="AH48:AH58" si="15">AD48-AK48</f>
        <v>85100</v>
      </c>
      <c r="AI48" s="349">
        <f t="shared" ref="AI48:AI66" si="16">AH48-AG48</f>
        <v>0</v>
      </c>
      <c r="AJ48" s="338">
        <v>150000</v>
      </c>
      <c r="AK48" s="162">
        <v>150000</v>
      </c>
      <c r="AL48" s="339">
        <f>AK48-AJ48</f>
        <v>0</v>
      </c>
      <c r="AM48" s="324"/>
      <c r="AO48" s="111">
        <v>50000</v>
      </c>
      <c r="AP48" s="111">
        <v>845833.33</v>
      </c>
      <c r="AQ48" s="117" t="s">
        <v>242</v>
      </c>
    </row>
    <row r="49" spans="1:44" ht="16.5" customHeight="1" x14ac:dyDescent="0.25">
      <c r="A49" s="437" t="s">
        <v>180</v>
      </c>
      <c r="B49" s="140"/>
      <c r="C49" s="434">
        <v>244</v>
      </c>
      <c r="D49" s="431">
        <f>G49+Q49+AC49+AD49</f>
        <v>35036098.710000001</v>
      </c>
      <c r="E49" s="64">
        <f t="shared" si="1"/>
        <v>35036098.710000001</v>
      </c>
      <c r="F49" s="410">
        <f t="shared" si="2"/>
        <v>0</v>
      </c>
      <c r="G49" s="285">
        <f>J49+K49+N49</f>
        <v>10168653.76</v>
      </c>
      <c r="H49" s="158">
        <v>10168653.76</v>
      </c>
      <c r="I49" s="298">
        <f t="shared" si="8"/>
        <v>0</v>
      </c>
      <c r="J49" s="316"/>
      <c r="K49" s="297">
        <v>9153714.25</v>
      </c>
      <c r="L49" s="449">
        <f>H49-O49</f>
        <v>6525281.1600000001</v>
      </c>
      <c r="M49" s="298">
        <f>L49-K49</f>
        <v>-2628433.09</v>
      </c>
      <c r="N49" s="297">
        <v>1014939.51</v>
      </c>
      <c r="O49" s="285">
        <v>3643372.6</v>
      </c>
      <c r="P49" s="367">
        <f>O49-N49</f>
        <v>2628433.09</v>
      </c>
      <c r="Q49" s="279">
        <f>U49+X49+Y49+T49</f>
        <v>6276194.3399999999</v>
      </c>
      <c r="R49" s="310">
        <f>T49+V49+X49+Z49</f>
        <v>6276194.3399999999</v>
      </c>
      <c r="S49" s="375">
        <f>R49-Q49</f>
        <v>0</v>
      </c>
      <c r="T49" s="382">
        <f>266568.3+304773.63</f>
        <v>571341.92999999993</v>
      </c>
      <c r="U49" s="279"/>
      <c r="V49" s="63"/>
      <c r="W49" s="357">
        <f t="shared" si="3"/>
        <v>0</v>
      </c>
      <c r="X49" s="418">
        <v>2673974.16</v>
      </c>
      <c r="Y49" s="279">
        <f>3030878.25</f>
        <v>3030878.25</v>
      </c>
      <c r="Z49" s="63">
        <v>3030878.25</v>
      </c>
      <c r="AA49" s="360">
        <f>Z49-Y49</f>
        <v>0</v>
      </c>
      <c r="AB49" s="425"/>
      <c r="AC49" s="395"/>
      <c r="AD49" s="334">
        <f t="shared" si="10"/>
        <v>18591250.610000003</v>
      </c>
      <c r="AE49" s="347">
        <f t="shared" si="10"/>
        <v>18591250.610000003</v>
      </c>
      <c r="AF49" s="335">
        <f t="shared" si="5"/>
        <v>0</v>
      </c>
      <c r="AG49" s="324">
        <v>17039010.720000003</v>
      </c>
      <c r="AH49" s="162">
        <f t="shared" si="15"/>
        <v>17577215.780000005</v>
      </c>
      <c r="AI49" s="349">
        <f t="shared" si="16"/>
        <v>538205.06000000238</v>
      </c>
      <c r="AJ49" s="338">
        <v>1552239.89</v>
      </c>
      <c r="AK49" s="162">
        <v>1014034.83</v>
      </c>
      <c r="AL49" s="339">
        <f>AK49-AJ49</f>
        <v>-538205.05999999994</v>
      </c>
      <c r="AM49" s="324"/>
      <c r="AO49" s="122">
        <f>-(AO37+AO47+AO34)</f>
        <v>-2401129.66</v>
      </c>
      <c r="AQ49" s="117" t="s">
        <v>180</v>
      </c>
    </row>
    <row r="50" spans="1:44" ht="15.75" x14ac:dyDescent="0.25">
      <c r="A50" s="437" t="s">
        <v>181</v>
      </c>
      <c r="B50" s="140"/>
      <c r="C50" s="434">
        <v>244</v>
      </c>
      <c r="D50" s="431"/>
      <c r="E50" s="64">
        <f t="shared" si="1"/>
        <v>0</v>
      </c>
      <c r="F50" s="410">
        <f t="shared" si="2"/>
        <v>0</v>
      </c>
      <c r="G50" s="285"/>
      <c r="H50" s="158"/>
      <c r="I50" s="298">
        <f t="shared" si="8"/>
        <v>0</v>
      </c>
      <c r="J50" s="316"/>
      <c r="K50" s="297"/>
      <c r="L50" s="450"/>
      <c r="M50" s="298"/>
      <c r="N50" s="297"/>
      <c r="O50" s="285"/>
      <c r="P50" s="367"/>
      <c r="Q50" s="279">
        <f t="shared" si="14"/>
        <v>0</v>
      </c>
      <c r="R50" s="310"/>
      <c r="S50" s="375"/>
      <c r="T50" s="382"/>
      <c r="U50" s="279"/>
      <c r="V50" s="63"/>
      <c r="W50" s="357">
        <f t="shared" si="3"/>
        <v>0</v>
      </c>
      <c r="X50" s="418"/>
      <c r="Y50" s="279"/>
      <c r="Z50" s="63"/>
      <c r="AA50" s="360"/>
      <c r="AB50" s="425"/>
      <c r="AC50" s="395"/>
      <c r="AD50" s="334">
        <f>AG50+AJ50</f>
        <v>0</v>
      </c>
      <c r="AE50" s="347">
        <f t="shared" si="10"/>
        <v>0</v>
      </c>
      <c r="AF50" s="335">
        <f t="shared" si="5"/>
        <v>0</v>
      </c>
      <c r="AG50" s="324"/>
      <c r="AH50" s="162">
        <f t="shared" si="15"/>
        <v>0</v>
      </c>
      <c r="AI50" s="349">
        <f t="shared" si="16"/>
        <v>0</v>
      </c>
      <c r="AJ50" s="338"/>
      <c r="AK50" s="162"/>
      <c r="AL50" s="339"/>
      <c r="AM50" s="324"/>
      <c r="AO50" s="111">
        <v>23168167.190000001</v>
      </c>
      <c r="AP50" s="111">
        <v>2186471.81</v>
      </c>
      <c r="AQ50" s="117" t="s">
        <v>243</v>
      </c>
    </row>
    <row r="51" spans="1:44" ht="15.75" x14ac:dyDescent="0.25">
      <c r="A51" s="1417" t="s">
        <v>182</v>
      </c>
      <c r="B51" s="142"/>
      <c r="C51" s="1414">
        <v>243</v>
      </c>
      <c r="D51" s="431">
        <f t="shared" ref="D51:D60" si="17">G51+Q51+AC51+AD51</f>
        <v>406775040.56</v>
      </c>
      <c r="E51" s="64">
        <f t="shared" si="1"/>
        <v>306189040.56</v>
      </c>
      <c r="F51" s="411">
        <f t="shared" si="2"/>
        <v>-100586000</v>
      </c>
      <c r="G51" s="285">
        <f t="shared" ref="G51:G57" si="18">J51+K51+N51</f>
        <v>0</v>
      </c>
      <c r="H51" s="158"/>
      <c r="I51" s="298">
        <f t="shared" si="8"/>
        <v>0</v>
      </c>
      <c r="J51" s="317"/>
      <c r="K51" s="299"/>
      <c r="L51" s="451"/>
      <c r="M51" s="300"/>
      <c r="N51" s="299"/>
      <c r="O51" s="286"/>
      <c r="P51" s="368"/>
      <c r="Q51" s="279">
        <f>U51+X51+Y51+T51</f>
        <v>406775040.56</v>
      </c>
      <c r="R51" s="310">
        <f>T51+V51+X51+Z51</f>
        <v>306189040.56</v>
      </c>
      <c r="S51" s="375">
        <f>R51-Q51</f>
        <v>-100586000</v>
      </c>
      <c r="T51" s="382">
        <f>9191201.29+138235539.27</f>
        <v>147426740.56</v>
      </c>
      <c r="U51" s="279">
        <v>259348300</v>
      </c>
      <c r="V51" s="63">
        <v>158762300</v>
      </c>
      <c r="W51" s="357">
        <f t="shared" si="3"/>
        <v>-100586000</v>
      </c>
      <c r="X51" s="418"/>
      <c r="Y51" s="279"/>
      <c r="Z51" s="63"/>
      <c r="AA51" s="360"/>
      <c r="AB51" s="425"/>
      <c r="AC51" s="397"/>
      <c r="AD51" s="334">
        <f>AG51+AJ51</f>
        <v>0</v>
      </c>
      <c r="AE51" s="347">
        <f t="shared" si="10"/>
        <v>0</v>
      </c>
      <c r="AF51" s="335">
        <f t="shared" si="5"/>
        <v>0</v>
      </c>
      <c r="AG51" s="401"/>
      <c r="AH51" s="162">
        <f t="shared" si="15"/>
        <v>0</v>
      </c>
      <c r="AI51" s="349">
        <f t="shared" si="16"/>
        <v>0</v>
      </c>
      <c r="AJ51" s="340"/>
      <c r="AK51" s="259"/>
      <c r="AL51" s="341"/>
      <c r="AM51" s="324"/>
      <c r="AO51" s="111">
        <f>AD49-AO50</f>
        <v>-4576916.5799999982</v>
      </c>
    </row>
    <row r="52" spans="1:44" s="145" customFormat="1" ht="19.5" hidden="1" customHeight="1" x14ac:dyDescent="0.25">
      <c r="A52" s="1418"/>
      <c r="B52" s="143"/>
      <c r="C52" s="1415"/>
      <c r="D52" s="432">
        <f t="shared" si="17"/>
        <v>0</v>
      </c>
      <c r="E52" s="64">
        <f t="shared" si="1"/>
        <v>0</v>
      </c>
      <c r="F52" s="411">
        <f t="shared" si="2"/>
        <v>0</v>
      </c>
      <c r="G52" s="285">
        <f t="shared" si="18"/>
        <v>0</v>
      </c>
      <c r="H52" s="158"/>
      <c r="I52" s="298">
        <f t="shared" si="8"/>
        <v>0</v>
      </c>
      <c r="J52" s="318"/>
      <c r="K52" s="301"/>
      <c r="L52" s="452"/>
      <c r="M52" s="302"/>
      <c r="N52" s="301"/>
      <c r="O52" s="287"/>
      <c r="P52" s="369"/>
      <c r="Q52" s="279">
        <f t="shared" si="14"/>
        <v>0</v>
      </c>
      <c r="R52" s="310">
        <f t="shared" ref="R52:R58" si="19">T52+V52+X52+Z52</f>
        <v>0</v>
      </c>
      <c r="S52" s="375">
        <f t="shared" ref="S52:S58" si="20">R52-Q52</f>
        <v>0</v>
      </c>
      <c r="T52" s="384"/>
      <c r="U52" s="280"/>
      <c r="V52" s="163"/>
      <c r="W52" s="357">
        <f t="shared" si="3"/>
        <v>0</v>
      </c>
      <c r="X52" s="419"/>
      <c r="Y52" s="280"/>
      <c r="Z52" s="163"/>
      <c r="AA52" s="361"/>
      <c r="AB52" s="427"/>
      <c r="AC52" s="398"/>
      <c r="AD52" s="334">
        <f t="shared" si="10"/>
        <v>0</v>
      </c>
      <c r="AE52" s="347">
        <f t="shared" si="10"/>
        <v>0</v>
      </c>
      <c r="AF52" s="335">
        <f t="shared" si="5"/>
        <v>0</v>
      </c>
      <c r="AG52" s="402"/>
      <c r="AH52" s="162">
        <f t="shared" si="15"/>
        <v>0</v>
      </c>
      <c r="AI52" s="349">
        <f t="shared" si="16"/>
        <v>0</v>
      </c>
      <c r="AJ52" s="342"/>
      <c r="AK52" s="262"/>
      <c r="AL52" s="343"/>
      <c r="AM52" s="328"/>
    </row>
    <row r="53" spans="1:44" s="145" customFormat="1" ht="19.5" hidden="1" customHeight="1" x14ac:dyDescent="0.25">
      <c r="A53" s="1418"/>
      <c r="B53" s="143"/>
      <c r="C53" s="1416"/>
      <c r="D53" s="432">
        <f t="shared" si="17"/>
        <v>0</v>
      </c>
      <c r="E53" s="64">
        <f t="shared" si="1"/>
        <v>0</v>
      </c>
      <c r="F53" s="411">
        <f t="shared" si="2"/>
        <v>0</v>
      </c>
      <c r="G53" s="285">
        <f t="shared" si="18"/>
        <v>0</v>
      </c>
      <c r="H53" s="158"/>
      <c r="I53" s="298">
        <f t="shared" si="8"/>
        <v>0</v>
      </c>
      <c r="J53" s="318"/>
      <c r="K53" s="301"/>
      <c r="L53" s="452"/>
      <c r="M53" s="302"/>
      <c r="N53" s="301"/>
      <c r="O53" s="287"/>
      <c r="P53" s="369"/>
      <c r="Q53" s="279">
        <f t="shared" si="14"/>
        <v>0</v>
      </c>
      <c r="R53" s="310">
        <f t="shared" si="19"/>
        <v>0</v>
      </c>
      <c r="S53" s="375">
        <f t="shared" si="20"/>
        <v>0</v>
      </c>
      <c r="T53" s="384"/>
      <c r="U53" s="280"/>
      <c r="V53" s="163"/>
      <c r="W53" s="357">
        <f t="shared" si="3"/>
        <v>0</v>
      </c>
      <c r="X53" s="419"/>
      <c r="Y53" s="280"/>
      <c r="Z53" s="163"/>
      <c r="AA53" s="361"/>
      <c r="AB53" s="427"/>
      <c r="AC53" s="398"/>
      <c r="AD53" s="334">
        <f t="shared" si="10"/>
        <v>0</v>
      </c>
      <c r="AE53" s="347">
        <f t="shared" si="10"/>
        <v>0</v>
      </c>
      <c r="AF53" s="335">
        <f t="shared" si="5"/>
        <v>0</v>
      </c>
      <c r="AG53" s="402"/>
      <c r="AH53" s="162">
        <f t="shared" si="15"/>
        <v>0</v>
      </c>
      <c r="AI53" s="349">
        <f t="shared" si="16"/>
        <v>0</v>
      </c>
      <c r="AJ53" s="342"/>
      <c r="AK53" s="262"/>
      <c r="AL53" s="343"/>
      <c r="AM53" s="328"/>
      <c r="AO53" s="111"/>
      <c r="AP53" s="146"/>
      <c r="AQ53" s="117" t="s">
        <v>239</v>
      </c>
    </row>
    <row r="54" spans="1:44" ht="19.5" customHeight="1" x14ac:dyDescent="0.25">
      <c r="A54" s="1419"/>
      <c r="B54" s="147"/>
      <c r="C54" s="444">
        <v>244</v>
      </c>
      <c r="D54" s="431">
        <f t="shared" si="17"/>
        <v>448927963.35846001</v>
      </c>
      <c r="E54" s="64">
        <f t="shared" si="1"/>
        <v>304946988.03000003</v>
      </c>
      <c r="F54" s="411">
        <f t="shared" si="2"/>
        <v>-143980975.32845998</v>
      </c>
      <c r="G54" s="285">
        <f t="shared" si="18"/>
        <v>4400376.82</v>
      </c>
      <c r="H54" s="158">
        <v>4400376.82</v>
      </c>
      <c r="I54" s="298">
        <f t="shared" si="8"/>
        <v>0</v>
      </c>
      <c r="J54" s="316"/>
      <c r="K54" s="297">
        <v>3832907.32</v>
      </c>
      <c r="L54" s="449">
        <f>H54-O54</f>
        <v>2363306.8200000003</v>
      </c>
      <c r="M54" s="298">
        <f>L54-K54</f>
        <v>-1469600.4999999995</v>
      </c>
      <c r="N54" s="297">
        <v>567469.5</v>
      </c>
      <c r="O54" s="285">
        <v>2037070</v>
      </c>
      <c r="P54" s="367">
        <f>O54-N54</f>
        <v>1469600.5</v>
      </c>
      <c r="Q54" s="279">
        <f>U54+X54+Y54+T54</f>
        <v>435087262.02846003</v>
      </c>
      <c r="R54" s="310">
        <f t="shared" si="19"/>
        <v>291106286.70000005</v>
      </c>
      <c r="S54" s="375">
        <f t="shared" si="20"/>
        <v>-143980975.32845998</v>
      </c>
      <c r="T54" s="382">
        <f>274653215.52+143964.1</f>
        <v>274797179.62</v>
      </c>
      <c r="U54" s="279">
        <f>186774400-29000000</f>
        <v>157774400</v>
      </c>
      <c r="V54" s="63">
        <f>2871643.05+10921781.62</f>
        <v>13793424.669999998</v>
      </c>
      <c r="W54" s="357">
        <f t="shared" si="3"/>
        <v>-143980975.33000001</v>
      </c>
      <c r="X54" s="418">
        <v>1004958.24</v>
      </c>
      <c r="Y54" s="279">
        <f>'[7]норматив 2018-2630'!K41</f>
        <v>1510724.1684599998</v>
      </c>
      <c r="Z54" s="63">
        <v>1510724.17</v>
      </c>
      <c r="AA54" s="360">
        <f>Z54-Y54</f>
        <v>1.5400000847876072E-3</v>
      </c>
      <c r="AB54" s="425"/>
      <c r="AC54" s="395"/>
      <c r="AD54" s="334">
        <f t="shared" si="10"/>
        <v>9440324.5099999998</v>
      </c>
      <c r="AE54" s="347">
        <f t="shared" si="10"/>
        <v>9440324.5099999998</v>
      </c>
      <c r="AF54" s="335">
        <f t="shared" si="5"/>
        <v>0</v>
      </c>
      <c r="AG54" s="324">
        <v>7194631.71</v>
      </c>
      <c r="AH54" s="162">
        <f t="shared" si="15"/>
        <v>8664232.209999999</v>
      </c>
      <c r="AI54" s="349">
        <f t="shared" si="16"/>
        <v>1469600.4999999991</v>
      </c>
      <c r="AJ54" s="338">
        <v>2245692.7999999998</v>
      </c>
      <c r="AK54" s="162">
        <v>776092.3</v>
      </c>
      <c r="AL54" s="339">
        <f>AK54-AJ54</f>
        <v>-1469600.4999999998</v>
      </c>
      <c r="AM54" s="324"/>
      <c r="AO54" s="111">
        <v>11260837.890000001</v>
      </c>
      <c r="AP54" s="111">
        <v>2931349.03</v>
      </c>
      <c r="AQ54" s="117" t="s">
        <v>238</v>
      </c>
    </row>
    <row r="55" spans="1:44" ht="19.5" customHeight="1" x14ac:dyDescent="0.25">
      <c r="A55" s="1417" t="s">
        <v>183</v>
      </c>
      <c r="B55" s="148"/>
      <c r="C55" s="1414">
        <v>243</v>
      </c>
      <c r="D55" s="431">
        <f t="shared" si="17"/>
        <v>15434800.91</v>
      </c>
      <c r="E55" s="64">
        <f t="shared" si="1"/>
        <v>43452200.909999996</v>
      </c>
      <c r="F55" s="411">
        <f t="shared" si="2"/>
        <v>28017399.999999996</v>
      </c>
      <c r="G55" s="285">
        <f t="shared" si="18"/>
        <v>0</v>
      </c>
      <c r="H55" s="158"/>
      <c r="I55" s="298">
        <f t="shared" si="8"/>
        <v>0</v>
      </c>
      <c r="J55" s="317"/>
      <c r="K55" s="299"/>
      <c r="L55" s="451"/>
      <c r="M55" s="300"/>
      <c r="N55" s="299"/>
      <c r="O55" s="286"/>
      <c r="P55" s="368"/>
      <c r="Q55" s="279">
        <f>U55+X55+Y55+T55</f>
        <v>15434800.91</v>
      </c>
      <c r="R55" s="310">
        <f t="shared" si="19"/>
        <v>43452200.909999996</v>
      </c>
      <c r="S55" s="375">
        <f t="shared" si="20"/>
        <v>28017399.999999996</v>
      </c>
      <c r="T55" s="382">
        <f>296579.68+138221.23</f>
        <v>434800.91000000003</v>
      </c>
      <c r="U55" s="279">
        <v>15000000</v>
      </c>
      <c r="V55" s="63">
        <v>43017400</v>
      </c>
      <c r="W55" s="357">
        <f t="shared" si="3"/>
        <v>28017400</v>
      </c>
      <c r="X55" s="418"/>
      <c r="Y55" s="279"/>
      <c r="Z55" s="63"/>
      <c r="AA55" s="360"/>
      <c r="AB55" s="425"/>
      <c r="AC55" s="397"/>
      <c r="AD55" s="334">
        <f t="shared" si="10"/>
        <v>0</v>
      </c>
      <c r="AE55" s="347">
        <f t="shared" si="10"/>
        <v>0</v>
      </c>
      <c r="AF55" s="335">
        <f t="shared" si="5"/>
        <v>0</v>
      </c>
      <c r="AG55" s="401"/>
      <c r="AH55" s="162">
        <f t="shared" si="15"/>
        <v>0</v>
      </c>
      <c r="AI55" s="349">
        <f t="shared" si="16"/>
        <v>0</v>
      </c>
      <c r="AJ55" s="340"/>
      <c r="AK55" s="259"/>
      <c r="AL55" s="341"/>
      <c r="AM55" s="324"/>
    </row>
    <row r="56" spans="1:44" s="145" customFormat="1" ht="15.75" hidden="1" x14ac:dyDescent="0.25">
      <c r="A56" s="1418"/>
      <c r="B56" s="149"/>
      <c r="C56" s="1415"/>
      <c r="D56" s="432" t="e">
        <f t="shared" si="17"/>
        <v>#REF!</v>
      </c>
      <c r="E56" s="64">
        <f t="shared" si="1"/>
        <v>0</v>
      </c>
      <c r="F56" s="411" t="e">
        <f t="shared" si="2"/>
        <v>#REF!</v>
      </c>
      <c r="G56" s="285">
        <f t="shared" si="18"/>
        <v>0</v>
      </c>
      <c r="H56" s="158"/>
      <c r="I56" s="298">
        <f t="shared" si="8"/>
        <v>0</v>
      </c>
      <c r="J56" s="318"/>
      <c r="K56" s="301"/>
      <c r="L56" s="452"/>
      <c r="M56" s="302"/>
      <c r="N56" s="301"/>
      <c r="O56" s="287"/>
      <c r="P56" s="369"/>
      <c r="Q56" s="279" t="e">
        <f t="shared" si="14"/>
        <v>#REF!</v>
      </c>
      <c r="R56" s="310">
        <f t="shared" si="19"/>
        <v>0</v>
      </c>
      <c r="S56" s="375" t="e">
        <f t="shared" si="20"/>
        <v>#REF!</v>
      </c>
      <c r="T56" s="384"/>
      <c r="U56" s="280" t="e">
        <f>#REF!</f>
        <v>#REF!</v>
      </c>
      <c r="V56" s="163"/>
      <c r="W56" s="357" t="e">
        <f t="shared" si="3"/>
        <v>#REF!</v>
      </c>
      <c r="X56" s="419"/>
      <c r="Y56" s="280"/>
      <c r="Z56" s="163"/>
      <c r="AA56" s="361"/>
      <c r="AB56" s="427"/>
      <c r="AC56" s="398"/>
      <c r="AD56" s="334">
        <f t="shared" si="10"/>
        <v>0</v>
      </c>
      <c r="AE56" s="347">
        <f t="shared" si="10"/>
        <v>0</v>
      </c>
      <c r="AF56" s="335">
        <f t="shared" si="5"/>
        <v>0</v>
      </c>
      <c r="AG56" s="402"/>
      <c r="AH56" s="162">
        <f t="shared" si="15"/>
        <v>0</v>
      </c>
      <c r="AI56" s="349">
        <f t="shared" si="16"/>
        <v>0</v>
      </c>
      <c r="AJ56" s="342"/>
      <c r="AK56" s="262"/>
      <c r="AL56" s="343"/>
      <c r="AM56" s="328"/>
    </row>
    <row r="57" spans="1:44" s="145" customFormat="1" ht="33.75" hidden="1" customHeight="1" x14ac:dyDescent="0.25">
      <c r="A57" s="1418"/>
      <c r="B57" s="149"/>
      <c r="C57" s="1416"/>
      <c r="D57" s="432" t="e">
        <f t="shared" si="17"/>
        <v>#REF!</v>
      </c>
      <c r="E57" s="64">
        <f t="shared" si="1"/>
        <v>0</v>
      </c>
      <c r="F57" s="411" t="e">
        <f t="shared" si="2"/>
        <v>#REF!</v>
      </c>
      <c r="G57" s="285">
        <f t="shared" si="18"/>
        <v>0</v>
      </c>
      <c r="H57" s="158"/>
      <c r="I57" s="298">
        <f t="shared" si="8"/>
        <v>0</v>
      </c>
      <c r="J57" s="318"/>
      <c r="K57" s="301"/>
      <c r="L57" s="452"/>
      <c r="M57" s="302"/>
      <c r="N57" s="301"/>
      <c r="O57" s="287"/>
      <c r="P57" s="369"/>
      <c r="Q57" s="279" t="e">
        <f t="shared" si="14"/>
        <v>#REF!</v>
      </c>
      <c r="R57" s="310">
        <f t="shared" si="19"/>
        <v>0</v>
      </c>
      <c r="S57" s="375" t="e">
        <f t="shared" si="20"/>
        <v>#REF!</v>
      </c>
      <c r="T57" s="384"/>
      <c r="U57" s="280" t="e">
        <f>#REF!</f>
        <v>#REF!</v>
      </c>
      <c r="V57" s="163"/>
      <c r="W57" s="357" t="e">
        <f t="shared" si="3"/>
        <v>#REF!</v>
      </c>
      <c r="X57" s="419"/>
      <c r="Y57" s="280"/>
      <c r="Z57" s="163"/>
      <c r="AA57" s="361"/>
      <c r="AB57" s="427"/>
      <c r="AC57" s="398"/>
      <c r="AD57" s="334">
        <f t="shared" si="10"/>
        <v>0</v>
      </c>
      <c r="AE57" s="347">
        <f t="shared" si="10"/>
        <v>0</v>
      </c>
      <c r="AF57" s="335">
        <f t="shared" si="5"/>
        <v>0</v>
      </c>
      <c r="AG57" s="402"/>
      <c r="AH57" s="162">
        <f t="shared" si="15"/>
        <v>0</v>
      </c>
      <c r="AI57" s="349">
        <f t="shared" si="16"/>
        <v>0</v>
      </c>
      <c r="AJ57" s="342"/>
      <c r="AK57" s="262"/>
      <c r="AL57" s="343"/>
      <c r="AM57" s="328"/>
    </row>
    <row r="58" spans="1:44" ht="19.5" customHeight="1" x14ac:dyDescent="0.25">
      <c r="A58" s="1419"/>
      <c r="B58" s="140"/>
      <c r="C58" s="444">
        <v>244</v>
      </c>
      <c r="D58" s="431">
        <f t="shared" si="17"/>
        <v>80153777.959739998</v>
      </c>
      <c r="E58" s="64">
        <f t="shared" si="1"/>
        <v>88438634.63000001</v>
      </c>
      <c r="F58" s="411">
        <f t="shared" si="2"/>
        <v>8284856.6702600121</v>
      </c>
      <c r="G58" s="285">
        <f>J58+K58+N58</f>
        <v>4363387.1100000003</v>
      </c>
      <c r="H58" s="158">
        <v>4363387.1100000003</v>
      </c>
      <c r="I58" s="298">
        <f t="shared" si="8"/>
        <v>0</v>
      </c>
      <c r="J58" s="316"/>
      <c r="K58" s="297">
        <f>3931430.04+K80</f>
        <v>4108336.08</v>
      </c>
      <c r="L58" s="449">
        <f>H58-O58</f>
        <v>3447819.3100000005</v>
      </c>
      <c r="M58" s="298">
        <f>L58-K58</f>
        <v>-660516.76999999955</v>
      </c>
      <c r="N58" s="297">
        <v>255051.03</v>
      </c>
      <c r="O58" s="285">
        <v>915567.8</v>
      </c>
      <c r="P58" s="367">
        <f>O58-N58</f>
        <v>660516.77</v>
      </c>
      <c r="Q58" s="279">
        <f>U58+X58+Y58+T58</f>
        <v>66788521.469740003</v>
      </c>
      <c r="R58" s="310">
        <f t="shared" si="19"/>
        <v>75073378.140000015</v>
      </c>
      <c r="S58" s="375">
        <f t="shared" si="20"/>
        <v>8284856.6702600121</v>
      </c>
      <c r="T58" s="382">
        <f>44811624.57+174521</f>
        <v>44986145.57</v>
      </c>
      <c r="U58" s="279">
        <v>20000000</v>
      </c>
      <c r="V58" s="63">
        <f>20000000+5684856.67+3000000</f>
        <v>28684856.670000002</v>
      </c>
      <c r="W58" s="357">
        <f t="shared" si="3"/>
        <v>8684856.6700000018</v>
      </c>
      <c r="X58" s="418">
        <v>753152.4</v>
      </c>
      <c r="Y58" s="279">
        <f>'[7]норматив 2018-2630'!K54</f>
        <v>1049223.4997400001</v>
      </c>
      <c r="Z58" s="453">
        <f>1049223.5-400000</f>
        <v>649223.5</v>
      </c>
      <c r="AA58" s="360">
        <f>Z58-Y58</f>
        <v>-399999.99974000012</v>
      </c>
      <c r="AB58" s="425"/>
      <c r="AC58" s="395">
        <v>70000</v>
      </c>
      <c r="AD58" s="334">
        <f t="shared" si="10"/>
        <v>8931869.3800000008</v>
      </c>
      <c r="AE58" s="347">
        <f t="shared" si="10"/>
        <v>8931869.3800000008</v>
      </c>
      <c r="AF58" s="335">
        <f t="shared" si="5"/>
        <v>0</v>
      </c>
      <c r="AG58" s="324">
        <v>7214904.8700000001</v>
      </c>
      <c r="AH58" s="162">
        <f t="shared" si="15"/>
        <v>6675421.6400000006</v>
      </c>
      <c r="AI58" s="349">
        <f t="shared" si="16"/>
        <v>-539483.22999999952</v>
      </c>
      <c r="AJ58" s="338">
        <v>1716964.51</v>
      </c>
      <c r="AK58" s="162">
        <v>2256447.7400000002</v>
      </c>
      <c r="AL58" s="339">
        <f>AK58-AJ58</f>
        <v>539483.23000000021</v>
      </c>
      <c r="AM58" s="324"/>
    </row>
    <row r="59" spans="1:44" s="115" customFormat="1" ht="19.5" customHeight="1" x14ac:dyDescent="0.2">
      <c r="A59" s="1699" t="s">
        <v>184</v>
      </c>
      <c r="B59" s="136"/>
      <c r="C59" s="445">
        <v>243</v>
      </c>
      <c r="D59" s="430">
        <f t="shared" si="17"/>
        <v>0</v>
      </c>
      <c r="E59" s="59">
        <f t="shared" si="1"/>
        <v>0</v>
      </c>
      <c r="F59" s="410">
        <f t="shared" si="2"/>
        <v>0</v>
      </c>
      <c r="G59" s="283">
        <v>0</v>
      </c>
      <c r="H59" s="157"/>
      <c r="I59" s="298">
        <f t="shared" si="8"/>
        <v>0</v>
      </c>
      <c r="J59" s="314"/>
      <c r="K59" s="293">
        <v>0</v>
      </c>
      <c r="L59" s="157"/>
      <c r="M59" s="294"/>
      <c r="N59" s="293">
        <v>0</v>
      </c>
      <c r="O59" s="283"/>
      <c r="P59" s="365"/>
      <c r="Q59" s="279">
        <f t="shared" ref="Q59:Q66" si="21">SUM(U59:Y59)</f>
        <v>0</v>
      </c>
      <c r="R59" s="310"/>
      <c r="S59" s="375"/>
      <c r="T59" s="382"/>
      <c r="U59" s="276">
        <v>0</v>
      </c>
      <c r="V59" s="153">
        <v>0</v>
      </c>
      <c r="W59" s="357">
        <f t="shared" si="3"/>
        <v>0</v>
      </c>
      <c r="X59" s="415">
        <v>0</v>
      </c>
      <c r="Y59" s="276">
        <v>0</v>
      </c>
      <c r="Z59" s="153"/>
      <c r="AA59" s="357"/>
      <c r="AB59" s="422">
        <v>0</v>
      </c>
      <c r="AC59" s="396">
        <v>0</v>
      </c>
      <c r="AD59" s="334">
        <f t="shared" si="10"/>
        <v>0</v>
      </c>
      <c r="AE59" s="347">
        <f t="shared" si="10"/>
        <v>0</v>
      </c>
      <c r="AF59" s="335">
        <f t="shared" si="5"/>
        <v>0</v>
      </c>
      <c r="AG59" s="323">
        <v>0</v>
      </c>
      <c r="AH59" s="161"/>
      <c r="AI59" s="349">
        <f t="shared" si="16"/>
        <v>0</v>
      </c>
      <c r="AJ59" s="334">
        <v>0</v>
      </c>
      <c r="AK59" s="161"/>
      <c r="AL59" s="335"/>
      <c r="AM59" s="323">
        <v>0</v>
      </c>
    </row>
    <row r="60" spans="1:44" s="115" customFormat="1" ht="16.5" customHeight="1" x14ac:dyDescent="0.25">
      <c r="A60" s="1700"/>
      <c r="B60" s="150"/>
      <c r="C60" s="445">
        <v>244</v>
      </c>
      <c r="D60" s="430">
        <f t="shared" si="17"/>
        <v>466391580.86000001</v>
      </c>
      <c r="E60" s="59">
        <f t="shared" si="1"/>
        <v>684341980.99000001</v>
      </c>
      <c r="F60" s="410">
        <f t="shared" si="2"/>
        <v>217950400.13</v>
      </c>
      <c r="G60" s="283">
        <f>SUM(G61:G65)</f>
        <v>23421938.960000001</v>
      </c>
      <c r="H60" s="157">
        <f>SUM(H61:H65)</f>
        <v>23421938.960000001</v>
      </c>
      <c r="I60" s="298">
        <f t="shared" si="8"/>
        <v>0</v>
      </c>
      <c r="J60" s="314">
        <f>SUM(J61:J65)</f>
        <v>0</v>
      </c>
      <c r="K60" s="293">
        <f>SUM(K61:K65)</f>
        <v>21059101.34</v>
      </c>
      <c r="L60" s="157">
        <f>SUM(L61:L65)</f>
        <v>14939957.76</v>
      </c>
      <c r="M60" s="294">
        <f>L60-K60</f>
        <v>-6119143.5800000001</v>
      </c>
      <c r="N60" s="293">
        <f>SUM(N61:N65)</f>
        <v>2362837.6199999996</v>
      </c>
      <c r="O60" s="283">
        <f>SUM(O61:O65)</f>
        <v>8481981.1999999993</v>
      </c>
      <c r="P60" s="365">
        <f>O60-N60</f>
        <v>6119143.5800000001</v>
      </c>
      <c r="Q60" s="276">
        <f t="shared" ref="Q60:Z60" si="22">SUM(Q61:Q65)</f>
        <v>338933390.46000004</v>
      </c>
      <c r="R60" s="307">
        <f t="shared" si="22"/>
        <v>556883790.58999991</v>
      </c>
      <c r="S60" s="372">
        <f>R60-Q60</f>
        <v>217950400.12999988</v>
      </c>
      <c r="T60" s="379">
        <f t="shared" si="22"/>
        <v>198983891.20999998</v>
      </c>
      <c r="U60" s="276">
        <f t="shared" si="22"/>
        <v>129000000</v>
      </c>
      <c r="V60" s="153">
        <f t="shared" si="22"/>
        <v>349751700.28000003</v>
      </c>
      <c r="W60" s="357">
        <f t="shared" si="3"/>
        <v>220751700.28000003</v>
      </c>
      <c r="X60" s="415">
        <f t="shared" si="22"/>
        <v>6648199.1000000006</v>
      </c>
      <c r="Y60" s="276">
        <f t="shared" si="22"/>
        <v>4301300.1500000004</v>
      </c>
      <c r="Z60" s="153">
        <f t="shared" si="22"/>
        <v>1500000</v>
      </c>
      <c r="AA60" s="357">
        <f>Z60-Y60</f>
        <v>-2801300.1500000004</v>
      </c>
      <c r="AB60" s="422">
        <f t="shared" ref="AB60:AM60" si="23">SUM(AB61:AB65)</f>
        <v>0</v>
      </c>
      <c r="AC60" s="396">
        <f t="shared" si="23"/>
        <v>0</v>
      </c>
      <c r="AD60" s="334">
        <f t="shared" si="10"/>
        <v>104036251.44000001</v>
      </c>
      <c r="AE60" s="347">
        <f t="shared" si="10"/>
        <v>105716882.31000002</v>
      </c>
      <c r="AF60" s="335">
        <f t="shared" si="5"/>
        <v>1680630.8700000048</v>
      </c>
      <c r="AG60" s="323">
        <f t="shared" si="23"/>
        <v>80249446.49000001</v>
      </c>
      <c r="AH60" s="323">
        <f t="shared" si="23"/>
        <v>90196584.670000017</v>
      </c>
      <c r="AI60" s="349">
        <f t="shared" si="16"/>
        <v>9947138.1800000072</v>
      </c>
      <c r="AJ60" s="334">
        <f t="shared" si="23"/>
        <v>23786804.949999999</v>
      </c>
      <c r="AK60" s="161">
        <f t="shared" si="23"/>
        <v>15520297.640000001</v>
      </c>
      <c r="AL60" s="335">
        <f>AK60-AJ60</f>
        <v>-8266507.3099999987</v>
      </c>
      <c r="AM60" s="323">
        <f t="shared" si="23"/>
        <v>0</v>
      </c>
      <c r="AO60" s="121" t="s">
        <v>237</v>
      </c>
      <c r="AP60" s="121" t="s">
        <v>197</v>
      </c>
      <c r="AQ60" s="121" t="s">
        <v>197</v>
      </c>
    </row>
    <row r="61" spans="1:44" ht="15.75" x14ac:dyDescent="0.25">
      <c r="A61" s="1420" t="s">
        <v>185</v>
      </c>
      <c r="B61" s="1422"/>
      <c r="C61" s="434">
        <v>243</v>
      </c>
      <c r="D61" s="431"/>
      <c r="E61" s="59">
        <f t="shared" si="1"/>
        <v>0</v>
      </c>
      <c r="F61" s="410">
        <f t="shared" si="2"/>
        <v>0</v>
      </c>
      <c r="G61" s="285"/>
      <c r="H61" s="158"/>
      <c r="I61" s="298">
        <f t="shared" si="8"/>
        <v>0</v>
      </c>
      <c r="J61" s="316"/>
      <c r="K61" s="297"/>
      <c r="L61" s="450"/>
      <c r="M61" s="298"/>
      <c r="N61" s="297"/>
      <c r="O61" s="285"/>
      <c r="P61" s="367"/>
      <c r="Q61" s="279">
        <f t="shared" si="21"/>
        <v>0</v>
      </c>
      <c r="R61" s="310"/>
      <c r="S61" s="375"/>
      <c r="T61" s="382"/>
      <c r="U61" s="279"/>
      <c r="V61" s="63"/>
      <c r="W61" s="357">
        <f t="shared" si="3"/>
        <v>0</v>
      </c>
      <c r="X61" s="418"/>
      <c r="Y61" s="279"/>
      <c r="Z61" s="63"/>
      <c r="AA61" s="360"/>
      <c r="AB61" s="425"/>
      <c r="AC61" s="395"/>
      <c r="AD61" s="334">
        <f t="shared" si="10"/>
        <v>0</v>
      </c>
      <c r="AE61" s="347">
        <f t="shared" si="10"/>
        <v>0</v>
      </c>
      <c r="AF61" s="335">
        <f t="shared" si="5"/>
        <v>0</v>
      </c>
      <c r="AG61" s="324"/>
      <c r="AH61" s="162"/>
      <c r="AI61" s="349">
        <f t="shared" si="16"/>
        <v>0</v>
      </c>
      <c r="AJ61" s="338"/>
      <c r="AK61" s="162"/>
      <c r="AL61" s="339"/>
      <c r="AM61" s="324"/>
      <c r="AO61" s="118"/>
      <c r="AP61" s="146">
        <v>2621361</v>
      </c>
      <c r="AQ61" s="118"/>
      <c r="AR61" s="151"/>
    </row>
    <row r="62" spans="1:44" ht="15.75" x14ac:dyDescent="0.25">
      <c r="A62" s="1421"/>
      <c r="B62" s="1423"/>
      <c r="C62" s="434">
        <v>244</v>
      </c>
      <c r="D62" s="431">
        <f>G62+Q62+AC62+AD62</f>
        <v>287520619.38</v>
      </c>
      <c r="E62" s="64">
        <f t="shared" si="1"/>
        <v>506801352.79999995</v>
      </c>
      <c r="F62" s="411">
        <f t="shared" si="2"/>
        <v>219280733.41999996</v>
      </c>
      <c r="G62" s="285">
        <f>J62+K62+N62</f>
        <v>432311.12</v>
      </c>
      <c r="H62" s="158">
        <v>432311.12</v>
      </c>
      <c r="I62" s="298">
        <f t="shared" si="8"/>
        <v>0</v>
      </c>
      <c r="J62" s="316"/>
      <c r="K62" s="297">
        <v>322579.55</v>
      </c>
      <c r="L62" s="449">
        <f>H62-O62</f>
        <v>38402.919999999984</v>
      </c>
      <c r="M62" s="298">
        <f>L62-K62</f>
        <v>-284176.63</v>
      </c>
      <c r="N62" s="297">
        <v>109731.57</v>
      </c>
      <c r="O62" s="285">
        <v>393908.2</v>
      </c>
      <c r="P62" s="367">
        <f>O62-N62</f>
        <v>284176.63</v>
      </c>
      <c r="Q62" s="279">
        <f>U62+X62+Y62+T62</f>
        <v>286444479.98000002</v>
      </c>
      <c r="R62" s="310">
        <f t="shared" ref="R62" si="24">T62+V62+X62+Z62</f>
        <v>505725213.39999998</v>
      </c>
      <c r="S62" s="375">
        <f>R62-Q62</f>
        <v>219280733.41999996</v>
      </c>
      <c r="T62" s="382">
        <f>175520555.7+2814821</f>
        <v>178335376.69999999</v>
      </c>
      <c r="U62" s="279">
        <f>10000000+80000000+18000000</f>
        <v>108000000</v>
      </c>
      <c r="V62" s="63">
        <v>327280733.42000002</v>
      </c>
      <c r="W62" s="357">
        <f t="shared" si="3"/>
        <v>219280733.42000002</v>
      </c>
      <c r="X62" s="418">
        <v>109103.28</v>
      </c>
      <c r="Y62" s="279"/>
      <c r="Z62" s="63"/>
      <c r="AA62" s="360"/>
      <c r="AB62" s="425"/>
      <c r="AC62" s="395"/>
      <c r="AD62" s="334">
        <f t="shared" si="10"/>
        <v>643828.28</v>
      </c>
      <c r="AE62" s="347">
        <f t="shared" si="10"/>
        <v>2324459.15</v>
      </c>
      <c r="AF62" s="335">
        <f t="shared" si="5"/>
        <v>1680630.8699999999</v>
      </c>
      <c r="AG62" s="324">
        <v>35192.5</v>
      </c>
      <c r="AH62" s="162">
        <v>700000</v>
      </c>
      <c r="AI62" s="349">
        <f t="shared" si="16"/>
        <v>664807.5</v>
      </c>
      <c r="AJ62" s="338">
        <v>608635.78</v>
      </c>
      <c r="AK62" s="162">
        <f>324459.15+300000+1000000</f>
        <v>1624459.15</v>
      </c>
      <c r="AL62" s="339">
        <f>AK62-AJ62</f>
        <v>1015823.3699999999</v>
      </c>
      <c r="AM62" s="324"/>
      <c r="AO62" s="111"/>
      <c r="AP62" s="111">
        <v>487564.3</v>
      </c>
      <c r="AR62" s="117">
        <v>1000000</v>
      </c>
    </row>
    <row r="63" spans="1:44" ht="31.5" x14ac:dyDescent="0.25">
      <c r="A63" s="437" t="s">
        <v>186</v>
      </c>
      <c r="B63" s="355"/>
      <c r="C63" s="434">
        <v>244</v>
      </c>
      <c r="D63" s="431">
        <f>G63+Q63+AC63+AD63</f>
        <v>0</v>
      </c>
      <c r="E63" s="59">
        <f t="shared" si="1"/>
        <v>0</v>
      </c>
      <c r="F63" s="411">
        <f t="shared" si="2"/>
        <v>0</v>
      </c>
      <c r="G63" s="285"/>
      <c r="H63" s="158"/>
      <c r="I63" s="298">
        <f t="shared" si="8"/>
        <v>0</v>
      </c>
      <c r="J63" s="316"/>
      <c r="K63" s="297">
        <f>G63-N63</f>
        <v>0</v>
      </c>
      <c r="L63" s="450"/>
      <c r="M63" s="298"/>
      <c r="N63" s="297"/>
      <c r="O63" s="285"/>
      <c r="P63" s="367"/>
      <c r="Q63" s="279">
        <f t="shared" si="21"/>
        <v>0</v>
      </c>
      <c r="R63" s="310"/>
      <c r="S63" s="375"/>
      <c r="T63" s="382"/>
      <c r="U63" s="279"/>
      <c r="V63" s="63"/>
      <c r="W63" s="357">
        <f t="shared" si="3"/>
        <v>0</v>
      </c>
      <c r="X63" s="418"/>
      <c r="Y63" s="279"/>
      <c r="Z63" s="63"/>
      <c r="AA63" s="360"/>
      <c r="AB63" s="425"/>
      <c r="AC63" s="395"/>
      <c r="AD63" s="334">
        <f t="shared" si="10"/>
        <v>0</v>
      </c>
      <c r="AE63" s="347">
        <f t="shared" si="10"/>
        <v>0</v>
      </c>
      <c r="AF63" s="335">
        <f t="shared" si="5"/>
        <v>0</v>
      </c>
      <c r="AG63" s="324"/>
      <c r="AH63" s="162"/>
      <c r="AI63" s="349">
        <f t="shared" si="16"/>
        <v>0</v>
      </c>
      <c r="AJ63" s="338"/>
      <c r="AK63" s="162"/>
      <c r="AL63" s="339"/>
      <c r="AM63" s="324"/>
      <c r="AO63" s="121" t="s">
        <v>237</v>
      </c>
      <c r="AP63" s="121" t="s">
        <v>197</v>
      </c>
    </row>
    <row r="64" spans="1:44" ht="15.75" x14ac:dyDescent="0.25">
      <c r="A64" s="1420" t="s">
        <v>187</v>
      </c>
      <c r="B64" s="1424"/>
      <c r="C64" s="434">
        <v>243</v>
      </c>
      <c r="D64" s="431"/>
      <c r="E64" s="59">
        <f t="shared" si="1"/>
        <v>0</v>
      </c>
      <c r="F64" s="411">
        <f t="shared" si="2"/>
        <v>0</v>
      </c>
      <c r="G64" s="285"/>
      <c r="H64" s="158"/>
      <c r="I64" s="298">
        <f t="shared" si="8"/>
        <v>0</v>
      </c>
      <c r="J64" s="316"/>
      <c r="K64" s="297">
        <f>G64-N64</f>
        <v>0</v>
      </c>
      <c r="L64" s="450"/>
      <c r="M64" s="298"/>
      <c r="N64" s="297"/>
      <c r="O64" s="285"/>
      <c r="P64" s="367"/>
      <c r="Q64" s="279">
        <f t="shared" si="21"/>
        <v>0</v>
      </c>
      <c r="R64" s="310"/>
      <c r="S64" s="375"/>
      <c r="T64" s="382"/>
      <c r="U64" s="279"/>
      <c r="V64" s="63"/>
      <c r="W64" s="357">
        <f t="shared" si="3"/>
        <v>0</v>
      </c>
      <c r="X64" s="418"/>
      <c r="Y64" s="279"/>
      <c r="Z64" s="63"/>
      <c r="AA64" s="360"/>
      <c r="AB64" s="425"/>
      <c r="AC64" s="395"/>
      <c r="AD64" s="334">
        <f t="shared" si="10"/>
        <v>0</v>
      </c>
      <c r="AE64" s="347">
        <f t="shared" si="10"/>
        <v>0</v>
      </c>
      <c r="AF64" s="335">
        <f t="shared" si="5"/>
        <v>0</v>
      </c>
      <c r="AG64" s="324"/>
      <c r="AH64" s="162"/>
      <c r="AI64" s="349">
        <f t="shared" si="16"/>
        <v>0</v>
      </c>
      <c r="AJ64" s="338"/>
      <c r="AK64" s="162"/>
      <c r="AL64" s="339"/>
      <c r="AM64" s="324"/>
      <c r="AO64" s="118"/>
      <c r="AP64" s="146">
        <v>-260231.34</v>
      </c>
    </row>
    <row r="65" spans="1:42" ht="15.75" x14ac:dyDescent="0.25">
      <c r="A65" s="1421"/>
      <c r="B65" s="1423"/>
      <c r="C65" s="434">
        <v>244</v>
      </c>
      <c r="D65" s="431">
        <f>G65+Q65+AC65+AD65</f>
        <v>178870961.48000002</v>
      </c>
      <c r="E65" s="64">
        <f t="shared" si="1"/>
        <v>177540628.19</v>
      </c>
      <c r="F65" s="411">
        <f t="shared" si="2"/>
        <v>-1330333.2900000215</v>
      </c>
      <c r="G65" s="285">
        <f>J65+K65+N65</f>
        <v>22989627.84</v>
      </c>
      <c r="H65" s="158">
        <v>22989627.84</v>
      </c>
      <c r="I65" s="298">
        <f t="shared" si="8"/>
        <v>0</v>
      </c>
      <c r="J65" s="316"/>
      <c r="K65" s="297">
        <f>20641727.79+K81</f>
        <v>20736521.789999999</v>
      </c>
      <c r="L65" s="449">
        <f>H65-O65</f>
        <v>14901554.84</v>
      </c>
      <c r="M65" s="298">
        <f>L65-K65</f>
        <v>-5834966.9499999993</v>
      </c>
      <c r="N65" s="297">
        <v>2253106.0499999998</v>
      </c>
      <c r="O65" s="285">
        <v>8088073</v>
      </c>
      <c r="P65" s="367">
        <f>O65-N65</f>
        <v>5834966.9500000002</v>
      </c>
      <c r="Q65" s="279">
        <f>U65+X65+Y65+T65</f>
        <v>52488910.479999997</v>
      </c>
      <c r="R65" s="310">
        <f t="shared" ref="R65" si="25">T65+V65+X65+Z65</f>
        <v>51158577.189999998</v>
      </c>
      <c r="S65" s="375">
        <f>R65-Q65</f>
        <v>-1330333.2899999991</v>
      </c>
      <c r="T65" s="382">
        <f>20068511.31+580003.2</f>
        <v>20648514.509999998</v>
      </c>
      <c r="U65" s="279">
        <v>21000000</v>
      </c>
      <c r="V65" s="63">
        <v>22470966.859999999</v>
      </c>
      <c r="W65" s="357">
        <f t="shared" si="3"/>
        <v>1470966.8599999994</v>
      </c>
      <c r="X65" s="418">
        <f>6539495.82-400</f>
        <v>6539095.8200000003</v>
      </c>
      <c r="Y65" s="279">
        <v>4301300.1500000004</v>
      </c>
      <c r="Z65" s="453">
        <v>1500000</v>
      </c>
      <c r="AA65" s="360">
        <f>Z65-Y65</f>
        <v>-2801300.1500000004</v>
      </c>
      <c r="AB65" s="425"/>
      <c r="AC65" s="395"/>
      <c r="AD65" s="334">
        <f t="shared" si="10"/>
        <v>103392423.16000001</v>
      </c>
      <c r="AE65" s="347">
        <f t="shared" si="10"/>
        <v>103392423.16000001</v>
      </c>
      <c r="AF65" s="335">
        <f t="shared" si="5"/>
        <v>0</v>
      </c>
      <c r="AG65" s="324">
        <v>80214253.99000001</v>
      </c>
      <c r="AH65" s="162">
        <f>AD65-AK65</f>
        <v>89496584.670000017</v>
      </c>
      <c r="AI65" s="349">
        <f t="shared" si="16"/>
        <v>9282330.6800000072</v>
      </c>
      <c r="AJ65" s="338">
        <f>24254635.27-1076466.1</f>
        <v>23178169.169999998</v>
      </c>
      <c r="AK65" s="162">
        <f>15195838.49-300000-1000000</f>
        <v>13895838.49</v>
      </c>
      <c r="AL65" s="339">
        <f>AK65-AJ65</f>
        <v>-9282330.6799999978</v>
      </c>
      <c r="AM65" s="324"/>
      <c r="AO65" s="111">
        <v>74638998.689999998</v>
      </c>
      <c r="AP65" s="111">
        <v>25190635.949999999</v>
      </c>
    </row>
    <row r="66" spans="1:42" s="115" customFormat="1" ht="21.75" customHeight="1" x14ac:dyDescent="0.2">
      <c r="A66" s="435" t="s">
        <v>188</v>
      </c>
      <c r="B66" s="356">
        <v>300</v>
      </c>
      <c r="C66" s="436" t="s">
        <v>149</v>
      </c>
      <c r="D66" s="430">
        <f>G66+Q66+AC66+AD66</f>
        <v>0</v>
      </c>
      <c r="E66" s="59">
        <f t="shared" si="1"/>
        <v>0</v>
      </c>
      <c r="F66" s="411">
        <f t="shared" si="2"/>
        <v>0</v>
      </c>
      <c r="G66" s="283">
        <f>G68+G69</f>
        <v>0</v>
      </c>
      <c r="H66" s="157"/>
      <c r="I66" s="298">
        <f t="shared" si="8"/>
        <v>0</v>
      </c>
      <c r="J66" s="314"/>
      <c r="K66" s="293">
        <f>K68+K69</f>
        <v>0</v>
      </c>
      <c r="L66" s="157"/>
      <c r="M66" s="294"/>
      <c r="N66" s="293">
        <f>N68+N69</f>
        <v>0</v>
      </c>
      <c r="O66" s="283"/>
      <c r="P66" s="365"/>
      <c r="Q66" s="276">
        <f t="shared" si="21"/>
        <v>0</v>
      </c>
      <c r="R66" s="307"/>
      <c r="S66" s="372"/>
      <c r="T66" s="379"/>
      <c r="U66" s="276">
        <v>0</v>
      </c>
      <c r="V66" s="153">
        <v>0</v>
      </c>
      <c r="W66" s="357">
        <f t="shared" si="3"/>
        <v>0</v>
      </c>
      <c r="X66" s="415">
        <v>0</v>
      </c>
      <c r="Y66" s="276">
        <v>0</v>
      </c>
      <c r="Z66" s="153"/>
      <c r="AA66" s="357"/>
      <c r="AB66" s="422">
        <f>AB68+AB69</f>
        <v>0</v>
      </c>
      <c r="AC66" s="396">
        <f>SUM(AC68:AC69)</f>
        <v>0</v>
      </c>
      <c r="AD66" s="334">
        <f t="shared" si="10"/>
        <v>0</v>
      </c>
      <c r="AE66" s="347">
        <f t="shared" si="10"/>
        <v>0</v>
      </c>
      <c r="AF66" s="335">
        <f t="shared" si="5"/>
        <v>0</v>
      </c>
      <c r="AG66" s="323"/>
      <c r="AH66" s="161"/>
      <c r="AI66" s="349">
        <f t="shared" si="16"/>
        <v>0</v>
      </c>
      <c r="AJ66" s="334"/>
      <c r="AK66" s="161"/>
      <c r="AL66" s="335"/>
      <c r="AM66" s="323">
        <f>SUM(AM68:AM69)</f>
        <v>0</v>
      </c>
    </row>
    <row r="67" spans="1:42" ht="15.75" x14ac:dyDescent="0.25">
      <c r="A67" s="437" t="s">
        <v>92</v>
      </c>
      <c r="B67" s="133"/>
      <c r="C67" s="438"/>
      <c r="D67" s="431"/>
      <c r="E67" s="59">
        <f t="shared" si="1"/>
        <v>0</v>
      </c>
      <c r="F67" s="410">
        <f t="shared" si="2"/>
        <v>0</v>
      </c>
      <c r="G67" s="285"/>
      <c r="H67" s="158"/>
      <c r="I67" s="298">
        <f t="shared" si="8"/>
        <v>0</v>
      </c>
      <c r="J67" s="316"/>
      <c r="K67" s="297"/>
      <c r="L67" s="158"/>
      <c r="M67" s="298"/>
      <c r="N67" s="297"/>
      <c r="O67" s="285"/>
      <c r="P67" s="367"/>
      <c r="Q67" s="279"/>
      <c r="R67" s="310"/>
      <c r="S67" s="375"/>
      <c r="T67" s="382"/>
      <c r="U67" s="279"/>
      <c r="V67" s="63"/>
      <c r="W67" s="357">
        <f t="shared" si="3"/>
        <v>0</v>
      </c>
      <c r="X67" s="418"/>
      <c r="Y67" s="279"/>
      <c r="Z67" s="63"/>
      <c r="AA67" s="360"/>
      <c r="AB67" s="425"/>
      <c r="AC67" s="395"/>
      <c r="AD67" s="334">
        <f t="shared" si="10"/>
        <v>0</v>
      </c>
      <c r="AE67" s="347">
        <f t="shared" si="10"/>
        <v>0</v>
      </c>
      <c r="AF67" s="335">
        <f t="shared" si="5"/>
        <v>0</v>
      </c>
      <c r="AG67" s="324"/>
      <c r="AH67" s="162"/>
      <c r="AI67" s="349"/>
      <c r="AJ67" s="338"/>
      <c r="AK67" s="162"/>
      <c r="AL67" s="339"/>
      <c r="AM67" s="324"/>
    </row>
    <row r="68" spans="1:42" ht="15.75" x14ac:dyDescent="0.25">
      <c r="A68" s="437" t="s">
        <v>189</v>
      </c>
      <c r="B68" s="355">
        <v>310</v>
      </c>
      <c r="C68" s="438"/>
      <c r="D68" s="431"/>
      <c r="E68" s="59">
        <f t="shared" si="1"/>
        <v>0</v>
      </c>
      <c r="F68" s="410">
        <f t="shared" si="2"/>
        <v>0</v>
      </c>
      <c r="G68" s="285"/>
      <c r="H68" s="158"/>
      <c r="I68" s="298">
        <f t="shared" si="8"/>
        <v>0</v>
      </c>
      <c r="J68" s="316"/>
      <c r="K68" s="297"/>
      <c r="L68" s="158"/>
      <c r="M68" s="298"/>
      <c r="N68" s="297"/>
      <c r="O68" s="285"/>
      <c r="P68" s="367"/>
      <c r="Q68" s="279"/>
      <c r="R68" s="310"/>
      <c r="S68" s="375"/>
      <c r="T68" s="382"/>
      <c r="U68" s="279"/>
      <c r="V68" s="63"/>
      <c r="W68" s="357">
        <f t="shared" si="3"/>
        <v>0</v>
      </c>
      <c r="X68" s="418"/>
      <c r="Y68" s="279"/>
      <c r="Z68" s="63"/>
      <c r="AA68" s="360"/>
      <c r="AB68" s="425"/>
      <c r="AC68" s="395"/>
      <c r="AD68" s="334">
        <f t="shared" si="10"/>
        <v>0</v>
      </c>
      <c r="AE68" s="347">
        <f t="shared" si="10"/>
        <v>0</v>
      </c>
      <c r="AF68" s="335">
        <f t="shared" si="5"/>
        <v>0</v>
      </c>
      <c r="AG68" s="324"/>
      <c r="AH68" s="162"/>
      <c r="AI68" s="349"/>
      <c r="AJ68" s="338"/>
      <c r="AK68" s="162"/>
      <c r="AL68" s="339"/>
      <c r="AM68" s="324"/>
    </row>
    <row r="69" spans="1:42" ht="15.75" x14ac:dyDescent="0.25">
      <c r="A69" s="437" t="s">
        <v>190</v>
      </c>
      <c r="B69" s="355">
        <v>320</v>
      </c>
      <c r="C69" s="438"/>
      <c r="D69" s="431"/>
      <c r="E69" s="59">
        <f t="shared" si="1"/>
        <v>0</v>
      </c>
      <c r="F69" s="410">
        <f t="shared" si="2"/>
        <v>0</v>
      </c>
      <c r="G69" s="285"/>
      <c r="H69" s="158"/>
      <c r="I69" s="298">
        <f t="shared" si="8"/>
        <v>0</v>
      </c>
      <c r="J69" s="316"/>
      <c r="K69" s="297"/>
      <c r="L69" s="158"/>
      <c r="M69" s="298"/>
      <c r="N69" s="297"/>
      <c r="O69" s="285"/>
      <c r="P69" s="367"/>
      <c r="Q69" s="279"/>
      <c r="R69" s="310"/>
      <c r="S69" s="375"/>
      <c r="T69" s="382"/>
      <c r="U69" s="279"/>
      <c r="V69" s="63"/>
      <c r="W69" s="357">
        <f t="shared" si="3"/>
        <v>0</v>
      </c>
      <c r="X69" s="418"/>
      <c r="Y69" s="279"/>
      <c r="Z69" s="63"/>
      <c r="AA69" s="360"/>
      <c r="AB69" s="425"/>
      <c r="AC69" s="395"/>
      <c r="AD69" s="334">
        <f t="shared" si="10"/>
        <v>0</v>
      </c>
      <c r="AE69" s="347">
        <f t="shared" si="10"/>
        <v>0</v>
      </c>
      <c r="AF69" s="335">
        <f t="shared" si="5"/>
        <v>0</v>
      </c>
      <c r="AG69" s="324"/>
      <c r="AH69" s="162"/>
      <c r="AI69" s="349"/>
      <c r="AJ69" s="338"/>
      <c r="AK69" s="162"/>
      <c r="AL69" s="339"/>
      <c r="AM69" s="324"/>
    </row>
    <row r="70" spans="1:42" s="115" customFormat="1" ht="15.75" x14ac:dyDescent="0.2">
      <c r="A70" s="435" t="s">
        <v>191</v>
      </c>
      <c r="B70" s="356">
        <v>400</v>
      </c>
      <c r="C70" s="442"/>
      <c r="D70" s="430">
        <f>G70+Q70+AC70+AD70</f>
        <v>0</v>
      </c>
      <c r="E70" s="59">
        <f t="shared" si="1"/>
        <v>0</v>
      </c>
      <c r="F70" s="410">
        <f t="shared" si="2"/>
        <v>0</v>
      </c>
      <c r="G70" s="283">
        <f>G72+G73</f>
        <v>0</v>
      </c>
      <c r="H70" s="157"/>
      <c r="I70" s="298">
        <f t="shared" si="8"/>
        <v>0</v>
      </c>
      <c r="J70" s="314"/>
      <c r="K70" s="293">
        <f>K72+K73</f>
        <v>0</v>
      </c>
      <c r="L70" s="157"/>
      <c r="M70" s="294"/>
      <c r="N70" s="293">
        <f>N72+N73</f>
        <v>0</v>
      </c>
      <c r="O70" s="283"/>
      <c r="P70" s="365"/>
      <c r="Q70" s="276">
        <f>Q72+Q73</f>
        <v>0</v>
      </c>
      <c r="R70" s="307"/>
      <c r="S70" s="372"/>
      <c r="T70" s="379"/>
      <c r="U70" s="276">
        <v>0</v>
      </c>
      <c r="V70" s="153"/>
      <c r="W70" s="357">
        <f t="shared" si="3"/>
        <v>0</v>
      </c>
      <c r="X70" s="415">
        <v>0</v>
      </c>
      <c r="Y70" s="276">
        <v>0</v>
      </c>
      <c r="Z70" s="153"/>
      <c r="AA70" s="357"/>
      <c r="AB70" s="422">
        <f>AB72+AB73</f>
        <v>0</v>
      </c>
      <c r="AC70" s="396">
        <v>0</v>
      </c>
      <c r="AD70" s="334">
        <f t="shared" si="10"/>
        <v>0</v>
      </c>
      <c r="AE70" s="347">
        <f t="shared" si="10"/>
        <v>0</v>
      </c>
      <c r="AF70" s="335">
        <f t="shared" si="5"/>
        <v>0</v>
      </c>
      <c r="AG70" s="323"/>
      <c r="AH70" s="161"/>
      <c r="AI70" s="347"/>
      <c r="AJ70" s="334"/>
      <c r="AK70" s="161"/>
      <c r="AL70" s="335"/>
      <c r="AM70" s="323">
        <f>AM72+AM73</f>
        <v>0</v>
      </c>
    </row>
    <row r="71" spans="1:42" ht="15.75" x14ac:dyDescent="0.25">
      <c r="A71" s="437" t="s">
        <v>92</v>
      </c>
      <c r="B71" s="133"/>
      <c r="C71" s="438"/>
      <c r="D71" s="431"/>
      <c r="E71" s="59">
        <f t="shared" si="1"/>
        <v>0</v>
      </c>
      <c r="F71" s="410">
        <f t="shared" si="2"/>
        <v>0</v>
      </c>
      <c r="G71" s="285"/>
      <c r="H71" s="158"/>
      <c r="I71" s="298">
        <f t="shared" si="8"/>
        <v>0</v>
      </c>
      <c r="J71" s="316"/>
      <c r="K71" s="297"/>
      <c r="L71" s="158"/>
      <c r="M71" s="298"/>
      <c r="N71" s="297"/>
      <c r="O71" s="285"/>
      <c r="P71" s="367"/>
      <c r="Q71" s="279"/>
      <c r="R71" s="310"/>
      <c r="S71" s="375"/>
      <c r="T71" s="382"/>
      <c r="U71" s="279"/>
      <c r="V71" s="63"/>
      <c r="W71" s="357">
        <f t="shared" si="3"/>
        <v>0</v>
      </c>
      <c r="X71" s="418"/>
      <c r="Y71" s="279"/>
      <c r="Z71" s="63"/>
      <c r="AA71" s="360"/>
      <c r="AB71" s="425"/>
      <c r="AC71" s="395"/>
      <c r="AD71" s="334">
        <f t="shared" si="10"/>
        <v>0</v>
      </c>
      <c r="AE71" s="347">
        <f t="shared" si="10"/>
        <v>0</v>
      </c>
      <c r="AF71" s="335">
        <f t="shared" si="5"/>
        <v>0</v>
      </c>
      <c r="AG71" s="324"/>
      <c r="AH71" s="162"/>
      <c r="AI71" s="349"/>
      <c r="AJ71" s="338"/>
      <c r="AK71" s="162"/>
      <c r="AL71" s="339"/>
      <c r="AM71" s="324"/>
    </row>
    <row r="72" spans="1:42" ht="15.75" x14ac:dyDescent="0.25">
      <c r="A72" s="437" t="s">
        <v>192</v>
      </c>
      <c r="B72" s="355">
        <v>410</v>
      </c>
      <c r="C72" s="438"/>
      <c r="D72" s="431">
        <f>G72+Q72</f>
        <v>0</v>
      </c>
      <c r="E72" s="59">
        <f t="shared" si="1"/>
        <v>0</v>
      </c>
      <c r="F72" s="410">
        <f t="shared" si="2"/>
        <v>0</v>
      </c>
      <c r="G72" s="285"/>
      <c r="H72" s="158"/>
      <c r="I72" s="298">
        <f t="shared" si="8"/>
        <v>0</v>
      </c>
      <c r="J72" s="316"/>
      <c r="K72" s="297"/>
      <c r="L72" s="158"/>
      <c r="M72" s="298"/>
      <c r="N72" s="297"/>
      <c r="O72" s="285"/>
      <c r="P72" s="367"/>
      <c r="Q72" s="279"/>
      <c r="R72" s="310"/>
      <c r="S72" s="375"/>
      <c r="T72" s="382"/>
      <c r="U72" s="279"/>
      <c r="V72" s="63"/>
      <c r="W72" s="357">
        <f t="shared" si="3"/>
        <v>0</v>
      </c>
      <c r="X72" s="418"/>
      <c r="Y72" s="279"/>
      <c r="Z72" s="63"/>
      <c r="AA72" s="360"/>
      <c r="AB72" s="425"/>
      <c r="AC72" s="395"/>
      <c r="AD72" s="334">
        <f t="shared" si="10"/>
        <v>0</v>
      </c>
      <c r="AE72" s="347">
        <f t="shared" si="10"/>
        <v>0</v>
      </c>
      <c r="AF72" s="335">
        <f t="shared" si="5"/>
        <v>0</v>
      </c>
      <c r="AG72" s="324"/>
      <c r="AH72" s="162"/>
      <c r="AI72" s="349"/>
      <c r="AJ72" s="338"/>
      <c r="AK72" s="162"/>
      <c r="AL72" s="339"/>
      <c r="AM72" s="324"/>
    </row>
    <row r="73" spans="1:42" ht="15.75" x14ac:dyDescent="0.25">
      <c r="A73" s="437" t="s">
        <v>193</v>
      </c>
      <c r="B73" s="355">
        <v>420</v>
      </c>
      <c r="C73" s="438"/>
      <c r="D73" s="431"/>
      <c r="E73" s="59">
        <f t="shared" si="1"/>
        <v>0</v>
      </c>
      <c r="F73" s="410">
        <f t="shared" si="2"/>
        <v>0</v>
      </c>
      <c r="G73" s="285"/>
      <c r="H73" s="158"/>
      <c r="I73" s="298">
        <f t="shared" si="8"/>
        <v>0</v>
      </c>
      <c r="J73" s="316"/>
      <c r="K73" s="297"/>
      <c r="L73" s="158"/>
      <c r="M73" s="298"/>
      <c r="N73" s="297"/>
      <c r="O73" s="285"/>
      <c r="P73" s="367"/>
      <c r="Q73" s="279"/>
      <c r="R73" s="310"/>
      <c r="S73" s="375"/>
      <c r="T73" s="382"/>
      <c r="U73" s="279"/>
      <c r="V73" s="63"/>
      <c r="W73" s="357">
        <f t="shared" si="3"/>
        <v>0</v>
      </c>
      <c r="X73" s="418"/>
      <c r="Y73" s="279"/>
      <c r="Z73" s="63"/>
      <c r="AA73" s="360"/>
      <c r="AB73" s="425"/>
      <c r="AC73" s="395"/>
      <c r="AD73" s="334">
        <f t="shared" si="10"/>
        <v>0</v>
      </c>
      <c r="AE73" s="347">
        <f t="shared" si="10"/>
        <v>0</v>
      </c>
      <c r="AF73" s="335">
        <f t="shared" si="5"/>
        <v>0</v>
      </c>
      <c r="AG73" s="324"/>
      <c r="AH73" s="162"/>
      <c r="AI73" s="349"/>
      <c r="AJ73" s="338"/>
      <c r="AK73" s="162"/>
      <c r="AL73" s="339"/>
      <c r="AM73" s="324"/>
    </row>
    <row r="74" spans="1:42" s="115" customFormat="1" ht="17.25" customHeight="1" x14ac:dyDescent="0.2">
      <c r="A74" s="435" t="s">
        <v>194</v>
      </c>
      <c r="B74" s="356">
        <v>500</v>
      </c>
      <c r="C74" s="436" t="s">
        <v>149</v>
      </c>
      <c r="D74" s="430">
        <f>G74+Q74+AC74+AD74</f>
        <v>723849472.93955743</v>
      </c>
      <c r="E74" s="59">
        <f t="shared" si="1"/>
        <v>723849472.93955743</v>
      </c>
      <c r="F74" s="410">
        <f t="shared" si="2"/>
        <v>0</v>
      </c>
      <c r="G74" s="283">
        <f>J74+K74+N74</f>
        <v>493797.89</v>
      </c>
      <c r="H74" s="157">
        <f>H22-H10</f>
        <v>493797.8900000155</v>
      </c>
      <c r="I74" s="298">
        <f t="shared" si="8"/>
        <v>1.548323780298233E-8</v>
      </c>
      <c r="J74" s="314"/>
      <c r="K74" s="293">
        <v>493797.89</v>
      </c>
      <c r="L74" s="157">
        <f>L22-L10</f>
        <v>493797.8900000006</v>
      </c>
      <c r="M74" s="294">
        <f>L74-K74</f>
        <v>5.8207660913467407E-10</v>
      </c>
      <c r="N74" s="293">
        <v>0</v>
      </c>
      <c r="O74" s="283"/>
      <c r="P74" s="365"/>
      <c r="Q74" s="276">
        <f>SUM(T74:Y74)</f>
        <v>716413891.02999997</v>
      </c>
      <c r="R74" s="307">
        <f>T74+V74+X74+Z74</f>
        <v>716413891.02999997</v>
      </c>
      <c r="S74" s="372">
        <f>R74-Q74</f>
        <v>0</v>
      </c>
      <c r="T74" s="379">
        <f>716398979.29+10227+4684.74</f>
        <v>716413891.02999997</v>
      </c>
      <c r="U74" s="276">
        <v>0</v>
      </c>
      <c r="V74" s="153"/>
      <c r="W74" s="357">
        <f t="shared" si="3"/>
        <v>0</v>
      </c>
      <c r="X74" s="415">
        <v>0</v>
      </c>
      <c r="Y74" s="276">
        <v>0</v>
      </c>
      <c r="Z74" s="153"/>
      <c r="AA74" s="357"/>
      <c r="AB74" s="422">
        <v>0</v>
      </c>
      <c r="AC74" s="396">
        <v>142804.66</v>
      </c>
      <c r="AD74" s="334">
        <f>AD22-AD10</f>
        <v>6798979.3595575094</v>
      </c>
      <c r="AE74" s="347">
        <f t="shared" ref="AE74:AF74" si="26">AE22-AE10</f>
        <v>6798979.3595575094</v>
      </c>
      <c r="AF74" s="335">
        <f t="shared" si="26"/>
        <v>0</v>
      </c>
      <c r="AG74" s="323">
        <f>AG22-AG10</f>
        <v>6652959.8895575404</v>
      </c>
      <c r="AH74" s="323">
        <f>AH22-AH10</f>
        <v>6652959.8895574808</v>
      </c>
      <c r="AI74" s="347">
        <f>AI22-AI10</f>
        <v>-5.9604644775390625E-8</v>
      </c>
      <c r="AJ74" s="334">
        <f>AJ22-AJ10</f>
        <v>146019.46999999881</v>
      </c>
      <c r="AK74" s="323">
        <f t="shared" ref="AK74:AL74" si="27">AK22-AK10</f>
        <v>146019.47000000626</v>
      </c>
      <c r="AL74" s="406">
        <f t="shared" si="27"/>
        <v>0</v>
      </c>
      <c r="AM74" s="323">
        <v>0</v>
      </c>
    </row>
    <row r="75" spans="1:42" s="115" customFormat="1" ht="16.5" thickBot="1" x14ac:dyDescent="0.25">
      <c r="A75" s="446" t="s">
        <v>195</v>
      </c>
      <c r="B75" s="447">
        <v>600</v>
      </c>
      <c r="C75" s="448" t="s">
        <v>149</v>
      </c>
      <c r="D75" s="433">
        <f>D10-D22+D74</f>
        <v>49011428.341215491</v>
      </c>
      <c r="E75" s="412">
        <f t="shared" ref="E75" si="28">H75+R75+AD75+AC75</f>
        <v>49011428.341536254</v>
      </c>
      <c r="F75" s="413">
        <f t="shared" ref="F75" si="29">E75-D75</f>
        <v>3.2076239585876465E-4</v>
      </c>
      <c r="G75" s="407">
        <f>G10+G74-G22</f>
        <v>-2.1200180053710938E-3</v>
      </c>
      <c r="H75" s="304">
        <f>H10+H74-H22</f>
        <v>0</v>
      </c>
      <c r="I75" s="377">
        <f t="shared" si="8"/>
        <v>2.1200180053710938E-3</v>
      </c>
      <c r="J75" s="319"/>
      <c r="K75" s="303">
        <f t="shared" ref="K75:AM75" si="30">K10+K74-K22</f>
        <v>-2.1200031042098999E-3</v>
      </c>
      <c r="L75" s="304"/>
      <c r="M75" s="305"/>
      <c r="N75" s="303">
        <f t="shared" si="30"/>
        <v>0</v>
      </c>
      <c r="O75" s="304">
        <f t="shared" si="30"/>
        <v>0</v>
      </c>
      <c r="P75" s="370"/>
      <c r="Q75" s="281">
        <f>Q10+Q74-Q22</f>
        <v>49011428.341799736</v>
      </c>
      <c r="R75" s="376">
        <f t="shared" si="30"/>
        <v>49011428.340000153</v>
      </c>
      <c r="S75" s="376">
        <f t="shared" si="30"/>
        <v>-1.7995834350585938E-3</v>
      </c>
      <c r="T75" s="320">
        <f t="shared" si="30"/>
        <v>49011428.340000033</v>
      </c>
      <c r="U75" s="281">
        <f t="shared" si="30"/>
        <v>0</v>
      </c>
      <c r="V75" s="388">
        <f t="shared" si="30"/>
        <v>0</v>
      </c>
      <c r="W75" s="362">
        <f t="shared" ref="W75" si="31">V75-U75</f>
        <v>0</v>
      </c>
      <c r="X75" s="420">
        <f t="shared" si="30"/>
        <v>0</v>
      </c>
      <c r="Y75" s="281">
        <f t="shared" si="30"/>
        <v>1.8000006675720215E-3</v>
      </c>
      <c r="Z75" s="388">
        <f t="shared" si="30"/>
        <v>0</v>
      </c>
      <c r="AA75" s="362">
        <f t="shared" si="30"/>
        <v>-1.7999988049268723E-3</v>
      </c>
      <c r="AB75" s="428">
        <f t="shared" si="30"/>
        <v>0</v>
      </c>
      <c r="AC75" s="399">
        <f t="shared" si="30"/>
        <v>1.536098076030612E-3</v>
      </c>
      <c r="AD75" s="344">
        <f t="shared" si="30"/>
        <v>0</v>
      </c>
      <c r="AE75" s="353">
        <f t="shared" si="10"/>
        <v>0</v>
      </c>
      <c r="AF75" s="346">
        <f t="shared" ref="AF75" si="32">AE75-AD75</f>
        <v>0</v>
      </c>
      <c r="AG75" s="390">
        <f t="shared" si="30"/>
        <v>0</v>
      </c>
      <c r="AH75" s="345"/>
      <c r="AI75" s="353"/>
      <c r="AJ75" s="344">
        <f t="shared" si="30"/>
        <v>0</v>
      </c>
      <c r="AK75" s="345"/>
      <c r="AL75" s="346"/>
      <c r="AM75" s="323">
        <f t="shared" si="30"/>
        <v>0</v>
      </c>
    </row>
    <row r="76" spans="1:42" x14ac:dyDescent="0.25">
      <c r="G76" s="117"/>
      <c r="H76" s="117"/>
      <c r="I76" s="117"/>
      <c r="J76" s="117"/>
      <c r="K76" s="117"/>
      <c r="L76" s="117"/>
      <c r="M76" s="117"/>
      <c r="N76" s="117"/>
      <c r="O76" s="117"/>
      <c r="P76" s="117"/>
      <c r="Q76" s="117"/>
      <c r="R76" s="117"/>
      <c r="S76" s="117"/>
      <c r="T76" s="111">
        <v>49006743.600000001</v>
      </c>
      <c r="U76" s="117" t="s">
        <v>237</v>
      </c>
      <c r="V76" s="117"/>
      <c r="W76" s="117"/>
      <c r="X76" s="117"/>
      <c r="Y76" s="117"/>
      <c r="Z76" s="117"/>
      <c r="AA76" s="117"/>
      <c r="AD76" s="137">
        <f>AD22-AD10</f>
        <v>6798979.3595575094</v>
      </c>
      <c r="AE76" s="137">
        <f>AE22-AE10</f>
        <v>6798979.3595575094</v>
      </c>
      <c r="AG76" s="137">
        <f>AG22-AG10</f>
        <v>6652959.8895575404</v>
      </c>
      <c r="AH76" s="137">
        <f>AH22-AH10</f>
        <v>6652959.8895574808</v>
      </c>
      <c r="AI76" s="137"/>
      <c r="AJ76" s="137">
        <f t="shared" ref="AJ76:AK76" si="33">AJ22-AJ10</f>
        <v>146019.46999999881</v>
      </c>
      <c r="AK76" s="137">
        <f t="shared" si="33"/>
        <v>146019.47000000626</v>
      </c>
    </row>
    <row r="77" spans="1:42" x14ac:dyDescent="0.25">
      <c r="D77" s="111">
        <f>D22-D10</f>
        <v>674838044.59834194</v>
      </c>
      <c r="G77" s="111"/>
      <c r="H77" s="111"/>
      <c r="I77" s="111"/>
      <c r="J77" s="117"/>
      <c r="K77" s="111"/>
      <c r="L77" s="111"/>
      <c r="M77" s="111"/>
      <c r="N77" s="117"/>
      <c r="O77" s="117"/>
      <c r="P77" s="117"/>
      <c r="Q77" s="117"/>
      <c r="R77" s="117"/>
      <c r="S77" s="117"/>
      <c r="T77" s="111">
        <f>T75-T76</f>
        <v>4684.7400000318885</v>
      </c>
      <c r="U77" s="117" t="s">
        <v>197</v>
      </c>
      <c r="V77" s="117"/>
      <c r="W77" s="117"/>
      <c r="X77" s="117"/>
      <c r="Y77" s="117"/>
      <c r="Z77" s="117"/>
      <c r="AA77" s="117"/>
    </row>
    <row r="78" spans="1:42" x14ac:dyDescent="0.25">
      <c r="G78" s="111"/>
      <c r="H78" s="111"/>
      <c r="I78" s="111"/>
      <c r="J78" s="117">
        <v>211</v>
      </c>
      <c r="K78" s="111">
        <v>170582.06</v>
      </c>
      <c r="L78" s="111"/>
      <c r="M78" s="111"/>
      <c r="N78" s="117"/>
      <c r="O78" s="117"/>
      <c r="P78" s="117"/>
      <c r="Q78" s="117"/>
      <c r="R78" s="117"/>
      <c r="S78" s="117"/>
      <c r="T78" s="117"/>
      <c r="U78" s="117"/>
      <c r="V78" s="117"/>
      <c r="W78" s="117"/>
      <c r="X78" s="117"/>
      <c r="Y78" s="117"/>
      <c r="Z78" s="117"/>
      <c r="AA78" s="117"/>
      <c r="AB78" s="117">
        <v>211</v>
      </c>
      <c r="AC78" s="137">
        <v>109680.99846390169</v>
      </c>
      <c r="AG78" s="263"/>
      <c r="AH78" s="263"/>
      <c r="AI78" s="263"/>
      <c r="AJ78" s="137">
        <v>2818.05</v>
      </c>
      <c r="AK78" s="137"/>
      <c r="AL78" s="137"/>
      <c r="AM78" s="151">
        <v>221</v>
      </c>
    </row>
    <row r="79" spans="1:42" x14ac:dyDescent="0.25">
      <c r="G79" s="111"/>
      <c r="H79" s="111"/>
      <c r="I79" s="111"/>
      <c r="J79" s="117">
        <v>213</v>
      </c>
      <c r="K79" s="111">
        <f>K78*30.2%+0.01</f>
        <v>51515.792119999998</v>
      </c>
      <c r="L79" s="111"/>
      <c r="M79" s="111"/>
      <c r="N79" s="117"/>
      <c r="O79" s="117"/>
      <c r="P79" s="117"/>
      <c r="Q79" s="117"/>
      <c r="R79" s="117"/>
      <c r="S79" s="117"/>
      <c r="T79" s="117"/>
      <c r="U79" s="117"/>
      <c r="V79" s="117"/>
      <c r="W79" s="117"/>
      <c r="X79" s="117"/>
      <c r="Y79" s="117"/>
      <c r="Z79" s="117"/>
      <c r="AA79" s="117"/>
      <c r="AB79" s="117">
        <v>213</v>
      </c>
      <c r="AC79" s="137">
        <v>33123.660000000003</v>
      </c>
      <c r="AG79" s="263"/>
      <c r="AH79" s="263"/>
      <c r="AI79" s="263"/>
      <c r="AJ79" s="137">
        <v>63920</v>
      </c>
      <c r="AK79" s="137"/>
      <c r="AL79" s="137"/>
      <c r="AM79" s="151">
        <v>310</v>
      </c>
    </row>
    <row r="80" spans="1:42" x14ac:dyDescent="0.25">
      <c r="G80" s="117"/>
      <c r="H80" s="117"/>
      <c r="I80" s="117"/>
      <c r="J80" s="117">
        <v>226</v>
      </c>
      <c r="K80" s="111">
        <v>176906.04</v>
      </c>
      <c r="L80" s="111"/>
      <c r="M80" s="111"/>
      <c r="N80" s="117"/>
      <c r="O80" s="117"/>
      <c r="P80" s="117"/>
      <c r="Q80" s="111"/>
      <c r="R80" s="111"/>
      <c r="S80" s="111"/>
      <c r="T80" s="111"/>
      <c r="U80" s="117"/>
      <c r="V80" s="117"/>
      <c r="W80" s="117"/>
      <c r="X80" s="117"/>
      <c r="Y80" s="117"/>
      <c r="Z80" s="117"/>
      <c r="AA80" s="117"/>
      <c r="AC80" s="137">
        <f>SUM(AC78:AC79)</f>
        <v>142804.65846390169</v>
      </c>
      <c r="AG80" s="264">
        <f>AG74</f>
        <v>6652959.8895575404</v>
      </c>
      <c r="AH80" s="264"/>
      <c r="AI80" s="264"/>
      <c r="AJ80" s="137">
        <v>1155747.52</v>
      </c>
      <c r="AK80" s="137"/>
      <c r="AL80" s="137"/>
      <c r="AM80" s="151">
        <v>340</v>
      </c>
    </row>
    <row r="81" spans="7:27" x14ac:dyDescent="0.25">
      <c r="G81" s="117"/>
      <c r="H81" s="117"/>
      <c r="I81" s="117"/>
      <c r="J81" s="117">
        <v>340</v>
      </c>
      <c r="K81" s="111">
        <v>94794</v>
      </c>
      <c r="L81" s="111"/>
      <c r="M81" s="111"/>
      <c r="N81" s="117"/>
      <c r="O81" s="117"/>
      <c r="P81" s="117"/>
      <c r="Q81" s="117"/>
      <c r="R81" s="117"/>
      <c r="S81" s="117"/>
      <c r="T81" s="117"/>
      <c r="U81" s="117"/>
      <c r="V81" s="117"/>
      <c r="W81" s="117"/>
      <c r="X81" s="117"/>
      <c r="Y81" s="117"/>
      <c r="Z81" s="117"/>
      <c r="AA81" s="117"/>
    </row>
    <row r="82" spans="7:27" x14ac:dyDescent="0.25">
      <c r="G82" s="117"/>
      <c r="H82" s="117"/>
      <c r="I82" s="117"/>
      <c r="J82" s="117"/>
      <c r="K82" s="111">
        <f>SUM(K78:K81)</f>
        <v>493797.89211999997</v>
      </c>
      <c r="L82" s="111"/>
      <c r="M82" s="111"/>
      <c r="N82" s="117"/>
      <c r="O82" s="117"/>
      <c r="P82" s="117"/>
      <c r="Q82" s="117"/>
      <c r="R82" s="117"/>
      <c r="S82" s="117"/>
      <c r="T82" s="117"/>
      <c r="U82" s="117"/>
      <c r="V82" s="117"/>
      <c r="W82" s="117"/>
      <c r="X82" s="117"/>
      <c r="Y82" s="117"/>
      <c r="Z82" s="117"/>
      <c r="AA82" s="117"/>
    </row>
    <row r="83" spans="7:27" x14ac:dyDescent="0.25">
      <c r="G83" s="117"/>
      <c r="H83" s="117"/>
      <c r="I83" s="117"/>
      <c r="J83" s="117"/>
      <c r="K83" s="111"/>
      <c r="L83" s="111"/>
      <c r="M83" s="111"/>
      <c r="N83" s="117"/>
      <c r="O83" s="117"/>
      <c r="P83" s="117"/>
      <c r="Q83" s="117"/>
      <c r="R83" s="117"/>
      <c r="S83" s="117"/>
      <c r="T83" s="117"/>
      <c r="U83" s="117"/>
      <c r="V83" s="117"/>
      <c r="W83" s="117"/>
      <c r="X83" s="117"/>
      <c r="Y83" s="117"/>
      <c r="Z83" s="117"/>
      <c r="AA83" s="117"/>
    </row>
    <row r="84" spans="7:27" x14ac:dyDescent="0.25">
      <c r="G84" s="117"/>
      <c r="H84" s="117"/>
      <c r="I84" s="117"/>
      <c r="J84" s="117"/>
      <c r="K84" s="111"/>
      <c r="L84" s="111"/>
      <c r="M84" s="111"/>
      <c r="N84" s="117"/>
      <c r="O84" s="117"/>
      <c r="P84" s="117"/>
      <c r="Q84" s="117"/>
      <c r="R84" s="117"/>
      <c r="S84" s="117"/>
      <c r="T84" s="117"/>
      <c r="U84" s="117"/>
      <c r="V84" s="117"/>
      <c r="W84" s="117"/>
      <c r="X84" s="117"/>
      <c r="Y84" s="117"/>
      <c r="Z84" s="117"/>
      <c r="AA84" s="117"/>
    </row>
    <row r="85" spans="7:27" x14ac:dyDescent="0.25">
      <c r="G85" s="117"/>
      <c r="H85" s="117"/>
      <c r="I85" s="117"/>
      <c r="J85" s="117"/>
      <c r="K85" s="117"/>
      <c r="L85" s="117"/>
      <c r="M85" s="117"/>
      <c r="N85" s="117"/>
      <c r="O85" s="117"/>
      <c r="P85" s="117"/>
      <c r="Q85" s="117"/>
      <c r="R85" s="117"/>
      <c r="S85" s="117"/>
      <c r="T85" s="117"/>
      <c r="U85" s="117"/>
      <c r="V85" s="117"/>
      <c r="W85" s="117"/>
      <c r="X85" s="117"/>
      <c r="Y85" s="117"/>
      <c r="Z85" s="117"/>
      <c r="AA85" s="117"/>
    </row>
    <row r="86" spans="7:27" x14ac:dyDescent="0.25">
      <c r="G86" s="117"/>
      <c r="H86" s="117"/>
      <c r="I86" s="117"/>
      <c r="J86" s="117"/>
      <c r="K86" s="117"/>
      <c r="L86" s="117"/>
      <c r="M86" s="117"/>
      <c r="N86" s="117"/>
      <c r="O86" s="117"/>
      <c r="P86" s="117"/>
      <c r="Q86" s="117"/>
      <c r="R86" s="117"/>
      <c r="S86" s="117"/>
      <c r="T86" s="117"/>
      <c r="U86" s="117"/>
      <c r="V86" s="117"/>
      <c r="W86" s="117"/>
      <c r="X86" s="117"/>
      <c r="Y86" s="117"/>
      <c r="Z86" s="117"/>
      <c r="AA86" s="117"/>
    </row>
    <row r="87" spans="7:27" x14ac:dyDescent="0.25">
      <c r="G87" s="117"/>
      <c r="H87" s="117"/>
      <c r="I87" s="117"/>
      <c r="J87" s="117"/>
      <c r="K87" s="117"/>
      <c r="L87" s="117"/>
      <c r="M87" s="117"/>
      <c r="N87" s="117"/>
      <c r="O87" s="117"/>
      <c r="P87" s="117"/>
      <c r="Q87" s="117"/>
      <c r="R87" s="117"/>
      <c r="S87" s="117"/>
      <c r="T87" s="117"/>
      <c r="U87" s="117"/>
      <c r="V87" s="117"/>
      <c r="W87" s="117"/>
      <c r="X87" s="117"/>
      <c r="Y87" s="117"/>
      <c r="Z87" s="117"/>
      <c r="AA87" s="117"/>
    </row>
    <row r="88" spans="7:27" x14ac:dyDescent="0.25">
      <c r="G88" s="117"/>
      <c r="H88" s="117"/>
      <c r="I88" s="117"/>
      <c r="J88" s="117"/>
      <c r="K88" s="117"/>
      <c r="L88" s="117"/>
      <c r="M88" s="117"/>
      <c r="N88" s="117"/>
      <c r="O88" s="117"/>
      <c r="P88" s="117"/>
      <c r="Q88" s="117"/>
      <c r="R88" s="117"/>
      <c r="S88" s="117"/>
      <c r="T88" s="117"/>
      <c r="U88" s="117"/>
      <c r="V88" s="117"/>
      <c r="W88" s="117"/>
      <c r="X88" s="117"/>
      <c r="Y88" s="117"/>
      <c r="Z88" s="117"/>
      <c r="AA88" s="117"/>
    </row>
    <row r="89" spans="7:27" x14ac:dyDescent="0.25">
      <c r="G89" s="117"/>
      <c r="H89" s="117"/>
      <c r="I89" s="117"/>
      <c r="J89" s="117"/>
      <c r="K89" s="117"/>
      <c r="L89" s="117"/>
      <c r="M89" s="117"/>
      <c r="N89" s="117"/>
      <c r="O89" s="117"/>
      <c r="P89" s="117"/>
      <c r="Q89" s="117"/>
      <c r="R89" s="117"/>
      <c r="S89" s="117"/>
      <c r="T89" s="117"/>
      <c r="U89" s="117"/>
      <c r="V89" s="117"/>
      <c r="W89" s="117"/>
      <c r="X89" s="117"/>
      <c r="Y89" s="117"/>
      <c r="Z89" s="117"/>
      <c r="AA89" s="117"/>
    </row>
    <row r="90" spans="7:27" x14ac:dyDescent="0.25">
      <c r="G90" s="117"/>
      <c r="H90" s="117"/>
      <c r="I90" s="117"/>
      <c r="J90" s="117"/>
      <c r="K90" s="117"/>
      <c r="L90" s="117"/>
      <c r="M90" s="117"/>
      <c r="N90" s="117"/>
      <c r="O90" s="117"/>
      <c r="P90" s="117"/>
      <c r="Q90" s="117"/>
      <c r="R90" s="117"/>
      <c r="S90" s="117"/>
      <c r="T90" s="117"/>
      <c r="U90" s="117"/>
      <c r="V90" s="117"/>
      <c r="W90" s="117"/>
      <c r="X90" s="117"/>
      <c r="Y90" s="117"/>
      <c r="Z90" s="117"/>
      <c r="AA90" s="117"/>
    </row>
    <row r="91" spans="7:27" x14ac:dyDescent="0.25">
      <c r="G91" s="117"/>
      <c r="H91" s="117"/>
      <c r="I91" s="117"/>
      <c r="J91" s="117"/>
      <c r="K91" s="117"/>
      <c r="L91" s="117"/>
      <c r="M91" s="117"/>
      <c r="N91" s="117"/>
      <c r="O91" s="117"/>
      <c r="P91" s="117"/>
      <c r="Q91" s="117"/>
      <c r="R91" s="117"/>
      <c r="S91" s="117"/>
      <c r="T91" s="117"/>
      <c r="U91" s="117"/>
      <c r="V91" s="117"/>
      <c r="W91" s="117"/>
      <c r="X91" s="117"/>
      <c r="Y91" s="117"/>
      <c r="Z91" s="117"/>
      <c r="AA91" s="117"/>
    </row>
    <row r="92" spans="7:27" x14ac:dyDescent="0.25">
      <c r="G92" s="117"/>
      <c r="H92" s="117"/>
      <c r="I92" s="117"/>
      <c r="J92" s="117"/>
      <c r="K92" s="117"/>
      <c r="L92" s="117"/>
      <c r="M92" s="117"/>
      <c r="N92" s="117"/>
      <c r="O92" s="117"/>
      <c r="P92" s="117"/>
      <c r="Q92" s="117"/>
      <c r="R92" s="117"/>
      <c r="S92" s="117"/>
      <c r="T92" s="117"/>
      <c r="U92" s="117"/>
      <c r="V92" s="117"/>
      <c r="W92" s="117"/>
      <c r="X92" s="117"/>
      <c r="Y92" s="117"/>
      <c r="Z92" s="117"/>
      <c r="AA92" s="117"/>
    </row>
    <row r="93" spans="7:27" x14ac:dyDescent="0.25">
      <c r="G93" s="117"/>
      <c r="H93" s="117"/>
      <c r="I93" s="117"/>
      <c r="J93" s="117"/>
      <c r="K93" s="117"/>
      <c r="L93" s="117"/>
      <c r="M93" s="117"/>
      <c r="N93" s="117"/>
      <c r="O93" s="117"/>
      <c r="P93" s="117"/>
      <c r="Q93" s="117"/>
      <c r="R93" s="117"/>
      <c r="S93" s="117"/>
      <c r="T93" s="117"/>
      <c r="U93" s="117"/>
      <c r="V93" s="117"/>
      <c r="W93" s="117"/>
      <c r="X93" s="117"/>
      <c r="Y93" s="117"/>
      <c r="Z93" s="117"/>
      <c r="AA93" s="117"/>
    </row>
    <row r="94" spans="7:27" x14ac:dyDescent="0.25">
      <c r="G94" s="117"/>
      <c r="H94" s="117"/>
      <c r="I94" s="117"/>
      <c r="J94" s="117"/>
      <c r="K94" s="117"/>
      <c r="L94" s="117"/>
      <c r="M94" s="117"/>
      <c r="N94" s="117"/>
      <c r="O94" s="117"/>
      <c r="P94" s="117"/>
      <c r="Q94" s="117"/>
      <c r="R94" s="117"/>
      <c r="S94" s="117"/>
      <c r="T94" s="117"/>
      <c r="U94" s="117"/>
      <c r="V94" s="117"/>
      <c r="W94" s="117"/>
      <c r="X94" s="117"/>
      <c r="Y94" s="117"/>
      <c r="Z94" s="117"/>
      <c r="AA94" s="117"/>
    </row>
    <row r="95" spans="7:27" x14ac:dyDescent="0.25">
      <c r="G95" s="117"/>
      <c r="H95" s="117"/>
      <c r="I95" s="117"/>
      <c r="J95" s="117"/>
      <c r="K95" s="117"/>
      <c r="L95" s="117"/>
      <c r="M95" s="117"/>
      <c r="N95" s="117"/>
      <c r="O95" s="117"/>
      <c r="P95" s="117"/>
      <c r="Q95" s="117"/>
      <c r="R95" s="117"/>
      <c r="S95" s="117"/>
      <c r="T95" s="117"/>
      <c r="U95" s="117"/>
      <c r="V95" s="117"/>
      <c r="W95" s="117"/>
      <c r="X95" s="117"/>
      <c r="Y95" s="117"/>
      <c r="Z95" s="117"/>
      <c r="AA95" s="117"/>
    </row>
    <row r="96" spans="7:27" x14ac:dyDescent="0.25">
      <c r="G96" s="117"/>
      <c r="H96" s="117"/>
      <c r="I96" s="117"/>
      <c r="J96" s="117"/>
      <c r="K96" s="117"/>
      <c r="L96" s="117"/>
      <c r="M96" s="117"/>
      <c r="N96" s="117"/>
      <c r="O96" s="117"/>
      <c r="P96" s="117"/>
      <c r="Q96" s="117"/>
      <c r="R96" s="117"/>
      <c r="S96" s="117"/>
      <c r="T96" s="117"/>
      <c r="U96" s="117"/>
      <c r="V96" s="117"/>
      <c r="W96" s="117"/>
      <c r="X96" s="117"/>
      <c r="Y96" s="117"/>
      <c r="Z96" s="117"/>
      <c r="AA96" s="117"/>
    </row>
    <row r="97" spans="7:27" x14ac:dyDescent="0.25">
      <c r="G97" s="117"/>
      <c r="H97" s="117"/>
      <c r="I97" s="117"/>
      <c r="J97" s="117"/>
      <c r="K97" s="117"/>
      <c r="L97" s="117"/>
      <c r="M97" s="117"/>
      <c r="N97" s="117"/>
      <c r="O97" s="117"/>
      <c r="P97" s="117"/>
      <c r="Q97" s="117"/>
      <c r="R97" s="117"/>
      <c r="S97" s="117"/>
      <c r="T97" s="117"/>
      <c r="U97" s="117"/>
      <c r="V97" s="117"/>
      <c r="W97" s="117"/>
      <c r="X97" s="117"/>
      <c r="Y97" s="117"/>
      <c r="Z97" s="117"/>
      <c r="AA97" s="117"/>
    </row>
    <row r="98" spans="7:27" x14ac:dyDescent="0.25">
      <c r="G98" s="117"/>
      <c r="H98" s="117"/>
      <c r="I98" s="117"/>
      <c r="J98" s="117"/>
      <c r="K98" s="117"/>
      <c r="L98" s="117"/>
      <c r="M98" s="117"/>
      <c r="N98" s="117"/>
      <c r="O98" s="117"/>
      <c r="P98" s="117"/>
      <c r="Q98" s="117"/>
      <c r="R98" s="117"/>
      <c r="S98" s="117"/>
      <c r="T98" s="117"/>
      <c r="U98" s="117"/>
      <c r="V98" s="117"/>
      <c r="W98" s="117"/>
      <c r="X98" s="117"/>
      <c r="Y98" s="117"/>
      <c r="Z98" s="117"/>
      <c r="AA98" s="117"/>
    </row>
    <row r="99" spans="7:27" x14ac:dyDescent="0.25">
      <c r="G99" s="117"/>
      <c r="H99" s="117"/>
      <c r="I99" s="117"/>
      <c r="J99" s="117"/>
      <c r="K99" s="117"/>
      <c r="L99" s="117"/>
      <c r="M99" s="117"/>
      <c r="N99" s="117"/>
      <c r="O99" s="117"/>
      <c r="P99" s="117"/>
      <c r="Q99" s="117"/>
      <c r="R99" s="117"/>
      <c r="S99" s="117"/>
      <c r="T99" s="117"/>
      <c r="U99" s="117"/>
      <c r="V99" s="117"/>
      <c r="W99" s="117"/>
      <c r="X99" s="117"/>
      <c r="Y99" s="117"/>
      <c r="Z99" s="117"/>
      <c r="AA99" s="117"/>
    </row>
    <row r="100" spans="7:27" x14ac:dyDescent="0.25">
      <c r="G100" s="117"/>
      <c r="H100" s="117"/>
      <c r="I100" s="117"/>
      <c r="J100" s="117"/>
      <c r="K100" s="117"/>
      <c r="L100" s="117"/>
      <c r="M100" s="117"/>
      <c r="N100" s="117"/>
      <c r="O100" s="117"/>
      <c r="P100" s="117"/>
      <c r="Q100" s="117"/>
      <c r="R100" s="117"/>
      <c r="S100" s="117"/>
      <c r="T100" s="117"/>
      <c r="U100" s="117"/>
      <c r="V100" s="117"/>
      <c r="W100" s="117"/>
      <c r="X100" s="117"/>
      <c r="Y100" s="117"/>
      <c r="Z100" s="117"/>
      <c r="AA100" s="117"/>
    </row>
    <row r="101" spans="7:27" x14ac:dyDescent="0.25">
      <c r="G101" s="117"/>
      <c r="H101" s="117"/>
      <c r="I101" s="117"/>
      <c r="J101" s="117"/>
      <c r="K101" s="117"/>
      <c r="L101" s="117"/>
      <c r="M101" s="117"/>
      <c r="N101" s="117"/>
      <c r="O101" s="117"/>
      <c r="P101" s="117"/>
      <c r="Q101" s="117"/>
      <c r="R101" s="117"/>
      <c r="S101" s="117"/>
      <c r="T101" s="117"/>
      <c r="U101" s="117"/>
      <c r="V101" s="117"/>
      <c r="W101" s="117"/>
      <c r="X101" s="117"/>
      <c r="Y101" s="117"/>
      <c r="Z101" s="117"/>
      <c r="AA101" s="117"/>
    </row>
    <row r="102" spans="7:27" x14ac:dyDescent="0.25">
      <c r="G102" s="117"/>
      <c r="H102" s="117"/>
      <c r="I102" s="117"/>
      <c r="J102" s="117"/>
      <c r="K102" s="117"/>
      <c r="L102" s="117"/>
      <c r="M102" s="117"/>
      <c r="N102" s="117"/>
      <c r="O102" s="117"/>
      <c r="P102" s="117"/>
      <c r="Q102" s="117"/>
      <c r="R102" s="117"/>
      <c r="S102" s="117"/>
      <c r="T102" s="117"/>
      <c r="U102" s="117"/>
      <c r="V102" s="117"/>
      <c r="W102" s="117"/>
      <c r="X102" s="117"/>
      <c r="Y102" s="117"/>
      <c r="Z102" s="117"/>
      <c r="AA102" s="117"/>
    </row>
    <row r="103" spans="7:27" x14ac:dyDescent="0.25">
      <c r="G103" s="117"/>
      <c r="H103" s="117"/>
      <c r="I103" s="117"/>
      <c r="J103" s="117"/>
      <c r="K103" s="117"/>
      <c r="L103" s="117"/>
      <c r="M103" s="117"/>
      <c r="N103" s="117"/>
      <c r="O103" s="117"/>
      <c r="P103" s="117"/>
      <c r="Q103" s="117"/>
      <c r="R103" s="117"/>
      <c r="S103" s="117"/>
      <c r="T103" s="117"/>
      <c r="U103" s="117"/>
      <c r="V103" s="117"/>
      <c r="W103" s="117"/>
      <c r="X103" s="117"/>
      <c r="Y103" s="117"/>
      <c r="Z103" s="117"/>
      <c r="AA103" s="117"/>
    </row>
    <row r="104" spans="7:27" x14ac:dyDescent="0.25">
      <c r="G104" s="117"/>
      <c r="H104" s="117"/>
      <c r="I104" s="117"/>
      <c r="J104" s="117"/>
      <c r="K104" s="117"/>
      <c r="L104" s="117"/>
      <c r="M104" s="117"/>
      <c r="N104" s="117"/>
      <c r="O104" s="117"/>
      <c r="P104" s="117"/>
      <c r="Q104" s="117"/>
      <c r="R104" s="117"/>
      <c r="S104" s="117"/>
      <c r="T104" s="117"/>
      <c r="U104" s="117"/>
      <c r="V104" s="117"/>
      <c r="W104" s="117"/>
      <c r="X104" s="117"/>
      <c r="Y104" s="117"/>
      <c r="Z104" s="117"/>
      <c r="AA104" s="117"/>
    </row>
    <row r="105" spans="7:27" x14ac:dyDescent="0.25">
      <c r="G105" s="117"/>
      <c r="H105" s="117"/>
      <c r="I105" s="117"/>
      <c r="J105" s="117"/>
      <c r="K105" s="117"/>
      <c r="L105" s="117"/>
      <c r="M105" s="117"/>
      <c r="N105" s="117"/>
      <c r="O105" s="117"/>
      <c r="P105" s="117"/>
      <c r="Q105" s="117"/>
      <c r="R105" s="117"/>
      <c r="S105" s="117"/>
      <c r="T105" s="117"/>
      <c r="U105" s="117"/>
      <c r="V105" s="117"/>
      <c r="W105" s="117"/>
      <c r="X105" s="117"/>
      <c r="Y105" s="117"/>
      <c r="Z105" s="117"/>
      <c r="AA105" s="117"/>
    </row>
    <row r="106" spans="7:27" x14ac:dyDescent="0.25">
      <c r="G106" s="117"/>
      <c r="H106" s="117"/>
      <c r="I106" s="117"/>
      <c r="J106" s="117"/>
      <c r="K106" s="117"/>
      <c r="L106" s="117"/>
      <c r="M106" s="117"/>
      <c r="N106" s="117"/>
      <c r="O106" s="117"/>
      <c r="P106" s="117"/>
      <c r="Q106" s="117"/>
      <c r="R106" s="117"/>
      <c r="S106" s="117"/>
      <c r="T106" s="117"/>
      <c r="U106" s="117"/>
      <c r="V106" s="117"/>
      <c r="W106" s="117"/>
      <c r="X106" s="117"/>
      <c r="Y106" s="117"/>
      <c r="Z106" s="117"/>
      <c r="AA106" s="117"/>
    </row>
    <row r="107" spans="7:27" x14ac:dyDescent="0.25">
      <c r="G107" s="117"/>
      <c r="H107" s="117"/>
      <c r="I107" s="117"/>
      <c r="J107" s="117"/>
      <c r="K107" s="117"/>
      <c r="L107" s="117"/>
      <c r="M107" s="117"/>
      <c r="N107" s="117"/>
      <c r="O107" s="117"/>
      <c r="P107" s="117"/>
      <c r="Q107" s="117"/>
      <c r="R107" s="117"/>
      <c r="S107" s="117"/>
      <c r="T107" s="117"/>
      <c r="U107" s="117"/>
      <c r="V107" s="117"/>
      <c r="W107" s="117"/>
      <c r="X107" s="117"/>
      <c r="Y107" s="117"/>
      <c r="Z107" s="117"/>
      <c r="AA107" s="117"/>
    </row>
    <row r="108" spans="7:27" x14ac:dyDescent="0.25">
      <c r="G108" s="117"/>
      <c r="H108" s="117"/>
      <c r="I108" s="117"/>
      <c r="J108" s="117"/>
      <c r="K108" s="117"/>
      <c r="L108" s="117"/>
      <c r="M108" s="117"/>
      <c r="N108" s="117"/>
      <c r="O108" s="117"/>
      <c r="P108" s="117"/>
      <c r="Q108" s="117"/>
      <c r="R108" s="117"/>
      <c r="S108" s="117"/>
      <c r="T108" s="117"/>
      <c r="U108" s="117"/>
      <c r="V108" s="117"/>
      <c r="W108" s="117"/>
      <c r="X108" s="117"/>
      <c r="Y108" s="117"/>
      <c r="Z108" s="117"/>
      <c r="AA108" s="117"/>
    </row>
    <row r="109" spans="7:27" x14ac:dyDescent="0.25">
      <c r="G109" s="117"/>
      <c r="H109" s="117"/>
      <c r="I109" s="117"/>
      <c r="J109" s="117"/>
      <c r="K109" s="117"/>
      <c r="L109" s="117"/>
      <c r="M109" s="117"/>
      <c r="N109" s="117"/>
      <c r="O109" s="117"/>
      <c r="P109" s="117"/>
      <c r="Q109" s="117"/>
      <c r="R109" s="117"/>
      <c r="S109" s="117"/>
      <c r="T109" s="117"/>
      <c r="U109" s="117"/>
      <c r="V109" s="117"/>
      <c r="W109" s="117"/>
      <c r="X109" s="117"/>
      <c r="Y109" s="117"/>
      <c r="Z109" s="117"/>
      <c r="AA109" s="117"/>
    </row>
    <row r="110" spans="7:27" x14ac:dyDescent="0.25">
      <c r="G110" s="117"/>
      <c r="H110" s="117"/>
      <c r="I110" s="117"/>
      <c r="J110" s="117"/>
      <c r="K110" s="117"/>
      <c r="L110" s="117"/>
      <c r="M110" s="117"/>
      <c r="N110" s="117"/>
      <c r="O110" s="117"/>
      <c r="P110" s="117"/>
      <c r="Q110" s="117"/>
      <c r="R110" s="117"/>
      <c r="S110" s="117"/>
      <c r="T110" s="117"/>
      <c r="U110" s="117"/>
      <c r="V110" s="117"/>
      <c r="W110" s="117"/>
      <c r="X110" s="117"/>
      <c r="Y110" s="117"/>
      <c r="Z110" s="117"/>
      <c r="AA110" s="117"/>
    </row>
    <row r="111" spans="7:27" x14ac:dyDescent="0.25">
      <c r="G111" s="117"/>
      <c r="H111" s="117"/>
      <c r="I111" s="117"/>
      <c r="J111" s="117"/>
      <c r="K111" s="117"/>
      <c r="L111" s="117"/>
      <c r="M111" s="117"/>
      <c r="N111" s="117"/>
      <c r="O111" s="117"/>
      <c r="P111" s="117"/>
      <c r="Q111" s="117"/>
      <c r="R111" s="117"/>
      <c r="S111" s="117"/>
      <c r="T111" s="117"/>
      <c r="U111" s="117"/>
      <c r="V111" s="117"/>
      <c r="W111" s="117"/>
      <c r="X111" s="117"/>
      <c r="Y111" s="117"/>
      <c r="Z111" s="117"/>
      <c r="AA111" s="117"/>
    </row>
  </sheetData>
  <mergeCells count="41">
    <mergeCell ref="C55:C57"/>
    <mergeCell ref="A59:A60"/>
    <mergeCell ref="A61:A62"/>
    <mergeCell ref="B61:B62"/>
    <mergeCell ref="A64:A65"/>
    <mergeCell ref="B64:B65"/>
    <mergeCell ref="A55:A58"/>
    <mergeCell ref="A30:A31"/>
    <mergeCell ref="B35:B39"/>
    <mergeCell ref="B41:B43"/>
    <mergeCell ref="B44:B45"/>
    <mergeCell ref="A51:A54"/>
    <mergeCell ref="C51:C53"/>
    <mergeCell ref="AA7:AA8"/>
    <mergeCell ref="AB7:AB8"/>
    <mergeCell ref="AC7:AC8"/>
    <mergeCell ref="AD7:AM7"/>
    <mergeCell ref="X7:X8"/>
    <mergeCell ref="Y7:Y8"/>
    <mergeCell ref="Z7:Z8"/>
    <mergeCell ref="B25:B27"/>
    <mergeCell ref="B28:B31"/>
    <mergeCell ref="U7:U8"/>
    <mergeCell ref="V7:V8"/>
    <mergeCell ref="W7:W8"/>
    <mergeCell ref="I7:I8"/>
    <mergeCell ref="J7:P7"/>
    <mergeCell ref="Q7:Q8"/>
    <mergeCell ref="R7:R8"/>
    <mergeCell ref="S7:S8"/>
    <mergeCell ref="T7:T8"/>
    <mergeCell ref="A5:A8"/>
    <mergeCell ref="B5:B8"/>
    <mergeCell ref="C5:C8"/>
    <mergeCell ref="D5:AM5"/>
    <mergeCell ref="D6:D8"/>
    <mergeCell ref="E6:E8"/>
    <mergeCell ref="F6:F8"/>
    <mergeCell ref="G6:AM6"/>
    <mergeCell ref="G7:G8"/>
    <mergeCell ref="H7:H8"/>
  </mergeCells>
  <pageMargins left="0.15748031496062992" right="0.19685039370078741" top="0.31496062992125984" bottom="0.15748031496062992" header="0.19685039370078741" footer="0.15748031496062992"/>
  <pageSetup paperSize="8" scale="27" orientation="landscape" r:id="rId1"/>
  <rowBreaks count="1" manualBreakCount="1">
    <brk id="34" max="17" man="1"/>
  </rowBreaks>
  <legacy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W90"/>
  <sheetViews>
    <sheetView topLeftCell="A62" workbookViewId="0">
      <selection activeCell="G96" sqref="G96"/>
    </sheetView>
  </sheetViews>
  <sheetFormatPr defaultColWidth="9.140625" defaultRowHeight="15" x14ac:dyDescent="0.25"/>
  <cols>
    <col min="1" max="1" width="9.140625" style="165"/>
    <col min="2" max="2" width="51.140625" style="245" customWidth="1"/>
    <col min="3" max="3" width="15.140625" style="167" customWidth="1"/>
    <col min="4" max="4" width="17" style="168" customWidth="1"/>
    <col min="5" max="5" width="13.85546875" style="167" customWidth="1"/>
    <col min="6" max="6" width="13.7109375" style="169" customWidth="1"/>
    <col min="7" max="7" width="17.85546875" style="169" customWidth="1"/>
    <col min="8" max="8" width="14.28515625" style="169" customWidth="1"/>
    <col min="9" max="9" width="13.7109375" style="169" customWidth="1"/>
    <col min="10" max="10" width="18" style="169" customWidth="1"/>
    <col min="11" max="11" width="14.140625" style="169" customWidth="1"/>
    <col min="12" max="12" width="13.7109375" style="169" customWidth="1"/>
    <col min="13" max="13" width="18.7109375" style="169" customWidth="1"/>
    <col min="14" max="14" width="13.42578125" style="169" customWidth="1"/>
    <col min="15" max="15" width="10" style="164" bestFit="1" customWidth="1"/>
    <col min="16" max="16" width="18.7109375" style="164" hidden="1" customWidth="1"/>
    <col min="17" max="17" width="1.28515625" style="164" hidden="1" customWidth="1"/>
    <col min="18" max="16384" width="9.140625" style="164"/>
  </cols>
  <sheetData>
    <row r="1" spans="1:17" ht="33.75" customHeight="1" x14ac:dyDescent="0.25">
      <c r="A1" s="1660" t="s">
        <v>254</v>
      </c>
      <c r="B1" s="1660"/>
      <c r="C1" s="1660"/>
      <c r="D1" s="1660"/>
      <c r="E1" s="1660"/>
      <c r="F1" s="1660"/>
      <c r="G1" s="1660"/>
      <c r="H1" s="1660"/>
      <c r="I1" s="1660"/>
      <c r="J1" s="1660"/>
      <c r="K1" s="1660"/>
      <c r="L1" s="1660"/>
      <c r="M1" s="1660"/>
      <c r="N1" s="1660"/>
    </row>
    <row r="2" spans="1:17" ht="15.75" customHeight="1" x14ac:dyDescent="0.25">
      <c r="B2" s="166"/>
    </row>
    <row r="3" spans="1:17" ht="18" customHeight="1" x14ac:dyDescent="0.25">
      <c r="A3" s="1661" t="s">
        <v>255</v>
      </c>
      <c r="B3" s="1664" t="s">
        <v>256</v>
      </c>
      <c r="C3" s="1656" t="s">
        <v>257</v>
      </c>
      <c r="D3" s="1657"/>
      <c r="E3" s="1658"/>
      <c r="F3" s="1655" t="s">
        <v>258</v>
      </c>
      <c r="G3" s="1655"/>
      <c r="H3" s="1655"/>
      <c r="I3" s="1655" t="s">
        <v>259</v>
      </c>
      <c r="J3" s="1655"/>
      <c r="K3" s="1655"/>
      <c r="L3" s="1655" t="s">
        <v>260</v>
      </c>
      <c r="M3" s="1655"/>
      <c r="N3" s="1655"/>
    </row>
    <row r="4" spans="1:17" ht="20.25" customHeight="1" x14ac:dyDescent="0.25">
      <c r="A4" s="1662"/>
      <c r="B4" s="1665"/>
      <c r="C4" s="1656" t="s">
        <v>261</v>
      </c>
      <c r="D4" s="1657"/>
      <c r="E4" s="1658"/>
      <c r="F4" s="1659" t="s">
        <v>261</v>
      </c>
      <c r="G4" s="1659"/>
      <c r="H4" s="1659"/>
      <c r="I4" s="1659" t="s">
        <v>261</v>
      </c>
      <c r="J4" s="1659"/>
      <c r="K4" s="1659"/>
      <c r="L4" s="1659" t="s">
        <v>261</v>
      </c>
      <c r="M4" s="1659"/>
      <c r="N4" s="1659"/>
    </row>
    <row r="5" spans="1:17" s="171" customFormat="1" ht="15.75" x14ac:dyDescent="0.25">
      <c r="A5" s="1662"/>
      <c r="B5" s="1665"/>
      <c r="C5" s="170" t="s">
        <v>262</v>
      </c>
      <c r="D5" s="1667">
        <v>39074</v>
      </c>
      <c r="E5" s="1668"/>
      <c r="F5" s="170" t="s">
        <v>262</v>
      </c>
      <c r="G5" s="1645">
        <v>39074</v>
      </c>
      <c r="H5" s="1645"/>
      <c r="I5" s="170" t="s">
        <v>262</v>
      </c>
      <c r="J5" s="1645">
        <v>39074</v>
      </c>
      <c r="K5" s="1645"/>
      <c r="L5" s="170" t="s">
        <v>262</v>
      </c>
      <c r="M5" s="1645">
        <v>39074</v>
      </c>
      <c r="N5" s="1645"/>
    </row>
    <row r="6" spans="1:17" s="171" customFormat="1" x14ac:dyDescent="0.25">
      <c r="A6" s="1663"/>
      <c r="B6" s="1666"/>
      <c r="C6" s="1646" t="s">
        <v>263</v>
      </c>
      <c r="D6" s="1647"/>
      <c r="E6" s="172" t="s">
        <v>264</v>
      </c>
      <c r="F6" s="1648" t="s">
        <v>263</v>
      </c>
      <c r="G6" s="1648"/>
      <c r="H6" s="172" t="s">
        <v>264</v>
      </c>
      <c r="I6" s="1648" t="s">
        <v>263</v>
      </c>
      <c r="J6" s="1648"/>
      <c r="K6" s="172" t="s">
        <v>264</v>
      </c>
      <c r="L6" s="1648" t="s">
        <v>263</v>
      </c>
      <c r="M6" s="1648"/>
      <c r="N6" s="172" t="s">
        <v>264</v>
      </c>
    </row>
    <row r="7" spans="1:17" ht="21.75" customHeight="1" x14ac:dyDescent="0.25">
      <c r="A7" s="173">
        <v>1</v>
      </c>
      <c r="B7" s="1625" t="s">
        <v>265</v>
      </c>
      <c r="C7" s="1626"/>
      <c r="D7" s="1626"/>
      <c r="E7" s="1626"/>
      <c r="F7" s="1626"/>
      <c r="G7" s="1626"/>
      <c r="H7" s="1626"/>
      <c r="I7" s="1626"/>
      <c r="J7" s="1626"/>
      <c r="K7" s="1626"/>
      <c r="L7" s="1626"/>
      <c r="M7" s="1626"/>
      <c r="N7" s="1627"/>
    </row>
    <row r="8" spans="1:17" ht="24.75" customHeight="1" x14ac:dyDescent="0.25">
      <c r="A8" s="174" t="s">
        <v>266</v>
      </c>
      <c r="B8" s="1622" t="s">
        <v>267</v>
      </c>
      <c r="C8" s="1623"/>
      <c r="D8" s="1623"/>
      <c r="E8" s="1623"/>
      <c r="F8" s="1623"/>
      <c r="G8" s="1623"/>
      <c r="H8" s="1623"/>
      <c r="I8" s="1623"/>
      <c r="J8" s="1623"/>
      <c r="K8" s="1623"/>
      <c r="L8" s="1623"/>
      <c r="M8" s="1623"/>
      <c r="N8" s="1624"/>
      <c r="P8" s="171" t="s">
        <v>268</v>
      </c>
      <c r="Q8" s="171" t="s">
        <v>269</v>
      </c>
    </row>
    <row r="9" spans="1:17" ht="45" x14ac:dyDescent="0.25">
      <c r="A9" s="175" t="s">
        <v>270</v>
      </c>
      <c r="B9" s="176" t="s">
        <v>271</v>
      </c>
      <c r="C9" s="177">
        <v>855.56709999999998</v>
      </c>
      <c r="D9" s="178">
        <f>C9*D5</f>
        <v>33430428.865399998</v>
      </c>
      <c r="E9" s="179">
        <f>D9/1000</f>
        <v>33430.428865399997</v>
      </c>
      <c r="F9" s="177">
        <f>G9/G5</f>
        <v>889.78973281465949</v>
      </c>
      <c r="G9" s="178">
        <v>34767644.020000003</v>
      </c>
      <c r="H9" s="179">
        <f>G9/1000</f>
        <v>34767.64402</v>
      </c>
      <c r="I9" s="177">
        <f>F9*1.01</f>
        <v>898.68763014280614</v>
      </c>
      <c r="J9" s="178">
        <f>I9*J5</f>
        <v>35115320.460200004</v>
      </c>
      <c r="K9" s="178">
        <f>J9/1000</f>
        <v>35115.320460200004</v>
      </c>
      <c r="L9" s="177">
        <f>M9/M5</f>
        <v>934.63513534851847</v>
      </c>
      <c r="M9" s="178">
        <f>Q12</f>
        <v>36519933.278608009</v>
      </c>
      <c r="N9" s="178">
        <f>M9/1000</f>
        <v>36519.933278608012</v>
      </c>
      <c r="P9" s="180">
        <f>G9/12*3*1.04</f>
        <v>9039587.4452000018</v>
      </c>
      <c r="Q9" s="180">
        <f>P9/3*12</f>
        <v>36158349.780800007</v>
      </c>
    </row>
    <row r="10" spans="1:17" x14ac:dyDescent="0.25">
      <c r="A10" s="175" t="s">
        <v>272</v>
      </c>
      <c r="B10" s="176" t="s">
        <v>235</v>
      </c>
      <c r="C10" s="177">
        <f>D10/D5</f>
        <v>524.90893842452783</v>
      </c>
      <c r="D10" s="178">
        <v>20510291.859999999</v>
      </c>
      <c r="E10" s="179">
        <f>D10/1000</f>
        <v>20510.291860000001</v>
      </c>
      <c r="F10" s="177">
        <f>G10/G5</f>
        <v>1124.7653170906485</v>
      </c>
      <c r="G10" s="178">
        <v>43949080</v>
      </c>
      <c r="H10" s="179">
        <f>G10/1000</f>
        <v>43949.08</v>
      </c>
      <c r="I10" s="177">
        <f>J10/J5</f>
        <v>1089.6887956185699</v>
      </c>
      <c r="J10" s="178">
        <v>42578500</v>
      </c>
      <c r="K10" s="178">
        <f>J10/1000</f>
        <v>42578.5</v>
      </c>
      <c r="L10" s="177">
        <f>M10/M5</f>
        <v>1090.9348927675692</v>
      </c>
      <c r="M10" s="178">
        <v>42627190</v>
      </c>
      <c r="N10" s="178">
        <f>M10/1000</f>
        <v>42627.19</v>
      </c>
      <c r="P10" s="181"/>
      <c r="Q10" s="180"/>
    </row>
    <row r="11" spans="1:17" s="186" customFormat="1" ht="14.25" x14ac:dyDescent="0.2">
      <c r="A11" s="182"/>
      <c r="B11" s="183" t="s">
        <v>273</v>
      </c>
      <c r="C11" s="184">
        <f>SUM(C9:C10)</f>
        <v>1380.4760384245278</v>
      </c>
      <c r="D11" s="185">
        <f t="shared" ref="D11:N11" si="0">SUM(D9:D10)</f>
        <v>53940720.725400001</v>
      </c>
      <c r="E11" s="185">
        <f t="shared" si="0"/>
        <v>53940.720725399995</v>
      </c>
      <c r="F11" s="184">
        <f t="shared" si="0"/>
        <v>2014.5550499053079</v>
      </c>
      <c r="G11" s="185">
        <f t="shared" si="0"/>
        <v>78716724.020000011</v>
      </c>
      <c r="H11" s="185">
        <f t="shared" si="0"/>
        <v>78716.724019999994</v>
      </c>
      <c r="I11" s="184">
        <f>SUM(I9:I10)</f>
        <v>1988.3764257613761</v>
      </c>
      <c r="J11" s="185">
        <f t="shared" si="0"/>
        <v>77693820.460200012</v>
      </c>
      <c r="K11" s="185">
        <f t="shared" si="0"/>
        <v>77693.820460200004</v>
      </c>
      <c r="L11" s="184">
        <f t="shared" si="0"/>
        <v>2025.5700281160875</v>
      </c>
      <c r="M11" s="185">
        <f t="shared" si="0"/>
        <v>79147123.278608009</v>
      </c>
      <c r="N11" s="185">
        <f t="shared" si="0"/>
        <v>79147.123278608022</v>
      </c>
      <c r="P11" s="187"/>
      <c r="Q11" s="188"/>
    </row>
    <row r="12" spans="1:17" ht="21" customHeight="1" x14ac:dyDescent="0.25">
      <c r="A12" s="175" t="s">
        <v>274</v>
      </c>
      <c r="B12" s="176" t="s">
        <v>275</v>
      </c>
      <c r="C12" s="177">
        <v>258.38119999999998</v>
      </c>
      <c r="D12" s="178">
        <f>C12*D5</f>
        <v>10095987.0088</v>
      </c>
      <c r="E12" s="179">
        <f t="shared" ref="E12:E27" si="1">D12/1000</f>
        <v>10095.987008800001</v>
      </c>
      <c r="F12" s="177">
        <f>G12/G5</f>
        <v>268.71649920663356</v>
      </c>
      <c r="G12" s="178">
        <v>10499828.49</v>
      </c>
      <c r="H12" s="179">
        <f>G12/1000</f>
        <v>10499.82849</v>
      </c>
      <c r="I12" s="177">
        <f>F12*1.01</f>
        <v>271.40366419869991</v>
      </c>
      <c r="J12" s="178">
        <f>I12*J5</f>
        <v>10604826.774900001</v>
      </c>
      <c r="K12" s="178">
        <f>J12/1000</f>
        <v>10604.826774900001</v>
      </c>
      <c r="L12" s="177">
        <f>M12/M5</f>
        <v>282.25981087525253</v>
      </c>
      <c r="M12" s="178">
        <f>M9*30.2%</f>
        <v>11029019.850139618</v>
      </c>
      <c r="N12" s="178">
        <f>M12/1000</f>
        <v>11029.019850139617</v>
      </c>
      <c r="Q12" s="188">
        <f>(Q9/12*9)+(Q9/12*3*1.04)</f>
        <v>36519933.278608009</v>
      </c>
    </row>
    <row r="13" spans="1:17" ht="21" customHeight="1" x14ac:dyDescent="0.25">
      <c r="A13" s="175" t="s">
        <v>276</v>
      </c>
      <c r="B13" s="176" t="s">
        <v>277</v>
      </c>
      <c r="C13" s="177">
        <f>D13/D5</f>
        <v>158.52249936018836</v>
      </c>
      <c r="D13" s="178">
        <v>6194108.1399999997</v>
      </c>
      <c r="E13" s="179">
        <f t="shared" si="1"/>
        <v>6194.1081399999994</v>
      </c>
      <c r="F13" s="177">
        <f>G13/G5</f>
        <v>339.67907048165023</v>
      </c>
      <c r="G13" s="178">
        <v>13272620</v>
      </c>
      <c r="H13" s="179">
        <f>G13/1000</f>
        <v>13272.62</v>
      </c>
      <c r="I13" s="177">
        <f>J13/J5</f>
        <v>329.08583712954908</v>
      </c>
      <c r="J13" s="178">
        <v>12858700</v>
      </c>
      <c r="K13" s="178">
        <f>J13/1000</f>
        <v>12858.7</v>
      </c>
      <c r="L13" s="177">
        <f>M13/M5</f>
        <v>329.46230229820338</v>
      </c>
      <c r="M13" s="178">
        <v>12873410</v>
      </c>
      <c r="N13" s="178">
        <f>M13/1000</f>
        <v>12873.41</v>
      </c>
      <c r="Q13" s="187"/>
    </row>
    <row r="14" spans="1:17" s="186" customFormat="1" ht="21" customHeight="1" x14ac:dyDescent="0.2">
      <c r="A14" s="182"/>
      <c r="B14" s="183" t="s">
        <v>278</v>
      </c>
      <c r="C14" s="184">
        <f>SUM(C12:C13)</f>
        <v>416.90369936018834</v>
      </c>
      <c r="D14" s="185">
        <f t="shared" ref="D14:N14" si="2">SUM(D12:D13)</f>
        <v>16290095.148800001</v>
      </c>
      <c r="E14" s="185">
        <f t="shared" si="2"/>
        <v>16290.095148799999</v>
      </c>
      <c r="F14" s="184">
        <f>SUM(F12:F13)</f>
        <v>608.39556968828379</v>
      </c>
      <c r="G14" s="185">
        <f t="shared" si="2"/>
        <v>23772448.490000002</v>
      </c>
      <c r="H14" s="185">
        <f t="shared" si="2"/>
        <v>23772.448490000002</v>
      </c>
      <c r="I14" s="184">
        <f>SUM(I12:I13)</f>
        <v>600.48950132824893</v>
      </c>
      <c r="J14" s="185">
        <f t="shared" si="2"/>
        <v>23463526.774900001</v>
      </c>
      <c r="K14" s="185">
        <f t="shared" si="2"/>
        <v>23463.526774900001</v>
      </c>
      <c r="L14" s="184">
        <f>SUM(L12:L13)</f>
        <v>611.72211317345591</v>
      </c>
      <c r="M14" s="185">
        <f t="shared" si="2"/>
        <v>23902429.850139618</v>
      </c>
      <c r="N14" s="185">
        <f t="shared" si="2"/>
        <v>23902.429850139619</v>
      </c>
      <c r="Q14" s="187"/>
    </row>
    <row r="15" spans="1:17" ht="15.75" customHeight="1" x14ac:dyDescent="0.25">
      <c r="A15" s="189"/>
      <c r="B15" s="190" t="s">
        <v>279</v>
      </c>
      <c r="C15" s="191">
        <f>C11+C14</f>
        <v>1797.3797377847161</v>
      </c>
      <c r="D15" s="192">
        <f>D11+D14</f>
        <v>70230815.874200001</v>
      </c>
      <c r="E15" s="193">
        <f t="shared" si="1"/>
        <v>70230.815874199994</v>
      </c>
      <c r="F15" s="191">
        <f>F11+F14</f>
        <v>2622.9506195935919</v>
      </c>
      <c r="G15" s="192">
        <f>G11+G14</f>
        <v>102489172.51000002</v>
      </c>
      <c r="H15" s="193">
        <f>G15/1000</f>
        <v>102489.17251000002</v>
      </c>
      <c r="I15" s="191">
        <f>I11+I14</f>
        <v>2588.8659270896251</v>
      </c>
      <c r="J15" s="192">
        <f>J11+J14</f>
        <v>101157347.23510002</v>
      </c>
      <c r="K15" s="193">
        <f t="shared" ref="K15:K27" si="3">J15/1000</f>
        <v>101157.34723510001</v>
      </c>
      <c r="L15" s="191">
        <f>L11+L14</f>
        <v>2637.2921412895435</v>
      </c>
      <c r="M15" s="192">
        <f>M11+M14</f>
        <v>103049553.12874763</v>
      </c>
      <c r="N15" s="193">
        <f>M15/1000</f>
        <v>103049.55312874763</v>
      </c>
    </row>
    <row r="16" spans="1:17" ht="33.75" customHeight="1" x14ac:dyDescent="0.25">
      <c r="A16" s="174" t="s">
        <v>280</v>
      </c>
      <c r="B16" s="1622" t="s">
        <v>281</v>
      </c>
      <c r="C16" s="1623"/>
      <c r="D16" s="1623"/>
      <c r="E16" s="1623"/>
      <c r="F16" s="1623"/>
      <c r="G16" s="1623"/>
      <c r="H16" s="1623"/>
      <c r="I16" s="1623"/>
      <c r="J16" s="1623"/>
      <c r="K16" s="1623">
        <f t="shared" si="3"/>
        <v>0</v>
      </c>
      <c r="L16" s="1623"/>
      <c r="M16" s="1623"/>
      <c r="N16" s="1624"/>
    </row>
    <row r="17" spans="1:23" ht="15.75" customHeight="1" x14ac:dyDescent="0.25">
      <c r="A17" s="175" t="s">
        <v>274</v>
      </c>
      <c r="B17" s="194" t="s">
        <v>282</v>
      </c>
      <c r="C17" s="195">
        <f>D17/D5</f>
        <v>328</v>
      </c>
      <c r="D17" s="180">
        <v>12816272</v>
      </c>
      <c r="E17" s="196">
        <f t="shared" si="1"/>
        <v>12816.272000000001</v>
      </c>
      <c r="F17" s="232">
        <f>G17/G5</f>
        <v>410</v>
      </c>
      <c r="G17" s="180">
        <f>410*D5</f>
        <v>16020340</v>
      </c>
      <c r="H17" s="196">
        <f t="shared" ref="H17:H62" si="4">G17/1000</f>
        <v>16020.34</v>
      </c>
      <c r="I17" s="197"/>
      <c r="J17" s="180">
        <v>12631608</v>
      </c>
      <c r="K17" s="180">
        <f t="shared" si="3"/>
        <v>12631.608</v>
      </c>
      <c r="L17" s="197"/>
      <c r="M17" s="180">
        <v>12816272</v>
      </c>
      <c r="N17" s="180">
        <f t="shared" ref="N17:N27" si="5">M17/1000</f>
        <v>12816.272000000001</v>
      </c>
    </row>
    <row r="18" spans="1:23" ht="15.75" customHeight="1" x14ac:dyDescent="0.25">
      <c r="A18" s="175" t="s">
        <v>276</v>
      </c>
      <c r="B18" s="194" t="s">
        <v>283</v>
      </c>
      <c r="C18" s="195">
        <f>D18/D5</f>
        <v>59.941907662384196</v>
      </c>
      <c r="D18" s="180">
        <v>2342170.1</v>
      </c>
      <c r="E18" s="196">
        <f t="shared" si="1"/>
        <v>2342.1701000000003</v>
      </c>
      <c r="F18" s="232">
        <f>G18/G5</f>
        <v>58.743069509136504</v>
      </c>
      <c r="G18" s="180">
        <f>D18*0.98</f>
        <v>2295326.6979999999</v>
      </c>
      <c r="H18" s="198">
        <f t="shared" si="4"/>
        <v>2295.3266979999999</v>
      </c>
      <c r="I18" s="197"/>
      <c r="J18" s="180">
        <v>2252957.2736</v>
      </c>
      <c r="K18" s="180">
        <f t="shared" si="3"/>
        <v>2252.9572736</v>
      </c>
      <c r="L18" s="197"/>
      <c r="M18" s="180">
        <v>2342170.1</v>
      </c>
      <c r="N18" s="180">
        <f t="shared" si="5"/>
        <v>2342.1701000000003</v>
      </c>
    </row>
    <row r="19" spans="1:23" ht="15.75" customHeight="1" x14ac:dyDescent="0.25">
      <c r="A19" s="175" t="s">
        <v>284</v>
      </c>
      <c r="B19" s="194" t="s">
        <v>285</v>
      </c>
      <c r="C19" s="195">
        <f>D19/D5</f>
        <v>36.087042790602446</v>
      </c>
      <c r="D19" s="180">
        <v>1410065.11</v>
      </c>
      <c r="E19" s="196">
        <f t="shared" si="1"/>
        <v>1410.06511</v>
      </c>
      <c r="F19" s="232">
        <f>G19/G5</f>
        <v>28.869634232481964</v>
      </c>
      <c r="G19" s="180">
        <f>D19*0.8</f>
        <v>1128052.0880000002</v>
      </c>
      <c r="H19" s="198">
        <f t="shared" si="4"/>
        <v>1128.0520880000001</v>
      </c>
      <c r="I19" s="197"/>
      <c r="J19" s="180">
        <v>1389760.2572999999</v>
      </c>
      <c r="K19" s="180">
        <f t="shared" si="3"/>
        <v>1389.7602572999999</v>
      </c>
      <c r="L19" s="197"/>
      <c r="M19" s="180">
        <v>1410065.11</v>
      </c>
      <c r="N19" s="180">
        <f t="shared" si="5"/>
        <v>1410.06511</v>
      </c>
    </row>
    <row r="20" spans="1:23" ht="15.75" customHeight="1" x14ac:dyDescent="0.25">
      <c r="A20" s="199"/>
      <c r="B20" s="200" t="s">
        <v>286</v>
      </c>
      <c r="C20" s="201">
        <f>ROUND(D20/$D$5,4)</f>
        <v>424.029</v>
      </c>
      <c r="D20" s="188">
        <f>SUM(D17:D19)</f>
        <v>16568507.209999999</v>
      </c>
      <c r="E20" s="202">
        <f t="shared" si="1"/>
        <v>16568.50721</v>
      </c>
      <c r="F20" s="201">
        <f>G20/G5</f>
        <v>497.61270374161842</v>
      </c>
      <c r="G20" s="188">
        <f>SUM(G17:G19)</f>
        <v>19443718.785999998</v>
      </c>
      <c r="H20" s="198">
        <f t="shared" si="4"/>
        <v>19443.718785999998</v>
      </c>
      <c r="I20" s="201">
        <f t="shared" ref="I20:I25" si="6">J20/$J$5</f>
        <v>416.50011595690233</v>
      </c>
      <c r="J20" s="188">
        <f>SUM(J17:J19)</f>
        <v>16274325.530900002</v>
      </c>
      <c r="K20" s="188">
        <f t="shared" si="3"/>
        <v>16274.325530900001</v>
      </c>
      <c r="L20" s="201">
        <f>M20/$M$5</f>
        <v>424.02895045298663</v>
      </c>
      <c r="M20" s="188">
        <f>SUM(M17:M19)</f>
        <v>16568507.209999999</v>
      </c>
      <c r="N20" s="188">
        <f t="shared" si="5"/>
        <v>16568.50721</v>
      </c>
    </row>
    <row r="21" spans="1:23" ht="15.75" hidden="1" customHeight="1" x14ac:dyDescent="0.25">
      <c r="A21" s="199"/>
      <c r="B21" s="200"/>
      <c r="C21" s="203">
        <f>D21/$D$5</f>
        <v>446.93952171199879</v>
      </c>
      <c r="D21" s="188">
        <v>17463714.871374641</v>
      </c>
      <c r="E21" s="202">
        <f t="shared" si="1"/>
        <v>17463.714871374639</v>
      </c>
      <c r="F21" s="203">
        <f>G21/$D$5</f>
        <v>520.06479774161846</v>
      </c>
      <c r="G21" s="188">
        <f>G20+G24</f>
        <v>20321011.906955998</v>
      </c>
      <c r="H21" s="204">
        <f t="shared" si="4"/>
        <v>20321.011906955999</v>
      </c>
      <c r="I21" s="203">
        <f t="shared" si="6"/>
        <v>0</v>
      </c>
      <c r="J21" s="188"/>
      <c r="K21" s="188">
        <f t="shared" si="3"/>
        <v>0</v>
      </c>
      <c r="L21" s="203">
        <f>M21/$J$5</f>
        <v>0</v>
      </c>
      <c r="M21" s="188"/>
      <c r="N21" s="188">
        <f t="shared" si="5"/>
        <v>0</v>
      </c>
    </row>
    <row r="22" spans="1:23" ht="15.75" customHeight="1" x14ac:dyDescent="0.25">
      <c r="A22" s="175" t="s">
        <v>287</v>
      </c>
      <c r="B22" s="194" t="s">
        <v>288</v>
      </c>
      <c r="C22" s="203">
        <f>ROUND(D22/$D$5,4)</f>
        <v>0</v>
      </c>
      <c r="D22" s="205"/>
      <c r="E22" s="195">
        <f t="shared" si="1"/>
        <v>0</v>
      </c>
      <c r="F22" s="203"/>
      <c r="G22" s="205"/>
      <c r="H22" s="197">
        <f t="shared" si="4"/>
        <v>0</v>
      </c>
      <c r="I22" s="203">
        <f t="shared" si="6"/>
        <v>0</v>
      </c>
      <c r="J22" s="205"/>
      <c r="K22" s="205">
        <f t="shared" si="3"/>
        <v>0</v>
      </c>
      <c r="L22" s="203">
        <f>M22/$M$5</f>
        <v>0</v>
      </c>
      <c r="M22" s="205"/>
      <c r="N22" s="205">
        <f t="shared" si="5"/>
        <v>0</v>
      </c>
    </row>
    <row r="23" spans="1:23" ht="30" customHeight="1" x14ac:dyDescent="0.25">
      <c r="A23" s="175" t="s">
        <v>289</v>
      </c>
      <c r="B23" s="194" t="s">
        <v>290</v>
      </c>
      <c r="C23" s="177">
        <f>ROUND(D23/$D$5,4)</f>
        <v>58.831299999999999</v>
      </c>
      <c r="D23" s="178">
        <v>2298774.2162000001</v>
      </c>
      <c r="E23" s="179">
        <f>D23/1000</f>
        <v>2298.7742162</v>
      </c>
      <c r="F23" s="177">
        <f>G23/G5</f>
        <v>57.654674000000007</v>
      </c>
      <c r="G23" s="178">
        <f>D23*0.98</f>
        <v>2252798.7318760003</v>
      </c>
      <c r="H23" s="206">
        <f>G23/1000</f>
        <v>2252.7987318760001</v>
      </c>
      <c r="I23" s="177">
        <f t="shared" si="6"/>
        <v>58.831300000000006</v>
      </c>
      <c r="J23" s="178">
        <v>2298774.2162000001</v>
      </c>
      <c r="K23" s="178">
        <f>J23/1000</f>
        <v>2298.7742162</v>
      </c>
      <c r="L23" s="177">
        <f>M23/$M$5</f>
        <v>58.831300000000006</v>
      </c>
      <c r="M23" s="178">
        <v>2298774.2162000001</v>
      </c>
      <c r="N23" s="178">
        <f t="shared" si="5"/>
        <v>2298.7742162</v>
      </c>
    </row>
    <row r="24" spans="1:23" ht="15.75" customHeight="1" x14ac:dyDescent="0.25">
      <c r="A24" s="175" t="s">
        <v>291</v>
      </c>
      <c r="B24" s="194" t="s">
        <v>292</v>
      </c>
      <c r="C24" s="203">
        <f>ROUND(D24/$D$5,4)</f>
        <v>22.910299999999999</v>
      </c>
      <c r="D24" s="180">
        <v>895197.06219999993</v>
      </c>
      <c r="E24" s="196">
        <f t="shared" si="1"/>
        <v>895.19706219999989</v>
      </c>
      <c r="F24" s="203">
        <f>G24/$G$5</f>
        <v>22.452093999999999</v>
      </c>
      <c r="G24" s="180">
        <f>D24*0.98</f>
        <v>877293.12095599994</v>
      </c>
      <c r="H24" s="198">
        <f t="shared" si="4"/>
        <v>877.29312095599994</v>
      </c>
      <c r="I24" s="203">
        <f t="shared" si="6"/>
        <v>22.910299999999999</v>
      </c>
      <c r="J24" s="180">
        <v>895197.06219999993</v>
      </c>
      <c r="K24" s="180">
        <f t="shared" si="3"/>
        <v>895.19706219999989</v>
      </c>
      <c r="L24" s="203">
        <f>M24/$M$5</f>
        <v>22.910299999999999</v>
      </c>
      <c r="M24" s="180">
        <v>895197.06219999993</v>
      </c>
      <c r="N24" s="180">
        <f t="shared" si="5"/>
        <v>895.19706219999989</v>
      </c>
    </row>
    <row r="25" spans="1:23" s="186" customFormat="1" ht="15.75" customHeight="1" x14ac:dyDescent="0.2">
      <c r="A25" s="175"/>
      <c r="B25" s="200" t="s">
        <v>293</v>
      </c>
      <c r="C25" s="203">
        <f>ROUND(D25/$D$5,4)</f>
        <v>81.741600000000005</v>
      </c>
      <c r="D25" s="188">
        <f>SUM(D23:D24)</f>
        <v>3193971.2784000002</v>
      </c>
      <c r="E25" s="202">
        <f t="shared" si="1"/>
        <v>3193.9712784000003</v>
      </c>
      <c r="F25" s="203">
        <f>G25/$G$5</f>
        <v>80.106768000000002</v>
      </c>
      <c r="G25" s="188">
        <f>SUM(G23:G24)</f>
        <v>3130091.8528320002</v>
      </c>
      <c r="H25" s="207">
        <f t="shared" si="4"/>
        <v>3130.0918528320003</v>
      </c>
      <c r="I25" s="203">
        <f t="shared" si="6"/>
        <v>81.741600000000005</v>
      </c>
      <c r="J25" s="188">
        <f>SUM(J23:J24)</f>
        <v>3193971.2784000002</v>
      </c>
      <c r="K25" s="188">
        <f t="shared" si="3"/>
        <v>3193.9712784000003</v>
      </c>
      <c r="L25" s="203">
        <f>M25/$M$5</f>
        <v>81.741600000000005</v>
      </c>
      <c r="M25" s="188">
        <f>SUM(M23:M24)</f>
        <v>3193971.2784000002</v>
      </c>
      <c r="N25" s="188">
        <f t="shared" si="5"/>
        <v>3193.9712784000003</v>
      </c>
    </row>
    <row r="26" spans="1:23" s="213" customFormat="1" ht="15.75" customHeight="1" x14ac:dyDescent="0.25">
      <c r="A26" s="175"/>
      <c r="B26" s="208" t="s">
        <v>294</v>
      </c>
      <c r="C26" s="209">
        <f>C25+C20</f>
        <v>505.7706</v>
      </c>
      <c r="D26" s="210">
        <f>D20+D25</f>
        <v>19762478.488399997</v>
      </c>
      <c r="E26" s="211">
        <f>D26/1000</f>
        <v>19762.478488399996</v>
      </c>
      <c r="F26" s="212">
        <f>F20+F25</f>
        <v>577.71947174161846</v>
      </c>
      <c r="G26" s="210">
        <f>G20+G25</f>
        <v>22573810.638831999</v>
      </c>
      <c r="H26" s="211">
        <f t="shared" si="4"/>
        <v>22573.810638831997</v>
      </c>
      <c r="I26" s="209">
        <f>I25+I20</f>
        <v>498.24171595690234</v>
      </c>
      <c r="J26" s="210">
        <f>J20+J25</f>
        <v>19468296.809300002</v>
      </c>
      <c r="K26" s="210">
        <f t="shared" si="3"/>
        <v>19468.296809300002</v>
      </c>
      <c r="L26" s="209">
        <f>L25+L20</f>
        <v>505.77055045298664</v>
      </c>
      <c r="M26" s="210">
        <f>M20+M25</f>
        <v>19762478.488399997</v>
      </c>
      <c r="N26" s="210">
        <f t="shared" si="5"/>
        <v>19762.478488399996</v>
      </c>
    </row>
    <row r="27" spans="1:23" ht="15.75" customHeight="1" x14ac:dyDescent="0.25">
      <c r="A27" s="214"/>
      <c r="B27" s="215" t="s">
        <v>295</v>
      </c>
      <c r="C27" s="216">
        <f>C26+C15</f>
        <v>2303.1503377847162</v>
      </c>
      <c r="D27" s="215">
        <f>D15+D26</f>
        <v>89993294.362599999</v>
      </c>
      <c r="E27" s="217">
        <f t="shared" si="1"/>
        <v>89993.294362600005</v>
      </c>
      <c r="F27" s="216">
        <f>F26+F15</f>
        <v>3200.6700913352106</v>
      </c>
      <c r="G27" s="215">
        <f>G15+G26</f>
        <v>125062983.14883202</v>
      </c>
      <c r="H27" s="217">
        <f>G27/1000</f>
        <v>125062.98314883202</v>
      </c>
      <c r="I27" s="216">
        <f>I26+I15</f>
        <v>3087.1076430465273</v>
      </c>
      <c r="J27" s="215">
        <f>J15+J26</f>
        <v>120625644.04440002</v>
      </c>
      <c r="K27" s="215">
        <f t="shared" si="3"/>
        <v>120625.64404440002</v>
      </c>
      <c r="L27" s="216">
        <f>L26+L15</f>
        <v>3143.0626917425302</v>
      </c>
      <c r="M27" s="215">
        <f>M15+M26</f>
        <v>122812031.61714762</v>
      </c>
      <c r="N27" s="215">
        <f t="shared" si="5"/>
        <v>122812.03161714763</v>
      </c>
      <c r="O27" s="169"/>
      <c r="P27" s="169"/>
      <c r="Q27" s="169"/>
      <c r="R27" s="169"/>
      <c r="S27" s="169"/>
      <c r="T27" s="169"/>
      <c r="U27" s="169"/>
      <c r="V27" s="169"/>
      <c r="W27" s="169"/>
    </row>
    <row r="28" spans="1:23" s="219" customFormat="1" ht="18.75" customHeight="1" x14ac:dyDescent="0.25">
      <c r="A28" s="218" t="s">
        <v>296</v>
      </c>
      <c r="B28" s="1625" t="s">
        <v>297</v>
      </c>
      <c r="C28" s="1626"/>
      <c r="D28" s="1626"/>
      <c r="E28" s="1626"/>
      <c r="F28" s="1626"/>
      <c r="G28" s="1626"/>
      <c r="H28" s="1626"/>
      <c r="I28" s="1626"/>
      <c r="J28" s="1626"/>
      <c r="K28" s="1626"/>
      <c r="L28" s="1626"/>
      <c r="M28" s="1626"/>
      <c r="N28" s="1627"/>
      <c r="O28" s="169"/>
      <c r="P28" s="169"/>
      <c r="Q28" s="169"/>
      <c r="R28" s="169"/>
      <c r="S28" s="169"/>
      <c r="T28" s="169"/>
      <c r="U28" s="169"/>
      <c r="V28" s="169"/>
      <c r="W28" s="169"/>
    </row>
    <row r="29" spans="1:23" s="219" customFormat="1" ht="20.25" customHeight="1" x14ac:dyDescent="0.25">
      <c r="A29" s="175" t="s">
        <v>298</v>
      </c>
      <c r="B29" s="1622" t="s">
        <v>299</v>
      </c>
      <c r="C29" s="1623"/>
      <c r="D29" s="1623"/>
      <c r="E29" s="1623"/>
      <c r="F29" s="1623"/>
      <c r="G29" s="1623"/>
      <c r="H29" s="1623"/>
      <c r="I29" s="1623"/>
      <c r="J29" s="1623"/>
      <c r="K29" s="1623"/>
      <c r="L29" s="1623"/>
      <c r="M29" s="1623"/>
      <c r="N29" s="1624"/>
      <c r="O29" s="169"/>
      <c r="P29" s="169"/>
      <c r="Q29" s="169"/>
      <c r="R29" s="169"/>
      <c r="S29" s="169"/>
      <c r="T29" s="169"/>
      <c r="U29" s="169"/>
      <c r="V29" s="169"/>
      <c r="W29" s="169"/>
    </row>
    <row r="30" spans="1:23" s="219" customFormat="1" ht="15.75" customHeight="1" x14ac:dyDescent="0.25">
      <c r="A30" s="175" t="s">
        <v>300</v>
      </c>
      <c r="B30" s="194" t="s">
        <v>301</v>
      </c>
      <c r="C30" s="203">
        <f t="shared" ref="C30:C36" si="7">D30/$D$5</f>
        <v>110.11466883349543</v>
      </c>
      <c r="D30" s="180">
        <v>4302620.57</v>
      </c>
      <c r="E30" s="196">
        <f t="shared" ref="E30:E36" si="8">D30/1000</f>
        <v>4302.62057</v>
      </c>
      <c r="F30" s="220">
        <f t="shared" ref="F30:F36" si="9">G30/$G$5</f>
        <v>107.91253595741414</v>
      </c>
      <c r="G30" s="180">
        <v>4216574.43</v>
      </c>
      <c r="H30" s="198">
        <f t="shared" si="4"/>
        <v>4216.5744299999997</v>
      </c>
      <c r="I30" s="221">
        <f>J30/$J$5</f>
        <v>110.11466883349543</v>
      </c>
      <c r="J30" s="180">
        <v>4302620.57</v>
      </c>
      <c r="K30" s="180">
        <f t="shared" ref="K30:K40" si="10">J30/1000</f>
        <v>4302.62057</v>
      </c>
      <c r="L30" s="221">
        <f t="shared" ref="L30:L35" si="11">M30/$M$5</f>
        <v>110.11466883349543</v>
      </c>
      <c r="M30" s="180">
        <v>4302620.57</v>
      </c>
      <c r="N30" s="180">
        <f>M30/1000</f>
        <v>4302.62057</v>
      </c>
      <c r="O30" s="169"/>
      <c r="P30" s="169"/>
      <c r="Q30" s="169"/>
      <c r="R30" s="169"/>
      <c r="S30" s="169"/>
      <c r="T30" s="169"/>
      <c r="U30" s="169"/>
      <c r="V30" s="169"/>
      <c r="W30" s="169"/>
    </row>
    <row r="31" spans="1:23" s="219" customFormat="1" ht="15.75" customHeight="1" x14ac:dyDescent="0.25">
      <c r="A31" s="175" t="s">
        <v>302</v>
      </c>
      <c r="B31" s="194" t="s">
        <v>303</v>
      </c>
      <c r="C31" s="203">
        <f t="shared" si="7"/>
        <v>125.77523289143677</v>
      </c>
      <c r="D31" s="180">
        <v>4914541.45</v>
      </c>
      <c r="E31" s="196">
        <f t="shared" si="8"/>
        <v>4914.5414500000006</v>
      </c>
      <c r="F31" s="220">
        <f t="shared" si="9"/>
        <v>123.2596775349337</v>
      </c>
      <c r="G31" s="180">
        <v>4816248.6399999997</v>
      </c>
      <c r="H31" s="198">
        <f t="shared" si="4"/>
        <v>4816.2486399999998</v>
      </c>
      <c r="I31" s="221">
        <f>J31/$J$5</f>
        <v>125.77523289143677</v>
      </c>
      <c r="J31" s="180">
        <v>4914541.45</v>
      </c>
      <c r="K31" s="180">
        <f t="shared" si="10"/>
        <v>4914.5414500000006</v>
      </c>
      <c r="L31" s="221">
        <f t="shared" si="11"/>
        <v>125.77523289143677</v>
      </c>
      <c r="M31" s="180">
        <v>4914541.45</v>
      </c>
      <c r="N31" s="180">
        <f t="shared" ref="N31:N36" si="12">M31/1000</f>
        <v>4914.5414500000006</v>
      </c>
      <c r="O31" s="169"/>
      <c r="P31" s="169"/>
      <c r="Q31" s="169"/>
      <c r="R31" s="169"/>
      <c r="S31" s="169"/>
      <c r="T31" s="169"/>
      <c r="U31" s="169"/>
      <c r="V31" s="169"/>
      <c r="W31" s="169"/>
    </row>
    <row r="32" spans="1:23" s="219" customFormat="1" ht="30" x14ac:dyDescent="0.25">
      <c r="A32" s="175" t="s">
        <v>304</v>
      </c>
      <c r="B32" s="194" t="s">
        <v>305</v>
      </c>
      <c r="C32" s="203">
        <f t="shared" si="7"/>
        <v>0</v>
      </c>
      <c r="D32" s="180">
        <v>0</v>
      </c>
      <c r="E32" s="196">
        <f t="shared" si="8"/>
        <v>0</v>
      </c>
      <c r="F32" s="220">
        <f t="shared" si="9"/>
        <v>0</v>
      </c>
      <c r="G32" s="180">
        <v>0</v>
      </c>
      <c r="H32" s="198">
        <f>G32/1000</f>
        <v>0</v>
      </c>
      <c r="I32" s="221">
        <f>J32/$J$5</f>
        <v>0</v>
      </c>
      <c r="J32" s="180">
        <v>0</v>
      </c>
      <c r="K32" s="180">
        <f t="shared" si="10"/>
        <v>0</v>
      </c>
      <c r="L32" s="221">
        <f t="shared" si="11"/>
        <v>0</v>
      </c>
      <c r="M32" s="180">
        <v>0</v>
      </c>
      <c r="N32" s="180">
        <f>M32/1000</f>
        <v>0</v>
      </c>
      <c r="O32" s="169"/>
      <c r="P32" s="169"/>
      <c r="Q32" s="169"/>
      <c r="R32" s="169"/>
      <c r="S32" s="169"/>
      <c r="T32" s="169"/>
      <c r="U32" s="169"/>
      <c r="V32" s="169"/>
      <c r="W32" s="169"/>
    </row>
    <row r="33" spans="1:23" s="219" customFormat="1" ht="15.75" customHeight="1" x14ac:dyDescent="0.25">
      <c r="A33" s="175" t="s">
        <v>306</v>
      </c>
      <c r="B33" s="194" t="s">
        <v>307</v>
      </c>
      <c r="C33" s="203">
        <f t="shared" si="7"/>
        <v>0</v>
      </c>
      <c r="D33" s="180">
        <v>0</v>
      </c>
      <c r="E33" s="196">
        <f t="shared" si="8"/>
        <v>0</v>
      </c>
      <c r="F33" s="220">
        <f t="shared" si="9"/>
        <v>0</v>
      </c>
      <c r="G33" s="180">
        <v>0</v>
      </c>
      <c r="H33" s="198">
        <f>G33/1000</f>
        <v>0</v>
      </c>
      <c r="I33" s="221">
        <f>J33/$J$5</f>
        <v>0</v>
      </c>
      <c r="J33" s="180">
        <v>0</v>
      </c>
      <c r="K33" s="180">
        <f t="shared" si="10"/>
        <v>0</v>
      </c>
      <c r="L33" s="221">
        <f t="shared" si="11"/>
        <v>0</v>
      </c>
      <c r="M33" s="180">
        <v>0</v>
      </c>
      <c r="N33" s="180">
        <f>M33/1000</f>
        <v>0</v>
      </c>
      <c r="O33" s="169"/>
      <c r="P33" s="169"/>
      <c r="Q33" s="169"/>
      <c r="R33" s="169"/>
      <c r="S33" s="169"/>
      <c r="T33" s="169"/>
      <c r="U33" s="169"/>
      <c r="V33" s="169"/>
      <c r="W33" s="169"/>
    </row>
    <row r="34" spans="1:23" s="219" customFormat="1" ht="15.75" customHeight="1" x14ac:dyDescent="0.25">
      <c r="A34" s="175" t="s">
        <v>308</v>
      </c>
      <c r="B34" s="194" t="s">
        <v>309</v>
      </c>
      <c r="C34" s="203">
        <f t="shared" si="7"/>
        <v>0</v>
      </c>
      <c r="D34" s="180">
        <v>0</v>
      </c>
      <c r="E34" s="196">
        <f t="shared" si="8"/>
        <v>0</v>
      </c>
      <c r="F34" s="220">
        <f t="shared" si="9"/>
        <v>0</v>
      </c>
      <c r="G34" s="180">
        <v>0</v>
      </c>
      <c r="H34" s="198">
        <f>G34/1000</f>
        <v>0</v>
      </c>
      <c r="I34" s="221">
        <f>J34/$J$5</f>
        <v>0</v>
      </c>
      <c r="J34" s="180">
        <v>0</v>
      </c>
      <c r="K34" s="180">
        <f t="shared" si="10"/>
        <v>0</v>
      </c>
      <c r="L34" s="221">
        <f t="shared" si="11"/>
        <v>0</v>
      </c>
      <c r="M34" s="180">
        <v>0</v>
      </c>
      <c r="N34" s="180">
        <f>M34/1000</f>
        <v>0</v>
      </c>
      <c r="O34" s="169"/>
      <c r="P34" s="169"/>
      <c r="Q34" s="169"/>
      <c r="R34" s="169"/>
      <c r="S34" s="169"/>
      <c r="T34" s="169"/>
      <c r="U34" s="169"/>
      <c r="V34" s="169"/>
      <c r="W34" s="169"/>
    </row>
    <row r="35" spans="1:23" s="219" customFormat="1" ht="21" customHeight="1" x14ac:dyDescent="0.25">
      <c r="A35" s="175" t="s">
        <v>310</v>
      </c>
      <c r="B35" s="194" t="s">
        <v>311</v>
      </c>
      <c r="C35" s="203">
        <f t="shared" si="7"/>
        <v>29.662058913855763</v>
      </c>
      <c r="D35" s="180">
        <v>1159015.29</v>
      </c>
      <c r="E35" s="196">
        <f t="shared" si="8"/>
        <v>1159.01529</v>
      </c>
      <c r="F35" s="220">
        <f t="shared" si="9"/>
        <v>29.068707836412958</v>
      </c>
      <c r="G35" s="180">
        <v>1135830.69</v>
      </c>
      <c r="H35" s="222">
        <f t="shared" si="4"/>
        <v>1135.83069</v>
      </c>
      <c r="I35" s="223">
        <f>J35/J5</f>
        <v>29.662058913855763</v>
      </c>
      <c r="J35" s="180">
        <v>1159015.29</v>
      </c>
      <c r="K35" s="180">
        <f t="shared" si="10"/>
        <v>1159.01529</v>
      </c>
      <c r="L35" s="221">
        <f t="shared" si="11"/>
        <v>29.662058913855763</v>
      </c>
      <c r="M35" s="180">
        <v>1159015.29</v>
      </c>
      <c r="N35" s="180">
        <f t="shared" si="12"/>
        <v>1159.01529</v>
      </c>
      <c r="O35" s="169"/>
      <c r="P35" s="169"/>
      <c r="Q35" s="169"/>
      <c r="R35" s="169"/>
      <c r="S35" s="169"/>
      <c r="T35" s="169"/>
      <c r="U35" s="169"/>
      <c r="V35" s="169"/>
      <c r="W35" s="169"/>
    </row>
    <row r="36" spans="1:23" s="219" customFormat="1" ht="15.75" customHeight="1" x14ac:dyDescent="0.25">
      <c r="A36" s="175"/>
      <c r="B36" s="200" t="s">
        <v>312</v>
      </c>
      <c r="C36" s="209">
        <f t="shared" si="7"/>
        <v>265.55196063878793</v>
      </c>
      <c r="D36" s="224">
        <f>SUM(D30:D35)</f>
        <v>10376177.309999999</v>
      </c>
      <c r="E36" s="225">
        <f t="shared" si="8"/>
        <v>10376.177309999999</v>
      </c>
      <c r="F36" s="209">
        <f t="shared" si="9"/>
        <v>260.24092132876081</v>
      </c>
      <c r="G36" s="224">
        <f>SUM(G30:G35)</f>
        <v>10168653.76</v>
      </c>
      <c r="H36" s="225">
        <f t="shared" si="4"/>
        <v>10168.653759999999</v>
      </c>
      <c r="I36" s="209">
        <f>C36</f>
        <v>265.55196063878793</v>
      </c>
      <c r="J36" s="224">
        <f>SUM(J30:J35)</f>
        <v>10376177.309999999</v>
      </c>
      <c r="K36" s="224">
        <f t="shared" si="10"/>
        <v>10376.177309999999</v>
      </c>
      <c r="L36" s="209">
        <f>M36/M5</f>
        <v>265.55196063878793</v>
      </c>
      <c r="M36" s="224">
        <f>SUM(M30:M35)</f>
        <v>10376177.309999999</v>
      </c>
      <c r="N36" s="224">
        <f t="shared" si="12"/>
        <v>10376.177309999999</v>
      </c>
      <c r="O36" s="169"/>
      <c r="P36" s="169"/>
      <c r="Q36" s="169"/>
      <c r="R36" s="169"/>
      <c r="S36" s="169"/>
      <c r="T36" s="169"/>
      <c r="U36" s="169"/>
      <c r="V36" s="169"/>
      <c r="W36" s="169"/>
    </row>
    <row r="37" spans="1:23" ht="23.25" customHeight="1" x14ac:dyDescent="0.25">
      <c r="A37" s="218" t="s">
        <v>313</v>
      </c>
      <c r="B37" s="1622" t="s">
        <v>314</v>
      </c>
      <c r="C37" s="1623"/>
      <c r="D37" s="1623"/>
      <c r="E37" s="1623"/>
      <c r="F37" s="1623"/>
      <c r="G37" s="1623"/>
      <c r="H37" s="1623"/>
      <c r="I37" s="1623"/>
      <c r="J37" s="1623"/>
      <c r="K37" s="1623">
        <f t="shared" si="10"/>
        <v>0</v>
      </c>
      <c r="L37" s="1623"/>
      <c r="M37" s="1623"/>
      <c r="N37" s="1624"/>
    </row>
    <row r="38" spans="1:23" x14ac:dyDescent="0.25">
      <c r="A38" s="175" t="s">
        <v>315</v>
      </c>
      <c r="B38" s="226" t="s">
        <v>316</v>
      </c>
      <c r="C38" s="227">
        <f>D38/$D$5</f>
        <v>67.163957874801667</v>
      </c>
      <c r="D38" s="180">
        <v>2624364.4900000002</v>
      </c>
      <c r="E38" s="196">
        <f>D38/1000</f>
        <v>2624.3644900000004</v>
      </c>
      <c r="F38" s="203">
        <f>G38/$D$5</f>
        <v>65.82067871730564</v>
      </c>
      <c r="G38" s="180">
        <f>D38*0.98</f>
        <v>2571877.2002000003</v>
      </c>
      <c r="H38" s="196">
        <f>G38/1000</f>
        <v>2571.8772002000005</v>
      </c>
      <c r="I38" s="203">
        <f>J38/$J$5</f>
        <v>67.163957874801667</v>
      </c>
      <c r="J38" s="180">
        <v>2624364.4900000002</v>
      </c>
      <c r="K38" s="180">
        <f t="shared" si="10"/>
        <v>2624.3644900000004</v>
      </c>
      <c r="L38" s="203">
        <f>M38/$M$5</f>
        <v>67.163957874801667</v>
      </c>
      <c r="M38" s="180">
        <v>2624364.4900000002</v>
      </c>
      <c r="N38" s="180">
        <f>M38/1000</f>
        <v>2624.3644900000004</v>
      </c>
    </row>
    <row r="39" spans="1:23" x14ac:dyDescent="0.25">
      <c r="A39" s="175" t="s">
        <v>317</v>
      </c>
      <c r="B39" s="194" t="s">
        <v>318</v>
      </c>
      <c r="C39" s="227">
        <f>D39/$D$5</f>
        <v>1.1091682448687106</v>
      </c>
      <c r="D39" s="180">
        <v>43339.64</v>
      </c>
      <c r="E39" s="196">
        <f>D39/1000</f>
        <v>43.339640000000003</v>
      </c>
      <c r="F39" s="203">
        <f>G39/$D$5</f>
        <v>1.0869848799713364</v>
      </c>
      <c r="G39" s="180">
        <f>D39*0.98</f>
        <v>42472.847199999997</v>
      </c>
      <c r="H39" s="196">
        <f>G39/1000</f>
        <v>42.472847199999997</v>
      </c>
      <c r="I39" s="203">
        <f>J39/$J$5</f>
        <v>1.1091682448687106</v>
      </c>
      <c r="J39" s="180">
        <v>43339.64</v>
      </c>
      <c r="K39" s="180">
        <f t="shared" si="10"/>
        <v>43.339640000000003</v>
      </c>
      <c r="L39" s="203">
        <f>M39/$M$5</f>
        <v>1.1091682448687106</v>
      </c>
      <c r="M39" s="180">
        <v>43339.64</v>
      </c>
      <c r="N39" s="180">
        <f>M39/1000</f>
        <v>43.339640000000003</v>
      </c>
    </row>
    <row r="40" spans="1:23" x14ac:dyDescent="0.25">
      <c r="A40" s="175"/>
      <c r="B40" s="200" t="s">
        <v>319</v>
      </c>
      <c r="C40" s="209">
        <f>D40/D5</f>
        <v>68.273126375595027</v>
      </c>
      <c r="D40" s="224">
        <v>2667704.14</v>
      </c>
      <c r="E40" s="225">
        <f>D40/1000</f>
        <v>2667.7041400000003</v>
      </c>
      <c r="F40" s="209">
        <f>G40/$G$5</f>
        <v>66.907663597276979</v>
      </c>
      <c r="G40" s="224">
        <f>SUM(G38:G39)</f>
        <v>2614350.0474000005</v>
      </c>
      <c r="H40" s="225">
        <f>G40/1000</f>
        <v>2614.3500474000007</v>
      </c>
      <c r="I40" s="209">
        <f>C40</f>
        <v>68.273126375595027</v>
      </c>
      <c r="J40" s="224">
        <f>SUM(J38:J39)</f>
        <v>2667704.1300000004</v>
      </c>
      <c r="K40" s="224">
        <f t="shared" si="10"/>
        <v>2667.7041300000005</v>
      </c>
      <c r="L40" s="209">
        <f>M40/M5</f>
        <v>68.27312611967038</v>
      </c>
      <c r="M40" s="224">
        <f>SUM(M38:M39)</f>
        <v>2667704.1300000004</v>
      </c>
      <c r="N40" s="224">
        <f>M40/1000</f>
        <v>2667.7041300000005</v>
      </c>
    </row>
    <row r="41" spans="1:23" ht="20.25" customHeight="1" x14ac:dyDescent="0.25">
      <c r="A41" s="218" t="s">
        <v>320</v>
      </c>
      <c r="B41" s="1622" t="s">
        <v>321</v>
      </c>
      <c r="C41" s="1623"/>
      <c r="D41" s="1623"/>
      <c r="E41" s="1623"/>
      <c r="F41" s="1623"/>
      <c r="G41" s="1623"/>
      <c r="H41" s="1623"/>
      <c r="I41" s="1623"/>
      <c r="J41" s="1623"/>
      <c r="K41" s="1623"/>
      <c r="L41" s="1623"/>
      <c r="M41" s="1623"/>
      <c r="N41" s="1624"/>
    </row>
    <row r="42" spans="1:23" x14ac:dyDescent="0.25">
      <c r="A42" s="175" t="s">
        <v>322</v>
      </c>
      <c r="B42" s="194" t="s">
        <v>323</v>
      </c>
      <c r="C42" s="1632"/>
      <c r="D42" s="1631">
        <f>C45*D5</f>
        <v>3838887.6483999998</v>
      </c>
      <c r="E42" s="1701">
        <f>D42/1000</f>
        <v>3838.8876483999998</v>
      </c>
      <c r="F42" s="1641"/>
      <c r="G42" s="1631">
        <f>D42*0.8</f>
        <v>3071110.1187200001</v>
      </c>
      <c r="H42" s="1638">
        <f>G42/1000</f>
        <v>3071.1101187200002</v>
      </c>
      <c r="I42" s="1644"/>
      <c r="J42" s="1631">
        <v>3838887.6483999998</v>
      </c>
      <c r="K42" s="1631">
        <f>J42/1000</f>
        <v>3838.8876483999998</v>
      </c>
      <c r="L42" s="1644"/>
      <c r="M42" s="1631">
        <v>3838887.6483999998</v>
      </c>
      <c r="N42" s="1631">
        <f>M42/1000</f>
        <v>3838.8876483999998</v>
      </c>
    </row>
    <row r="43" spans="1:23" ht="16.149999999999999" customHeight="1" x14ac:dyDescent="0.25">
      <c r="A43" s="175" t="s">
        <v>324</v>
      </c>
      <c r="B43" s="194" t="s">
        <v>325</v>
      </c>
      <c r="C43" s="1633"/>
      <c r="D43" s="1631"/>
      <c r="E43" s="1701">
        <f>D43/1000</f>
        <v>0</v>
      </c>
      <c r="F43" s="1642"/>
      <c r="G43" s="1631"/>
      <c r="H43" s="1639"/>
      <c r="I43" s="1644"/>
      <c r="J43" s="1631"/>
      <c r="K43" s="1631"/>
      <c r="L43" s="1644"/>
      <c r="M43" s="1631"/>
      <c r="N43" s="1631"/>
    </row>
    <row r="44" spans="1:23" x14ac:dyDescent="0.25">
      <c r="A44" s="175" t="s">
        <v>326</v>
      </c>
      <c r="B44" s="194" t="s">
        <v>318</v>
      </c>
      <c r="C44" s="1634"/>
      <c r="D44" s="1631"/>
      <c r="E44" s="1701">
        <f>D44/1000</f>
        <v>0</v>
      </c>
      <c r="F44" s="1643"/>
      <c r="G44" s="1631"/>
      <c r="H44" s="1640"/>
      <c r="I44" s="1644"/>
      <c r="J44" s="1631"/>
      <c r="K44" s="1631"/>
      <c r="L44" s="1644"/>
      <c r="M44" s="1631"/>
      <c r="N44" s="1631"/>
    </row>
    <row r="45" spans="1:23" x14ac:dyDescent="0.25">
      <c r="A45" s="175"/>
      <c r="B45" s="200" t="s">
        <v>327</v>
      </c>
      <c r="C45" s="209">
        <v>98.246600000000001</v>
      </c>
      <c r="D45" s="224">
        <f>SUM(D42)</f>
        <v>3838887.6483999998</v>
      </c>
      <c r="E45" s="225">
        <f>D45/1000</f>
        <v>3838.8876483999998</v>
      </c>
      <c r="F45" s="209">
        <f>G45/$G$5</f>
        <v>78.597279999999998</v>
      </c>
      <c r="G45" s="224">
        <f>SUM(G42)</f>
        <v>3071110.1187200001</v>
      </c>
      <c r="H45" s="225">
        <f>G45/1000</f>
        <v>3071.1101187200002</v>
      </c>
      <c r="I45" s="209">
        <f>J45/J5</f>
        <v>98.246600000000001</v>
      </c>
      <c r="J45" s="224">
        <f>SUM(J42)</f>
        <v>3838887.6483999998</v>
      </c>
      <c r="K45" s="224">
        <f>SUM(K42)</f>
        <v>3838.8876483999998</v>
      </c>
      <c r="L45" s="209">
        <f>M45/M5</f>
        <v>98.246600000000001</v>
      </c>
      <c r="M45" s="224">
        <f>SUM(M42)</f>
        <v>3838887.6483999998</v>
      </c>
      <c r="N45" s="224">
        <f>SUM(N42)</f>
        <v>3838.8876483999998</v>
      </c>
    </row>
    <row r="46" spans="1:23" ht="33" customHeight="1" x14ac:dyDescent="0.25">
      <c r="A46" s="218" t="s">
        <v>328</v>
      </c>
      <c r="B46" s="1619" t="s">
        <v>329</v>
      </c>
      <c r="C46" s="1620"/>
      <c r="D46" s="1620"/>
      <c r="E46" s="1620"/>
      <c r="F46" s="1620"/>
      <c r="G46" s="1620"/>
      <c r="H46" s="1620"/>
      <c r="I46" s="1620"/>
      <c r="J46" s="1620"/>
      <c r="K46" s="1620"/>
      <c r="L46" s="1620"/>
      <c r="M46" s="1620"/>
      <c r="N46" s="1621"/>
    </row>
    <row r="47" spans="1:23" ht="32.25" customHeight="1" x14ac:dyDescent="0.25">
      <c r="A47" s="228" t="s">
        <v>330</v>
      </c>
      <c r="B47" s="205" t="s">
        <v>331</v>
      </c>
      <c r="C47" s="229">
        <f>D47/D5</f>
        <v>0</v>
      </c>
      <c r="D47" s="192"/>
      <c r="E47" s="193"/>
      <c r="F47" s="229">
        <f>G47/G5</f>
        <v>2.0478067256999539</v>
      </c>
      <c r="G47" s="192">
        <v>80016</v>
      </c>
      <c r="H47" s="193">
        <f>G47/1000</f>
        <v>80.016000000000005</v>
      </c>
      <c r="I47" s="229">
        <f>J47/J5</f>
        <v>2.0478067256999539</v>
      </c>
      <c r="J47" s="230">
        <v>80016</v>
      </c>
      <c r="K47" s="231">
        <f>J47/1000</f>
        <v>80.016000000000005</v>
      </c>
      <c r="L47" s="229">
        <f>M47/M5</f>
        <v>2.0478067256999539</v>
      </c>
      <c r="M47" s="230">
        <v>80016</v>
      </c>
      <c r="N47" s="231">
        <f>M47/1000</f>
        <v>80.016000000000005</v>
      </c>
    </row>
    <row r="48" spans="1:23" ht="20.25" customHeight="1" x14ac:dyDescent="0.25">
      <c r="A48" s="218" t="s">
        <v>332</v>
      </c>
      <c r="B48" s="1622" t="s">
        <v>333</v>
      </c>
      <c r="C48" s="1623"/>
      <c r="D48" s="1623"/>
      <c r="E48" s="1623"/>
      <c r="F48" s="1623"/>
      <c r="G48" s="1623"/>
      <c r="H48" s="1623"/>
      <c r="I48" s="1623"/>
      <c r="J48" s="1623"/>
      <c r="K48" s="1623">
        <f>J48/1000</f>
        <v>0</v>
      </c>
      <c r="L48" s="1623"/>
      <c r="M48" s="1623"/>
      <c r="N48" s="1624"/>
      <c r="O48" s="169"/>
      <c r="P48" s="169"/>
      <c r="Q48" s="169"/>
      <c r="R48" s="169"/>
      <c r="S48" s="169"/>
      <c r="T48" s="169"/>
      <c r="U48" s="169"/>
      <c r="V48" s="169"/>
      <c r="W48" s="169"/>
    </row>
    <row r="49" spans="1:23" x14ac:dyDescent="0.25">
      <c r="A49" s="175" t="s">
        <v>330</v>
      </c>
      <c r="B49" s="194" t="s">
        <v>334</v>
      </c>
      <c r="C49" s="195"/>
      <c r="D49" s="180">
        <f>C50*D5</f>
        <v>550086.28</v>
      </c>
      <c r="E49" s="196">
        <f>D49/1000</f>
        <v>550.08627999999999</v>
      </c>
      <c r="F49" s="232"/>
      <c r="G49" s="180">
        <f>D49*0.98</f>
        <v>539084.55440000002</v>
      </c>
      <c r="H49" s="198">
        <f t="shared" si="4"/>
        <v>539.0845544</v>
      </c>
      <c r="I49" s="232"/>
      <c r="J49" s="180">
        <v>550086.28</v>
      </c>
      <c r="K49" s="180">
        <f>J49/1000</f>
        <v>550.08627999999999</v>
      </c>
      <c r="L49" s="232"/>
      <c r="M49" s="180">
        <v>550086.28</v>
      </c>
      <c r="N49" s="180">
        <f>M49/1000</f>
        <v>550.08627999999999</v>
      </c>
      <c r="O49" s="169"/>
      <c r="P49" s="169"/>
      <c r="Q49" s="169"/>
      <c r="R49" s="169"/>
      <c r="S49" s="169"/>
      <c r="T49" s="169"/>
      <c r="U49" s="169"/>
      <c r="V49" s="169"/>
      <c r="W49" s="169"/>
    </row>
    <row r="50" spans="1:23" ht="19.5" customHeight="1" x14ac:dyDescent="0.25">
      <c r="A50" s="175"/>
      <c r="B50" s="200" t="s">
        <v>335</v>
      </c>
      <c r="C50" s="209">
        <f>D50/$D$5</f>
        <v>14.078064185903671</v>
      </c>
      <c r="D50" s="224">
        <v>550086.28</v>
      </c>
      <c r="E50" s="225">
        <f>D50/1000</f>
        <v>550.08627999999999</v>
      </c>
      <c r="F50" s="209">
        <f>G50/$G$5</f>
        <v>13.796502902185598</v>
      </c>
      <c r="G50" s="224">
        <f>G49</f>
        <v>539084.55440000002</v>
      </c>
      <c r="H50" s="225">
        <f t="shared" si="4"/>
        <v>539.0845544</v>
      </c>
      <c r="I50" s="209">
        <f>J50/J5</f>
        <v>14.078064185903671</v>
      </c>
      <c r="J50" s="224">
        <f>SUM(J49)</f>
        <v>550086.28</v>
      </c>
      <c r="K50" s="224">
        <f>J50/1000</f>
        <v>550.08627999999999</v>
      </c>
      <c r="L50" s="209">
        <f>M50/M5</f>
        <v>14.078064185903671</v>
      </c>
      <c r="M50" s="224">
        <f>SUM(M49)</f>
        <v>550086.28</v>
      </c>
      <c r="N50" s="224">
        <f>M50/1000</f>
        <v>550.08627999999999</v>
      </c>
    </row>
    <row r="51" spans="1:23" ht="41.25" customHeight="1" x14ac:dyDescent="0.25">
      <c r="A51" s="218" t="s">
        <v>336</v>
      </c>
      <c r="B51" s="1625" t="s">
        <v>337</v>
      </c>
      <c r="C51" s="1626"/>
      <c r="D51" s="1626"/>
      <c r="E51" s="1626"/>
      <c r="F51" s="1626"/>
      <c r="G51" s="1626"/>
      <c r="H51" s="1626"/>
      <c r="I51" s="1626"/>
      <c r="J51" s="1626"/>
      <c r="K51" s="1626"/>
      <c r="L51" s="1626"/>
      <c r="M51" s="1626"/>
      <c r="N51" s="1627"/>
      <c r="P51" s="171" t="s">
        <v>268</v>
      </c>
      <c r="Q51" s="171" t="s">
        <v>269</v>
      </c>
    </row>
    <row r="52" spans="1:23" ht="45" x14ac:dyDescent="0.25">
      <c r="A52" s="175" t="s">
        <v>338</v>
      </c>
      <c r="B52" s="176" t="s">
        <v>271</v>
      </c>
      <c r="C52" s="203">
        <f>D52/$D$5</f>
        <v>374.02348159901726</v>
      </c>
      <c r="D52" s="180">
        <v>14614593.52</v>
      </c>
      <c r="E52" s="196">
        <f>D52/1000</f>
        <v>14614.59352</v>
      </c>
      <c r="F52" s="203">
        <v>388.984442396313</v>
      </c>
      <c r="G52" s="180">
        <f>G54/1.302</f>
        <v>15199178.102193536</v>
      </c>
      <c r="H52" s="196">
        <f t="shared" si="4"/>
        <v>15199.178102193537</v>
      </c>
      <c r="I52" s="203">
        <f>F52*1.01</f>
        <v>392.87428682027615</v>
      </c>
      <c r="J52" s="180">
        <f>I52*J5</f>
        <v>15351169.88321547</v>
      </c>
      <c r="K52" s="180">
        <f>J52/1000</f>
        <v>15351.169883215471</v>
      </c>
      <c r="L52" s="203">
        <f>M52/$M$5</f>
        <v>408.58925829308725</v>
      </c>
      <c r="M52" s="180">
        <f>Q53</f>
        <v>15965216.678544091</v>
      </c>
      <c r="N52" s="180">
        <f>M52/1000</f>
        <v>15965.216678544091</v>
      </c>
      <c r="P52" s="180">
        <f>G52/12*3*1.04</f>
        <v>3951786.3065703195</v>
      </c>
      <c r="Q52" s="180">
        <f>P52/3*12</f>
        <v>15807145.226281278</v>
      </c>
    </row>
    <row r="53" spans="1:23" x14ac:dyDescent="0.25">
      <c r="A53" s="175" t="s">
        <v>339</v>
      </c>
      <c r="B53" s="176" t="s">
        <v>275</v>
      </c>
      <c r="C53" s="203">
        <f>D53/$D$5</f>
        <v>112.95509136510212</v>
      </c>
      <c r="D53" s="180">
        <v>4413607.24</v>
      </c>
      <c r="E53" s="196">
        <f>D53/1000</f>
        <v>4413.6072400000003</v>
      </c>
      <c r="F53" s="203">
        <v>117.47330160368664</v>
      </c>
      <c r="G53" s="180">
        <v>4590151.7868624516</v>
      </c>
      <c r="H53" s="196">
        <f t="shared" si="4"/>
        <v>4590.1517868624514</v>
      </c>
      <c r="I53" s="203">
        <f>F53*1.01</f>
        <v>118.6480346197235</v>
      </c>
      <c r="J53" s="180">
        <f>I53*J5</f>
        <v>4636053.3047310766</v>
      </c>
      <c r="K53" s="180">
        <f>J53/1000</f>
        <v>4636.0533047310764</v>
      </c>
      <c r="L53" s="203">
        <f>M53/$M$5</f>
        <v>123.39395600451233</v>
      </c>
      <c r="M53" s="180">
        <f>M52*30.2%</f>
        <v>4821495.436920315</v>
      </c>
      <c r="N53" s="180">
        <f>M53/1000</f>
        <v>4821.4954369203151</v>
      </c>
      <c r="Q53" s="188">
        <f>(Q52/12*9)+(Q52/12*3*1.04)</f>
        <v>15965216.678544091</v>
      </c>
    </row>
    <row r="54" spans="1:23" x14ac:dyDescent="0.25">
      <c r="A54" s="175"/>
      <c r="B54" s="200" t="s">
        <v>340</v>
      </c>
      <c r="C54" s="209">
        <f>D54/D5</f>
        <v>486.97857296411934</v>
      </c>
      <c r="D54" s="224">
        <f>SUM(D52:D53)</f>
        <v>19028200.759999998</v>
      </c>
      <c r="E54" s="225">
        <f>D54/1000</f>
        <v>19028.20076</v>
      </c>
      <c r="F54" s="212">
        <f>F52+F53</f>
        <v>506.45774399999965</v>
      </c>
      <c r="G54" s="224">
        <f>F54*G5</f>
        <v>19789329.889055986</v>
      </c>
      <c r="H54" s="225">
        <f t="shared" si="4"/>
        <v>19789.329889055985</v>
      </c>
      <c r="I54" s="209">
        <f>SUM(I52:I53)</f>
        <v>511.52232143999964</v>
      </c>
      <c r="J54" s="224">
        <f>SUM(J52:J53)</f>
        <v>19987223.187946547</v>
      </c>
      <c r="K54" s="224">
        <f>J54/1000</f>
        <v>19987.223187946547</v>
      </c>
      <c r="L54" s="209">
        <f>SUM(L52:L53)</f>
        <v>531.9832142975996</v>
      </c>
      <c r="M54" s="224">
        <f>SUM(M52:M53)</f>
        <v>20786712.115464404</v>
      </c>
      <c r="N54" s="224">
        <f>SUM(N52:N53)</f>
        <v>20786.712115464405</v>
      </c>
      <c r="O54" s="169"/>
      <c r="P54" s="169"/>
      <c r="Q54" s="169"/>
    </row>
    <row r="55" spans="1:23" s="219" customFormat="1" ht="25.5" customHeight="1" x14ac:dyDescent="0.25">
      <c r="A55" s="218" t="s">
        <v>341</v>
      </c>
      <c r="B55" s="1625" t="s">
        <v>342</v>
      </c>
      <c r="C55" s="1626"/>
      <c r="D55" s="1626"/>
      <c r="E55" s="1626"/>
      <c r="F55" s="1626"/>
      <c r="G55" s="1626"/>
      <c r="H55" s="1626"/>
      <c r="I55" s="1626"/>
      <c r="J55" s="1626"/>
      <c r="K55" s="1626"/>
      <c r="L55" s="1626"/>
      <c r="M55" s="1626"/>
      <c r="N55" s="1627"/>
      <c r="O55" s="169"/>
      <c r="P55" s="169"/>
      <c r="Q55" s="169"/>
    </row>
    <row r="56" spans="1:23" x14ac:dyDescent="0.25">
      <c r="A56" s="175" t="s">
        <v>343</v>
      </c>
      <c r="B56" s="194" t="s">
        <v>344</v>
      </c>
      <c r="C56" s="203">
        <f>D56/$D$5</f>
        <v>92.489731023186778</v>
      </c>
      <c r="D56" s="180">
        <v>3613943.75</v>
      </c>
      <c r="E56" s="196">
        <f>D56/1000</f>
        <v>3613.9437499999999</v>
      </c>
      <c r="F56" s="221">
        <f>G56/$G$5</f>
        <v>65.397693998566822</v>
      </c>
      <c r="G56" s="180">
        <f>ROUND(2617508.934*0.98,4)-9809.26</f>
        <v>2555349.4953000001</v>
      </c>
      <c r="H56" s="196">
        <f t="shared" si="4"/>
        <v>2555.3494952999999</v>
      </c>
      <c r="I56" s="221">
        <f>J56/$J$5</f>
        <v>92.279872805446075</v>
      </c>
      <c r="J56" s="180">
        <f>3613943.75-8200</f>
        <v>3605743.75</v>
      </c>
      <c r="K56" s="180">
        <f t="shared" ref="K56:K61" si="13">J56/1000</f>
        <v>3605.7437500000001</v>
      </c>
      <c r="L56" s="221">
        <f>M56/$M$5</f>
        <v>92.489731023186778</v>
      </c>
      <c r="M56" s="180">
        <v>3613943.75</v>
      </c>
      <c r="N56" s="180">
        <f>M56/1000</f>
        <v>3613.9437499999999</v>
      </c>
      <c r="O56" s="169"/>
      <c r="P56" s="169"/>
      <c r="Q56" s="169"/>
    </row>
    <row r="57" spans="1:23" x14ac:dyDescent="0.25">
      <c r="A57" s="175" t="s">
        <v>345</v>
      </c>
      <c r="B57" s="194" t="s">
        <v>288</v>
      </c>
      <c r="C57" s="203">
        <f>D57/$D$5</f>
        <v>71.978139427752467</v>
      </c>
      <c r="D57" s="180">
        <v>2812473.82</v>
      </c>
      <c r="E57" s="196">
        <f>D57/1000</f>
        <v>2812.4738199999997</v>
      </c>
      <c r="F57" s="221">
        <f>G57/$G$5</f>
        <v>26.088498392793159</v>
      </c>
      <c r="G57" s="180">
        <f>1099397.9862-80016</f>
        <v>1019381.9861999999</v>
      </c>
      <c r="H57" s="196">
        <f t="shared" si="4"/>
        <v>1019.3819861999999</v>
      </c>
      <c r="I57" s="221">
        <f>J57/$J$5</f>
        <v>36.135963794338942</v>
      </c>
      <c r="J57" s="180">
        <f>1491992.6493-J47</f>
        <v>1411976.6492999999</v>
      </c>
      <c r="K57" s="180">
        <f t="shared" si="13"/>
        <v>1411.9766493</v>
      </c>
      <c r="L57" s="221">
        <f>M57/$M$5</f>
        <v>28.220815606285509</v>
      </c>
      <c r="M57" s="180">
        <f>1198716.149-M47-16000</f>
        <v>1102700.149</v>
      </c>
      <c r="N57" s="180">
        <f>M57/1000</f>
        <v>1102.700149</v>
      </c>
    </row>
    <row r="58" spans="1:23" x14ac:dyDescent="0.25">
      <c r="A58" s="175"/>
      <c r="B58" s="200" t="s">
        <v>346</v>
      </c>
      <c r="C58" s="209">
        <f>D58/D5</f>
        <v>164.46787045093924</v>
      </c>
      <c r="D58" s="224">
        <f>SUM(D56:D57)</f>
        <v>6426417.5700000003</v>
      </c>
      <c r="E58" s="225">
        <f>D58/1000</f>
        <v>6426.4175700000005</v>
      </c>
      <c r="F58" s="212">
        <f>G58/G5</f>
        <v>91.486192391359978</v>
      </c>
      <c r="G58" s="224">
        <f>SUM(G56:G57)</f>
        <v>3574731.4814999998</v>
      </c>
      <c r="H58" s="225">
        <f t="shared" si="4"/>
        <v>3574.7314815</v>
      </c>
      <c r="I58" s="212">
        <f>J58/J5</f>
        <v>128.41583659978502</v>
      </c>
      <c r="J58" s="224">
        <f>SUM(J56:J57)</f>
        <v>5017720.3992999997</v>
      </c>
      <c r="K58" s="224">
        <f t="shared" si="13"/>
        <v>5017.7203992999994</v>
      </c>
      <c r="L58" s="212">
        <f>M58/M5</f>
        <v>120.71054662947229</v>
      </c>
      <c r="M58" s="224">
        <f>SUM(M56:M57)</f>
        <v>4716643.8990000002</v>
      </c>
      <c r="N58" s="224">
        <f>M58/1000</f>
        <v>4716.6438990000006</v>
      </c>
    </row>
    <row r="59" spans="1:23" x14ac:dyDescent="0.25">
      <c r="A59" s="214"/>
      <c r="B59" s="215" t="s">
        <v>347</v>
      </c>
      <c r="C59" s="216">
        <f>C36+C50+C40+C45+C54+C58</f>
        <v>1097.5961946153452</v>
      </c>
      <c r="D59" s="215">
        <f>D36+D50+D40+D45+D54+D58</f>
        <v>42887473.708399996</v>
      </c>
      <c r="E59" s="217">
        <f>D59/1000</f>
        <v>42887.473708399993</v>
      </c>
      <c r="F59" s="216">
        <f>F36+F50+F40+F45+F54+F58+F47</f>
        <v>1019.5341109452829</v>
      </c>
      <c r="G59" s="215">
        <f>G36+G50+G40+G45+G54+G58+G47</f>
        <v>39837275.851075985</v>
      </c>
      <c r="H59" s="217">
        <f t="shared" si="4"/>
        <v>39837.275851075981</v>
      </c>
      <c r="I59" s="216">
        <f>I36+I50+I40+I45+I54+I58+I47</f>
        <v>1088.1357159657712</v>
      </c>
      <c r="J59" s="215">
        <f>J36+J50+J40+J45+J54+J58+J47</f>
        <v>42517814.955646552</v>
      </c>
      <c r="K59" s="215">
        <f t="shared" si="13"/>
        <v>42517.814955646551</v>
      </c>
      <c r="L59" s="216">
        <f>L36+L50+L40+L45+L54+L58+L47</f>
        <v>1100.8913185971337</v>
      </c>
      <c r="M59" s="215">
        <f>M36+M50+M40+M45+M54+M58+M47</f>
        <v>43016227.382864401</v>
      </c>
      <c r="N59" s="215">
        <f>M59/1000</f>
        <v>43016.227382864403</v>
      </c>
    </row>
    <row r="60" spans="1:23" ht="29.25" customHeight="1" x14ac:dyDescent="0.25">
      <c r="A60" s="218" t="s">
        <v>348</v>
      </c>
      <c r="B60" s="1628" t="s">
        <v>349</v>
      </c>
      <c r="C60" s="1629"/>
      <c r="D60" s="1629"/>
      <c r="E60" s="1629"/>
      <c r="F60" s="1629"/>
      <c r="G60" s="1629"/>
      <c r="H60" s="1629"/>
      <c r="I60" s="1629"/>
      <c r="J60" s="1629"/>
      <c r="K60" s="1629"/>
      <c r="L60" s="1629"/>
      <c r="M60" s="1629"/>
      <c r="N60" s="1630"/>
    </row>
    <row r="61" spans="1:23" x14ac:dyDescent="0.25">
      <c r="A61" s="214" t="s">
        <v>350</v>
      </c>
      <c r="B61" s="233" t="s">
        <v>351</v>
      </c>
      <c r="C61" s="234">
        <v>150.70228289911449</v>
      </c>
      <c r="D61" s="235">
        <v>5888541</v>
      </c>
      <c r="E61" s="236">
        <f>D61/1000</f>
        <v>5888.5410000000002</v>
      </c>
      <c r="F61" s="237">
        <f>G61/$G$5</f>
        <v>150.70228284792958</v>
      </c>
      <c r="G61" s="238">
        <f>D61</f>
        <v>5888541</v>
      </c>
      <c r="H61" s="238">
        <f t="shared" si="4"/>
        <v>5888.5410000000002</v>
      </c>
      <c r="I61" s="237">
        <f>C61</f>
        <v>150.70228289911449</v>
      </c>
      <c r="J61" s="235">
        <v>5888541</v>
      </c>
      <c r="K61" s="235">
        <f t="shared" si="13"/>
        <v>5888.5410000000002</v>
      </c>
      <c r="L61" s="237">
        <f>F61</f>
        <v>150.70228284792958</v>
      </c>
      <c r="M61" s="235">
        <v>5888541</v>
      </c>
      <c r="N61" s="235">
        <f>M61/1000</f>
        <v>5888.5410000000002</v>
      </c>
    </row>
    <row r="62" spans="1:23" x14ac:dyDescent="0.25">
      <c r="A62" s="239"/>
      <c r="B62" s="240"/>
      <c r="C62" s="241">
        <f>C27+C59+C61</f>
        <v>3551.4488152991757</v>
      </c>
      <c r="D62" s="242">
        <f>D27+D59+D61</f>
        <v>138769309.07099998</v>
      </c>
      <c r="E62" s="241">
        <f>D62/1000</f>
        <v>138769.30907099997</v>
      </c>
      <c r="F62" s="241">
        <f>F27+F59+F61</f>
        <v>4370.9064851284229</v>
      </c>
      <c r="G62" s="241">
        <f>G27+G59+G61</f>
        <v>170788799.999908</v>
      </c>
      <c r="H62" s="242">
        <f t="shared" si="4"/>
        <v>170788.79999990799</v>
      </c>
      <c r="I62" s="241">
        <f t="shared" ref="I62:N62" si="14">I27+I59+I61</f>
        <v>4325.9456419114131</v>
      </c>
      <c r="J62" s="241">
        <f t="shared" si="14"/>
        <v>169032000.00004658</v>
      </c>
      <c r="K62" s="243">
        <f t="shared" si="14"/>
        <v>169032.00000004657</v>
      </c>
      <c r="L62" s="241">
        <f t="shared" si="14"/>
        <v>4394.6562931875933</v>
      </c>
      <c r="M62" s="242">
        <f t="shared" si="14"/>
        <v>171716800.00001204</v>
      </c>
      <c r="N62" s="242">
        <f t="shared" si="14"/>
        <v>171716.80000001204</v>
      </c>
      <c r="O62" s="244"/>
    </row>
    <row r="63" spans="1:23" ht="15.75" customHeight="1" x14ac:dyDescent="0.25">
      <c r="B63" s="245" t="s">
        <v>352</v>
      </c>
      <c r="D63" s="167">
        <f>C15+C36+C50+C26+C40+C54+C58+C45</f>
        <v>3400.7465324000609</v>
      </c>
      <c r="E63" s="246"/>
      <c r="G63" s="168">
        <f>F58+F54+F45+F40+F50+F36+F26+F15+F47</f>
        <v>4220.2042022804935</v>
      </c>
      <c r="H63" s="168"/>
      <c r="I63" s="168"/>
      <c r="J63" s="168">
        <f>I58+I54+I45+I40+I50+I36+I26+I15+I47</f>
        <v>4175.2433590122992</v>
      </c>
      <c r="K63" s="168"/>
      <c r="L63" s="168"/>
      <c r="M63" s="168">
        <f>L58+L54+L45+L40+L50+L36+L26+L15+L47</f>
        <v>4243.9540103396639</v>
      </c>
      <c r="N63" s="168"/>
    </row>
    <row r="64" spans="1:23" x14ac:dyDescent="0.25">
      <c r="B64" s="245" t="s">
        <v>353</v>
      </c>
      <c r="D64" s="168">
        <f>C61</f>
        <v>150.70228289911449</v>
      </c>
      <c r="E64" s="246"/>
      <c r="G64" s="168">
        <f>F61</f>
        <v>150.70228284792958</v>
      </c>
      <c r="H64" s="246"/>
      <c r="I64" s="168"/>
      <c r="J64" s="168">
        <f>I61</f>
        <v>150.70228289911449</v>
      </c>
      <c r="K64" s="246"/>
      <c r="M64" s="168">
        <f>L61</f>
        <v>150.70228284792958</v>
      </c>
      <c r="N64" s="246"/>
    </row>
    <row r="65" spans="1:16" x14ac:dyDescent="0.25">
      <c r="B65" s="245" t="s">
        <v>354</v>
      </c>
      <c r="D65" s="168">
        <f>SUM(D63:D64)</f>
        <v>3551.4488152991753</v>
      </c>
      <c r="E65" s="168"/>
      <c r="G65" s="168">
        <f>SUM(G63:G64)</f>
        <v>4370.9064851284229</v>
      </c>
      <c r="I65" s="168"/>
      <c r="J65" s="167">
        <f>SUM(J63:J64)</f>
        <v>4325.945641911414</v>
      </c>
      <c r="M65" s="167">
        <f>SUM(M63:M64)</f>
        <v>4394.6562931875933</v>
      </c>
    </row>
    <row r="66" spans="1:16" x14ac:dyDescent="0.25">
      <c r="E66" s="168"/>
      <c r="F66" s="247" t="s">
        <v>355</v>
      </c>
      <c r="G66" s="248" t="s">
        <v>356</v>
      </c>
      <c r="I66" s="168"/>
      <c r="J66" s="167"/>
      <c r="M66" s="167"/>
    </row>
    <row r="67" spans="1:16" x14ac:dyDescent="0.25">
      <c r="E67" s="168"/>
      <c r="F67" s="249">
        <f>F9+F12+F26+F36+F40+F45+F47+F50+F54+F58+F61</f>
        <v>2906.4620975561243</v>
      </c>
      <c r="G67" s="167">
        <f>F10+F13</f>
        <v>1464.4443875722986</v>
      </c>
      <c r="I67" s="168"/>
      <c r="J67" s="167"/>
      <c r="M67" s="167"/>
    </row>
    <row r="68" spans="1:16" x14ac:dyDescent="0.25">
      <c r="E68" s="168"/>
      <c r="F68" s="249"/>
      <c r="G68" s="168"/>
      <c r="I68" s="168"/>
      <c r="J68" s="167"/>
      <c r="M68" s="167"/>
    </row>
    <row r="69" spans="1:16" ht="15" customHeight="1" x14ac:dyDescent="0.25">
      <c r="C69" s="250"/>
      <c r="E69" s="251"/>
      <c r="G69" s="246"/>
      <c r="J69" s="246"/>
      <c r="M69" s="246"/>
    </row>
    <row r="70" spans="1:16" hidden="1" x14ac:dyDescent="0.25">
      <c r="G70" s="246"/>
      <c r="J70" s="246"/>
      <c r="M70" s="246"/>
    </row>
    <row r="71" spans="1:16" s="169" customFormat="1" hidden="1" x14ac:dyDescent="0.25">
      <c r="A71" s="165"/>
      <c r="B71" s="245"/>
      <c r="C71" s="167"/>
      <c r="D71" s="252"/>
      <c r="E71" s="167"/>
      <c r="G71" s="246">
        <f>G62/G5</f>
        <v>4370.9064851284229</v>
      </c>
      <c r="J71" s="246">
        <f>J62/J5</f>
        <v>4325.945641604304</v>
      </c>
      <c r="M71" s="246">
        <f>M62/M5</f>
        <v>4394.6562931875942</v>
      </c>
      <c r="O71" s="164"/>
    </row>
    <row r="72" spans="1:16" hidden="1" x14ac:dyDescent="0.25">
      <c r="J72" s="249"/>
      <c r="K72" s="246"/>
    </row>
    <row r="73" spans="1:16" s="169" customFormat="1" hidden="1" x14ac:dyDescent="0.25">
      <c r="A73" s="165"/>
      <c r="B73" s="245"/>
      <c r="C73" s="167"/>
      <c r="D73" s="168"/>
      <c r="E73" s="167"/>
      <c r="G73" s="249">
        <f>G65-G71</f>
        <v>0</v>
      </c>
      <c r="J73" s="249">
        <f>J71-J65</f>
        <v>-3.0710998544236645E-7</v>
      </c>
      <c r="K73" s="246"/>
      <c r="M73" s="249">
        <f>M71-M65</f>
        <v>0</v>
      </c>
      <c r="O73" s="164"/>
    </row>
    <row r="74" spans="1:16" ht="18.75" hidden="1" customHeight="1" x14ac:dyDescent="0.25">
      <c r="G74" s="249"/>
      <c r="J74" s="249"/>
      <c r="M74" s="249"/>
    </row>
    <row r="76" spans="1:16" x14ac:dyDescent="0.25">
      <c r="C76" s="253">
        <v>211</v>
      </c>
      <c r="D76" s="254">
        <f>D52+D9</f>
        <v>48045022.385399997</v>
      </c>
      <c r="E76" s="254">
        <f>E52+E9</f>
        <v>48045.0223854</v>
      </c>
      <c r="G76" s="254">
        <f>G52+G9</f>
        <v>49966822.122193538</v>
      </c>
      <c r="H76" s="254">
        <f>H52+H9</f>
        <v>49966.822122193538</v>
      </c>
      <c r="J76" s="254">
        <f>J52+J9</f>
        <v>50466490.343415476</v>
      </c>
      <c r="K76" s="254">
        <f>K52+K9</f>
        <v>50466.490343415477</v>
      </c>
      <c r="M76" s="254">
        <f>M52+M9</f>
        <v>52485149.957152098</v>
      </c>
      <c r="N76" s="254">
        <f>N52+N9</f>
        <v>52485.149957152105</v>
      </c>
      <c r="P76" s="255"/>
    </row>
    <row r="77" spans="1:16" x14ac:dyDescent="0.25">
      <c r="C77" s="253">
        <v>212</v>
      </c>
      <c r="D77" s="254"/>
      <c r="E77" s="254"/>
      <c r="G77" s="254"/>
      <c r="H77" s="254"/>
      <c r="J77" s="254"/>
      <c r="K77" s="254"/>
      <c r="M77" s="254"/>
      <c r="N77" s="254"/>
      <c r="P77" s="255"/>
    </row>
    <row r="78" spans="1:16" x14ac:dyDescent="0.25">
      <c r="C78" s="253">
        <v>213</v>
      </c>
      <c r="D78" s="254">
        <f>D53+D12</f>
        <v>14509594.2488</v>
      </c>
      <c r="E78" s="254">
        <f>E53+E12</f>
        <v>14509.5942488</v>
      </c>
      <c r="G78" s="254">
        <f>G53+G12</f>
        <v>15089980.276862452</v>
      </c>
      <c r="H78" s="254">
        <f>H53+H12</f>
        <v>15089.98027686245</v>
      </c>
      <c r="J78" s="254">
        <f>J53+J12</f>
        <v>15240880.079631077</v>
      </c>
      <c r="K78" s="254">
        <f>K53+K12</f>
        <v>15240.880079631077</v>
      </c>
      <c r="M78" s="254">
        <f>M53+M12</f>
        <v>15850515.287059933</v>
      </c>
      <c r="N78" s="254">
        <f>N53+N12</f>
        <v>15850.515287059932</v>
      </c>
    </row>
    <row r="79" spans="1:16" x14ac:dyDescent="0.25">
      <c r="D79" s="256">
        <f>SUM(D76:D78)</f>
        <v>62554616.634199999</v>
      </c>
      <c r="E79" s="256">
        <f>SUM(E76:E78)</f>
        <v>62554.6166342</v>
      </c>
      <c r="G79" s="257">
        <f>SUM(G76:G78)</f>
        <v>65056802.399055988</v>
      </c>
      <c r="H79" s="257">
        <f>SUM(H76:H78)</f>
        <v>65056.802399055989</v>
      </c>
      <c r="J79" s="257">
        <f>SUM(J76:J78)</f>
        <v>65707370.423046552</v>
      </c>
      <c r="K79" s="257">
        <f>SUM(K76:K78)</f>
        <v>65707.370423046552</v>
      </c>
      <c r="M79" s="257">
        <f>SUM(M76:M78)</f>
        <v>68335665.244212031</v>
      </c>
      <c r="N79" s="257">
        <f>SUM(N76:N78)</f>
        <v>68335.665244212039</v>
      </c>
    </row>
    <row r="80" spans="1:16" x14ac:dyDescent="0.25">
      <c r="C80" s="258" t="s">
        <v>357</v>
      </c>
    </row>
    <row r="81" spans="3:14" x14ac:dyDescent="0.25">
      <c r="C81" s="253">
        <v>211</v>
      </c>
      <c r="D81" s="205">
        <f>D10</f>
        <v>20510291.859999999</v>
      </c>
      <c r="E81" s="205">
        <f>E10</f>
        <v>20510.291860000001</v>
      </c>
      <c r="G81" s="205">
        <f>G10</f>
        <v>43949080</v>
      </c>
      <c r="H81" s="205">
        <f>H10</f>
        <v>43949.08</v>
      </c>
      <c r="J81" s="205">
        <f>J10</f>
        <v>42578500</v>
      </c>
      <c r="K81" s="205">
        <f>K10</f>
        <v>42578.5</v>
      </c>
      <c r="M81" s="205">
        <f>M10</f>
        <v>42627190</v>
      </c>
      <c r="N81" s="205">
        <f>N10</f>
        <v>42627.19</v>
      </c>
    </row>
    <row r="82" spans="3:14" x14ac:dyDescent="0.25">
      <c r="C82" s="253">
        <v>213</v>
      </c>
      <c r="D82" s="205">
        <f>D13</f>
        <v>6194108.1399999997</v>
      </c>
      <c r="E82" s="205">
        <f>E13</f>
        <v>6194.1081399999994</v>
      </c>
      <c r="G82" s="205">
        <f>G13</f>
        <v>13272620</v>
      </c>
      <c r="H82" s="205">
        <f>H13</f>
        <v>13272.62</v>
      </c>
      <c r="J82" s="205">
        <f>J13</f>
        <v>12858700</v>
      </c>
      <c r="K82" s="205">
        <f>K13</f>
        <v>12858.7</v>
      </c>
      <c r="M82" s="205">
        <f>M13</f>
        <v>12873410</v>
      </c>
      <c r="N82" s="205">
        <f>N13</f>
        <v>12873.41</v>
      </c>
    </row>
    <row r="83" spans="3:14" x14ac:dyDescent="0.25">
      <c r="D83" s="256">
        <f>SUM(D81:D82)</f>
        <v>26704400</v>
      </c>
      <c r="E83" s="256">
        <f>SUM(E81:E82)</f>
        <v>26704.400000000001</v>
      </c>
      <c r="G83" s="256">
        <f>SUM(G81:G82)</f>
        <v>57221700</v>
      </c>
      <c r="H83" s="256">
        <f>SUM(H81:H82)</f>
        <v>57221.700000000004</v>
      </c>
      <c r="J83" s="256">
        <f>SUM(J81:J82)</f>
        <v>55437200</v>
      </c>
      <c r="K83" s="256">
        <f>SUM(K81:K82)</f>
        <v>55437.2</v>
      </c>
      <c r="M83" s="256">
        <f>SUM(M81:M82)</f>
        <v>55500600</v>
      </c>
      <c r="N83" s="256">
        <f>SUM(N81:N82)</f>
        <v>55500.600000000006</v>
      </c>
    </row>
    <row r="85" spans="3:14" x14ac:dyDescent="0.25">
      <c r="C85" s="167" t="s">
        <v>358</v>
      </c>
      <c r="D85" s="205">
        <f>D76+D81</f>
        <v>68555314.245399997</v>
      </c>
      <c r="E85" s="205">
        <f>E76+E81</f>
        <v>68555.314245400004</v>
      </c>
      <c r="F85" s="168"/>
      <c r="G85" s="205">
        <f>G76+G81</f>
        <v>93915902.122193545</v>
      </c>
      <c r="H85" s="205">
        <f>H76+H81</f>
        <v>93915.90212219354</v>
      </c>
      <c r="I85" s="168"/>
      <c r="J85" s="205">
        <f>J76+J81</f>
        <v>93044990.343415469</v>
      </c>
      <c r="K85" s="205">
        <f>K76+K81</f>
        <v>93044.990343415469</v>
      </c>
      <c r="L85" s="168"/>
      <c r="M85" s="205">
        <f>M76+M81</f>
        <v>95112339.957152098</v>
      </c>
      <c r="N85" s="205">
        <f>N76+N81</f>
        <v>95112.339957152115</v>
      </c>
    </row>
    <row r="86" spans="3:14" x14ac:dyDescent="0.25">
      <c r="D86" s="205">
        <f>D78+D82</f>
        <v>20703702.388799999</v>
      </c>
      <c r="E86" s="205">
        <f t="shared" ref="E86:N86" si="15">E78+E82</f>
        <v>20703.7023888</v>
      </c>
      <c r="G86" s="205">
        <f t="shared" si="15"/>
        <v>28362600.27686245</v>
      </c>
      <c r="H86" s="205">
        <f t="shared" si="15"/>
        <v>28362.600276862453</v>
      </c>
      <c r="J86" s="205">
        <f t="shared" si="15"/>
        <v>28099580.079631075</v>
      </c>
      <c r="K86" s="205">
        <f t="shared" si="15"/>
        <v>28099.58007963108</v>
      </c>
      <c r="M86" s="205">
        <f t="shared" si="15"/>
        <v>28723925.287059933</v>
      </c>
      <c r="N86" s="205">
        <f t="shared" si="15"/>
        <v>28723.92528705993</v>
      </c>
    </row>
    <row r="87" spans="3:14" x14ac:dyDescent="0.25">
      <c r="D87" s="256">
        <f>SUM(D85:D86)</f>
        <v>89259016.634199992</v>
      </c>
      <c r="E87" s="256">
        <f>SUM(E85:E86)</f>
        <v>89259.016634200001</v>
      </c>
      <c r="G87" s="256">
        <f>SUM(G85:G86)</f>
        <v>122278502.39905599</v>
      </c>
      <c r="H87" s="256">
        <f>SUM(H85:H86)</f>
        <v>122278.50239905599</v>
      </c>
      <c r="J87" s="256">
        <f>SUM(J85:J86)</f>
        <v>121144570.42304654</v>
      </c>
      <c r="K87" s="256">
        <f>SUM(K85:K86)</f>
        <v>121144.57042304655</v>
      </c>
      <c r="M87" s="256">
        <f>SUM(M85:M86)</f>
        <v>123836265.24421203</v>
      </c>
      <c r="N87" s="256">
        <f>SUM(N85:N86)</f>
        <v>123836.26524421205</v>
      </c>
    </row>
    <row r="89" spans="3:14" x14ac:dyDescent="0.25">
      <c r="D89" s="168">
        <f>(D62-D83)/1000</f>
        <v>112064.90907099997</v>
      </c>
      <c r="G89" s="246">
        <f>(G62-G83)/1000</f>
        <v>113567.09999990799</v>
      </c>
      <c r="J89" s="246">
        <f>(J62-J83)/1000</f>
        <v>113594.80000004658</v>
      </c>
      <c r="M89" s="246">
        <f>M62-M83</f>
        <v>116216200.00001204</v>
      </c>
    </row>
    <row r="90" spans="3:14" x14ac:dyDescent="0.25">
      <c r="H90" s="246"/>
      <c r="K90" s="246"/>
      <c r="M90" s="246"/>
    </row>
  </sheetData>
  <mergeCells count="43">
    <mergeCell ref="B55:N55"/>
    <mergeCell ref="B60:N60"/>
    <mergeCell ref="L42:L44"/>
    <mergeCell ref="M42:M44"/>
    <mergeCell ref="N42:N44"/>
    <mergeCell ref="B46:N46"/>
    <mergeCell ref="B48:N48"/>
    <mergeCell ref="B51:N51"/>
    <mergeCell ref="B41:N41"/>
    <mergeCell ref="C42:C44"/>
    <mergeCell ref="D42:D44"/>
    <mergeCell ref="E42:E44"/>
    <mergeCell ref="F42:F44"/>
    <mergeCell ref="G42:G44"/>
    <mergeCell ref="H42:H44"/>
    <mergeCell ref="I42:I44"/>
    <mergeCell ref="J42:J44"/>
    <mergeCell ref="K42:K44"/>
    <mergeCell ref="B37:N37"/>
    <mergeCell ref="L4:N4"/>
    <mergeCell ref="D5:E5"/>
    <mergeCell ref="G5:H5"/>
    <mergeCell ref="J5:K5"/>
    <mergeCell ref="M5:N5"/>
    <mergeCell ref="C6:D6"/>
    <mergeCell ref="F6:G6"/>
    <mergeCell ref="I6:J6"/>
    <mergeCell ref="L6:M6"/>
    <mergeCell ref="B7:N7"/>
    <mergeCell ref="B8:N8"/>
    <mergeCell ref="B16:N16"/>
    <mergeCell ref="B28:N28"/>
    <mergeCell ref="B29:N29"/>
    <mergeCell ref="A1:N1"/>
    <mergeCell ref="A3:A6"/>
    <mergeCell ref="B3:B6"/>
    <mergeCell ref="C3:E3"/>
    <mergeCell ref="F3:H3"/>
    <mergeCell ref="I3:K3"/>
    <mergeCell ref="L3:N3"/>
    <mergeCell ref="C4:E4"/>
    <mergeCell ref="F4:H4"/>
    <mergeCell ref="I4:K4"/>
  </mergeCells>
  <pageMargins left="0.39370078740157483" right="0.11811023622047245" top="0.55118110236220474" bottom="0.51181102362204722" header="0.31496062992125984" footer="0.43307086614173229"/>
  <pageSetup paperSize="8" fitToHeight="0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DA32"/>
  <sheetViews>
    <sheetView view="pageBreakPreview" zoomScale="110" zoomScaleNormal="100" zoomScaleSheetLayoutView="110" workbookViewId="0">
      <selection activeCell="DF32" sqref="DF32"/>
    </sheetView>
  </sheetViews>
  <sheetFormatPr defaultColWidth="0.85546875" defaultRowHeight="12" customHeight="1" x14ac:dyDescent="0.25"/>
  <cols>
    <col min="1" max="16384" width="0.85546875" style="1041"/>
  </cols>
  <sheetData>
    <row r="1" spans="1:105" ht="3" customHeight="1" x14ac:dyDescent="0.25"/>
    <row r="2" spans="1:105" ht="10.5" customHeight="1" x14ac:dyDescent="0.25"/>
    <row r="3" spans="1:105" s="1042" customFormat="1" ht="14.25" x14ac:dyDescent="0.2">
      <c r="A3" s="1351" t="s">
        <v>949</v>
      </c>
      <c r="B3" s="1351"/>
      <c r="C3" s="1351"/>
      <c r="D3" s="1351"/>
      <c r="E3" s="1351"/>
      <c r="F3" s="1351"/>
      <c r="G3" s="1351"/>
      <c r="H3" s="1351"/>
      <c r="I3" s="1351"/>
      <c r="J3" s="1351"/>
      <c r="K3" s="1351"/>
      <c r="L3" s="1351"/>
      <c r="M3" s="1351"/>
      <c r="N3" s="1351"/>
      <c r="O3" s="1351"/>
      <c r="P3" s="1351"/>
      <c r="Q3" s="1351"/>
      <c r="R3" s="1351"/>
      <c r="S3" s="1351"/>
      <c r="T3" s="1351"/>
      <c r="U3" s="1351"/>
      <c r="V3" s="1351"/>
      <c r="W3" s="1351"/>
      <c r="X3" s="1351"/>
      <c r="Y3" s="1351"/>
      <c r="Z3" s="1351"/>
      <c r="AA3" s="1351"/>
      <c r="AB3" s="1351"/>
      <c r="AC3" s="1351"/>
      <c r="AD3" s="1351"/>
      <c r="AE3" s="1351"/>
      <c r="AF3" s="1351"/>
      <c r="AG3" s="1351"/>
      <c r="AH3" s="1351"/>
      <c r="AI3" s="1351"/>
      <c r="AJ3" s="1351"/>
      <c r="AK3" s="1351"/>
      <c r="AL3" s="1351"/>
      <c r="AM3" s="1351"/>
      <c r="AN3" s="1351"/>
      <c r="AO3" s="1351"/>
      <c r="AP3" s="1351"/>
      <c r="AQ3" s="1351"/>
      <c r="AR3" s="1351"/>
      <c r="AS3" s="1351"/>
      <c r="AT3" s="1351"/>
      <c r="AU3" s="1351"/>
      <c r="AV3" s="1351"/>
      <c r="AW3" s="1351"/>
      <c r="AX3" s="1351"/>
      <c r="AY3" s="1351"/>
      <c r="AZ3" s="1351"/>
      <c r="BA3" s="1351"/>
      <c r="BB3" s="1351"/>
      <c r="BC3" s="1351"/>
      <c r="BD3" s="1351"/>
      <c r="BE3" s="1351"/>
      <c r="BF3" s="1351"/>
      <c r="BG3" s="1351"/>
      <c r="BH3" s="1351"/>
      <c r="BI3" s="1351"/>
      <c r="BJ3" s="1351"/>
      <c r="BK3" s="1351"/>
      <c r="BL3" s="1351"/>
      <c r="BM3" s="1351"/>
      <c r="BN3" s="1351"/>
      <c r="BO3" s="1351"/>
      <c r="BP3" s="1351"/>
      <c r="BQ3" s="1351"/>
      <c r="BR3" s="1351"/>
      <c r="BS3" s="1351"/>
      <c r="BT3" s="1351"/>
      <c r="BU3" s="1351"/>
      <c r="BV3" s="1351"/>
      <c r="BW3" s="1351"/>
      <c r="BX3" s="1351"/>
      <c r="BY3" s="1351"/>
      <c r="BZ3" s="1351"/>
      <c r="CA3" s="1351"/>
      <c r="CB3" s="1351"/>
      <c r="CC3" s="1351"/>
      <c r="CD3" s="1351"/>
      <c r="CE3" s="1351"/>
      <c r="CF3" s="1351"/>
      <c r="CG3" s="1351"/>
      <c r="CH3" s="1351"/>
      <c r="CI3" s="1351"/>
      <c r="CJ3" s="1351"/>
      <c r="CK3" s="1351"/>
      <c r="CL3" s="1351"/>
      <c r="CM3" s="1351"/>
      <c r="CN3" s="1351"/>
      <c r="CO3" s="1351"/>
      <c r="CP3" s="1351"/>
      <c r="CQ3" s="1351"/>
      <c r="CR3" s="1351"/>
      <c r="CS3" s="1351"/>
      <c r="CT3" s="1351"/>
      <c r="CU3" s="1351"/>
      <c r="CV3" s="1351"/>
      <c r="CW3" s="1351"/>
      <c r="CX3" s="1351"/>
      <c r="CY3" s="1351"/>
      <c r="CZ3" s="1351"/>
      <c r="DA3" s="1351"/>
    </row>
    <row r="4" spans="1:105" s="1042" customFormat="1" ht="14.25" x14ac:dyDescent="0.2">
      <c r="A4" s="1351" t="s">
        <v>927</v>
      </c>
      <c r="B4" s="1351"/>
      <c r="C4" s="1351"/>
      <c r="D4" s="1351"/>
      <c r="E4" s="1351"/>
      <c r="F4" s="1351"/>
      <c r="G4" s="1351"/>
      <c r="H4" s="1351"/>
      <c r="I4" s="1351"/>
      <c r="J4" s="1351"/>
      <c r="K4" s="1351"/>
      <c r="L4" s="1351"/>
      <c r="M4" s="1351"/>
      <c r="N4" s="1351"/>
      <c r="O4" s="1351"/>
      <c r="P4" s="1351"/>
      <c r="Q4" s="1351"/>
      <c r="R4" s="1351"/>
      <c r="S4" s="1351"/>
      <c r="T4" s="1351"/>
      <c r="U4" s="1351"/>
      <c r="V4" s="1351"/>
      <c r="W4" s="1351"/>
      <c r="X4" s="1351"/>
      <c r="Y4" s="1351"/>
      <c r="Z4" s="1351"/>
      <c r="AA4" s="1351"/>
      <c r="AB4" s="1351"/>
      <c r="AC4" s="1351"/>
      <c r="AD4" s="1351"/>
      <c r="AE4" s="1351"/>
      <c r="AF4" s="1351"/>
      <c r="AG4" s="1351"/>
      <c r="AH4" s="1351"/>
      <c r="AI4" s="1351"/>
      <c r="AJ4" s="1351"/>
      <c r="AK4" s="1351"/>
      <c r="AL4" s="1351"/>
      <c r="AM4" s="1351"/>
      <c r="AN4" s="1351"/>
      <c r="AO4" s="1351"/>
      <c r="AP4" s="1351"/>
      <c r="AQ4" s="1351"/>
      <c r="AR4" s="1351"/>
      <c r="AS4" s="1351"/>
      <c r="AT4" s="1351"/>
      <c r="AU4" s="1351"/>
      <c r="AV4" s="1351"/>
      <c r="AW4" s="1351"/>
      <c r="AX4" s="1351"/>
      <c r="AY4" s="1351"/>
      <c r="AZ4" s="1351"/>
      <c r="BA4" s="1351"/>
      <c r="BB4" s="1351"/>
      <c r="BC4" s="1351"/>
      <c r="BD4" s="1351"/>
      <c r="BE4" s="1351"/>
      <c r="BF4" s="1351"/>
      <c r="BG4" s="1351"/>
      <c r="BH4" s="1351"/>
      <c r="BI4" s="1351"/>
      <c r="BJ4" s="1351"/>
      <c r="BK4" s="1351"/>
      <c r="BL4" s="1351"/>
      <c r="BM4" s="1351"/>
      <c r="BN4" s="1351"/>
      <c r="BO4" s="1351"/>
      <c r="BP4" s="1351"/>
      <c r="BQ4" s="1351"/>
      <c r="BR4" s="1351"/>
      <c r="BS4" s="1351"/>
      <c r="BT4" s="1351"/>
      <c r="BU4" s="1351"/>
      <c r="BV4" s="1351"/>
      <c r="BW4" s="1351"/>
      <c r="BX4" s="1351"/>
      <c r="BY4" s="1351"/>
      <c r="BZ4" s="1351"/>
      <c r="CA4" s="1351"/>
      <c r="CB4" s="1351"/>
      <c r="CC4" s="1351"/>
      <c r="CD4" s="1351"/>
      <c r="CE4" s="1351"/>
      <c r="CF4" s="1351"/>
      <c r="CG4" s="1351"/>
      <c r="CH4" s="1351"/>
      <c r="CI4" s="1351"/>
      <c r="CJ4" s="1351"/>
      <c r="CK4" s="1351"/>
      <c r="CL4" s="1351"/>
      <c r="CM4" s="1351"/>
      <c r="CN4" s="1351"/>
      <c r="CO4" s="1351"/>
      <c r="CP4" s="1351"/>
      <c r="CQ4" s="1351"/>
      <c r="CR4" s="1351"/>
      <c r="CS4" s="1351"/>
      <c r="CT4" s="1351"/>
      <c r="CU4" s="1351"/>
      <c r="CV4" s="1351"/>
      <c r="CW4" s="1351"/>
      <c r="CX4" s="1351"/>
      <c r="CY4" s="1351"/>
      <c r="CZ4" s="1351"/>
      <c r="DA4" s="1351"/>
    </row>
    <row r="5" spans="1:105" s="1042" customFormat="1" ht="15" x14ac:dyDescent="0.25">
      <c r="A5" s="1043"/>
      <c r="B5" s="1043"/>
      <c r="C5" s="1043"/>
      <c r="D5" s="1043"/>
      <c r="E5" s="1043"/>
      <c r="F5" s="1043"/>
      <c r="G5" s="1043"/>
      <c r="H5" s="1043"/>
      <c r="I5" s="1043"/>
      <c r="J5" s="1043"/>
      <c r="K5" s="1043"/>
      <c r="L5" s="1043"/>
      <c r="M5" s="1043"/>
      <c r="N5" s="1043"/>
      <c r="O5" s="1043"/>
      <c r="P5" s="1043"/>
      <c r="Q5" s="1043"/>
      <c r="R5" s="1043"/>
      <c r="S5" s="1043"/>
      <c r="T5" s="1043"/>
      <c r="U5" s="1043"/>
      <c r="V5" s="1043"/>
      <c r="W5" s="1043"/>
      <c r="X5" s="1043"/>
      <c r="Y5" s="1043"/>
      <c r="Z5" s="1043"/>
      <c r="AA5" s="1043"/>
      <c r="AB5" s="1043"/>
      <c r="AC5" s="1043"/>
      <c r="AD5" s="1043"/>
      <c r="AE5" s="1043"/>
      <c r="AF5" s="1043"/>
      <c r="AG5" s="1043"/>
      <c r="AH5" s="1043"/>
      <c r="AI5" s="1043"/>
      <c r="AJ5" s="1043"/>
      <c r="AK5" s="1043"/>
      <c r="AL5" s="1043"/>
      <c r="AM5" s="1043"/>
      <c r="AN5" s="1043"/>
      <c r="AO5" s="1043"/>
      <c r="AP5" s="1043"/>
      <c r="AQ5" s="1043"/>
      <c r="AR5" s="1043"/>
      <c r="AS5" s="1043"/>
      <c r="AT5" s="1043"/>
      <c r="AU5" s="1043"/>
      <c r="AV5" s="1043"/>
      <c r="AW5" s="1043"/>
      <c r="AX5" s="1043"/>
      <c r="AY5" s="1043"/>
      <c r="AZ5" s="1043"/>
      <c r="BA5" s="1043"/>
      <c r="BB5" s="1043"/>
      <c r="BC5" s="1043"/>
      <c r="BD5" s="1043"/>
      <c r="BE5" s="1043"/>
      <c r="BF5" s="1043"/>
      <c r="BG5" s="1043"/>
      <c r="BH5" s="1043"/>
      <c r="BI5" s="1043"/>
      <c r="BJ5" s="1043"/>
      <c r="BK5" s="1043"/>
      <c r="BL5" s="1043"/>
      <c r="BM5" s="1043"/>
      <c r="BN5" s="1043"/>
      <c r="BO5" s="1043"/>
      <c r="BP5" s="1043"/>
      <c r="BQ5" s="1043"/>
      <c r="BR5" s="1043"/>
      <c r="BS5" s="1043"/>
      <c r="BT5" s="1043"/>
      <c r="BU5" s="1043"/>
      <c r="BV5" s="1043"/>
      <c r="BW5" s="1043"/>
      <c r="BX5" s="1043"/>
      <c r="BY5" s="1043"/>
      <c r="BZ5" s="1043"/>
      <c r="CA5" s="1043"/>
      <c r="CB5" s="1043"/>
      <c r="CC5" s="1043"/>
      <c r="CD5" s="1043"/>
      <c r="CE5" s="1043"/>
      <c r="CF5" s="1043"/>
      <c r="CG5" s="1043"/>
      <c r="CH5" s="1043"/>
      <c r="CI5" s="1043"/>
      <c r="CJ5" s="1043"/>
      <c r="CK5" s="1043"/>
      <c r="CL5" s="1043"/>
      <c r="CM5" s="1043"/>
      <c r="CN5" s="1043"/>
      <c r="CO5" s="1043"/>
      <c r="CP5" s="1043"/>
      <c r="CQ5" s="1043"/>
      <c r="CR5" s="1043"/>
      <c r="CS5" s="1043"/>
      <c r="CT5" s="1043"/>
      <c r="CU5" s="1043"/>
      <c r="CV5" s="1043"/>
      <c r="CW5" s="1043"/>
      <c r="CX5" s="1043"/>
      <c r="CY5" s="1043"/>
      <c r="CZ5" s="1043"/>
      <c r="DA5" s="1043"/>
    </row>
    <row r="6" spans="1:105" s="1044" customFormat="1" ht="45" customHeight="1" x14ac:dyDescent="0.25">
      <c r="A6" s="1352" t="s">
        <v>928</v>
      </c>
      <c r="B6" s="1353"/>
      <c r="C6" s="1353"/>
      <c r="D6" s="1353"/>
      <c r="E6" s="1353"/>
      <c r="F6" s="1353"/>
      <c r="G6" s="1354"/>
      <c r="H6" s="1352" t="s">
        <v>88</v>
      </c>
      <c r="I6" s="1353"/>
      <c r="J6" s="1353"/>
      <c r="K6" s="1353"/>
      <c r="L6" s="1353"/>
      <c r="M6" s="1353"/>
      <c r="N6" s="1353"/>
      <c r="O6" s="1353"/>
      <c r="P6" s="1353"/>
      <c r="Q6" s="1353"/>
      <c r="R6" s="1353"/>
      <c r="S6" s="1353"/>
      <c r="T6" s="1353"/>
      <c r="U6" s="1353"/>
      <c r="V6" s="1353"/>
      <c r="W6" s="1353"/>
      <c r="X6" s="1353"/>
      <c r="Y6" s="1353"/>
      <c r="Z6" s="1353"/>
      <c r="AA6" s="1353"/>
      <c r="AB6" s="1353"/>
      <c r="AC6" s="1353"/>
      <c r="AD6" s="1353"/>
      <c r="AE6" s="1353"/>
      <c r="AF6" s="1353"/>
      <c r="AG6" s="1353"/>
      <c r="AH6" s="1353"/>
      <c r="AI6" s="1353"/>
      <c r="AJ6" s="1353"/>
      <c r="AK6" s="1353"/>
      <c r="AL6" s="1353"/>
      <c r="AM6" s="1353"/>
      <c r="AN6" s="1353"/>
      <c r="AO6" s="1353"/>
      <c r="AP6" s="1353"/>
      <c r="AQ6" s="1353"/>
      <c r="AR6" s="1353"/>
      <c r="AS6" s="1353"/>
      <c r="AT6" s="1353"/>
      <c r="AU6" s="1353"/>
      <c r="AV6" s="1353"/>
      <c r="AW6" s="1353"/>
      <c r="AX6" s="1353"/>
      <c r="AY6" s="1353"/>
      <c r="AZ6" s="1353"/>
      <c r="BA6" s="1353"/>
      <c r="BB6" s="1353"/>
      <c r="BC6" s="1353"/>
      <c r="BD6" s="1353"/>
      <c r="BE6" s="1353"/>
      <c r="BF6" s="1353"/>
      <c r="BG6" s="1353"/>
      <c r="BH6" s="1353"/>
      <c r="BI6" s="1353"/>
      <c r="BJ6" s="1353"/>
      <c r="BK6" s="1353"/>
      <c r="BL6" s="1353"/>
      <c r="BM6" s="1353"/>
      <c r="BN6" s="1353"/>
      <c r="BO6" s="1353"/>
      <c r="BP6" s="1353"/>
      <c r="BQ6" s="1353"/>
      <c r="BR6" s="1353"/>
      <c r="BS6" s="1354"/>
      <c r="BT6" s="1352" t="s">
        <v>245</v>
      </c>
      <c r="BU6" s="1353"/>
      <c r="BV6" s="1353"/>
      <c r="BW6" s="1353"/>
      <c r="BX6" s="1353"/>
      <c r="BY6" s="1353"/>
      <c r="BZ6" s="1353"/>
      <c r="CA6" s="1353"/>
      <c r="CB6" s="1353"/>
      <c r="CC6" s="1353"/>
      <c r="CD6" s="1353"/>
      <c r="CE6" s="1353"/>
      <c r="CF6" s="1353"/>
      <c r="CG6" s="1353"/>
      <c r="CH6" s="1353"/>
      <c r="CI6" s="1353"/>
      <c r="CJ6" s="1353"/>
      <c r="CK6" s="1353"/>
      <c r="CL6" s="1353"/>
      <c r="CM6" s="1353"/>
      <c r="CN6" s="1353"/>
      <c r="CO6" s="1353"/>
      <c r="CP6" s="1353"/>
      <c r="CQ6" s="1353"/>
      <c r="CR6" s="1353"/>
      <c r="CS6" s="1353"/>
      <c r="CT6" s="1353"/>
      <c r="CU6" s="1353"/>
      <c r="CV6" s="1353"/>
      <c r="CW6" s="1353"/>
      <c r="CX6" s="1353"/>
      <c r="CY6" s="1353"/>
      <c r="CZ6" s="1353"/>
      <c r="DA6" s="1354"/>
    </row>
    <row r="7" spans="1:105" s="1045" customFormat="1" ht="12.75" x14ac:dyDescent="0.25">
      <c r="A7" s="1348">
        <v>1</v>
      </c>
      <c r="B7" s="1349"/>
      <c r="C7" s="1349"/>
      <c r="D7" s="1349"/>
      <c r="E7" s="1349"/>
      <c r="F7" s="1349"/>
      <c r="G7" s="1350"/>
      <c r="H7" s="1348">
        <v>2</v>
      </c>
      <c r="I7" s="1349"/>
      <c r="J7" s="1349"/>
      <c r="K7" s="1349"/>
      <c r="L7" s="1349"/>
      <c r="M7" s="1349"/>
      <c r="N7" s="1349"/>
      <c r="O7" s="1349"/>
      <c r="P7" s="1349"/>
      <c r="Q7" s="1349"/>
      <c r="R7" s="1349"/>
      <c r="S7" s="1349"/>
      <c r="T7" s="1349"/>
      <c r="U7" s="1349"/>
      <c r="V7" s="1349"/>
      <c r="W7" s="1349"/>
      <c r="X7" s="1349"/>
      <c r="Y7" s="1349"/>
      <c r="Z7" s="1349"/>
      <c r="AA7" s="1349"/>
      <c r="AB7" s="1349"/>
      <c r="AC7" s="1349"/>
      <c r="AD7" s="1349"/>
      <c r="AE7" s="1349"/>
      <c r="AF7" s="1349"/>
      <c r="AG7" s="1349"/>
      <c r="AH7" s="1349"/>
      <c r="AI7" s="1349"/>
      <c r="AJ7" s="1349"/>
      <c r="AK7" s="1349"/>
      <c r="AL7" s="1349"/>
      <c r="AM7" s="1349"/>
      <c r="AN7" s="1349"/>
      <c r="AO7" s="1349"/>
      <c r="AP7" s="1349"/>
      <c r="AQ7" s="1349"/>
      <c r="AR7" s="1349"/>
      <c r="AS7" s="1349"/>
      <c r="AT7" s="1349"/>
      <c r="AU7" s="1349"/>
      <c r="AV7" s="1349"/>
      <c r="AW7" s="1349"/>
      <c r="AX7" s="1349"/>
      <c r="AY7" s="1349"/>
      <c r="AZ7" s="1349"/>
      <c r="BA7" s="1349"/>
      <c r="BB7" s="1349"/>
      <c r="BC7" s="1349"/>
      <c r="BD7" s="1349"/>
      <c r="BE7" s="1349"/>
      <c r="BF7" s="1349"/>
      <c r="BG7" s="1349"/>
      <c r="BH7" s="1349"/>
      <c r="BI7" s="1349"/>
      <c r="BJ7" s="1349"/>
      <c r="BK7" s="1349"/>
      <c r="BL7" s="1349"/>
      <c r="BM7" s="1349"/>
      <c r="BN7" s="1349"/>
      <c r="BO7" s="1349"/>
      <c r="BP7" s="1349"/>
      <c r="BQ7" s="1349"/>
      <c r="BR7" s="1349"/>
      <c r="BS7" s="1350"/>
      <c r="BT7" s="1348">
        <v>3</v>
      </c>
      <c r="BU7" s="1349"/>
      <c r="BV7" s="1349"/>
      <c r="BW7" s="1349"/>
      <c r="BX7" s="1349"/>
      <c r="BY7" s="1349"/>
      <c r="BZ7" s="1349"/>
      <c r="CA7" s="1349"/>
      <c r="CB7" s="1349"/>
      <c r="CC7" s="1349"/>
      <c r="CD7" s="1349"/>
      <c r="CE7" s="1349"/>
      <c r="CF7" s="1349"/>
      <c r="CG7" s="1349"/>
      <c r="CH7" s="1349"/>
      <c r="CI7" s="1349"/>
      <c r="CJ7" s="1349"/>
      <c r="CK7" s="1349"/>
      <c r="CL7" s="1349"/>
      <c r="CM7" s="1349"/>
      <c r="CN7" s="1349"/>
      <c r="CO7" s="1349"/>
      <c r="CP7" s="1349"/>
      <c r="CQ7" s="1349"/>
      <c r="CR7" s="1349"/>
      <c r="CS7" s="1349"/>
      <c r="CT7" s="1349"/>
      <c r="CU7" s="1349"/>
      <c r="CV7" s="1349"/>
      <c r="CW7" s="1349"/>
      <c r="CX7" s="1349"/>
      <c r="CY7" s="1349"/>
      <c r="CZ7" s="1349"/>
      <c r="DA7" s="1350"/>
    </row>
    <row r="8" spans="1:105" s="1046" customFormat="1" ht="23.25" customHeight="1" x14ac:dyDescent="0.25">
      <c r="A8" s="1355" t="s">
        <v>948</v>
      </c>
      <c r="B8" s="1356"/>
      <c r="C8" s="1356"/>
      <c r="D8" s="1356"/>
      <c r="E8" s="1356"/>
      <c r="F8" s="1356"/>
      <c r="G8" s="1357"/>
      <c r="H8" s="1358" t="s">
        <v>930</v>
      </c>
      <c r="I8" s="1359"/>
      <c r="J8" s="1359"/>
      <c r="K8" s="1359"/>
      <c r="L8" s="1359"/>
      <c r="M8" s="1359"/>
      <c r="N8" s="1359"/>
      <c r="O8" s="1359"/>
      <c r="P8" s="1359"/>
      <c r="Q8" s="1359"/>
      <c r="R8" s="1359"/>
      <c r="S8" s="1359"/>
      <c r="T8" s="1359"/>
      <c r="U8" s="1359"/>
      <c r="V8" s="1359"/>
      <c r="W8" s="1359"/>
      <c r="X8" s="1359"/>
      <c r="Y8" s="1359"/>
      <c r="Z8" s="1359"/>
      <c r="AA8" s="1359"/>
      <c r="AB8" s="1359"/>
      <c r="AC8" s="1359"/>
      <c r="AD8" s="1359"/>
      <c r="AE8" s="1359"/>
      <c r="AF8" s="1359"/>
      <c r="AG8" s="1359"/>
      <c r="AH8" s="1359"/>
      <c r="AI8" s="1359"/>
      <c r="AJ8" s="1359"/>
      <c r="AK8" s="1359"/>
      <c r="AL8" s="1359"/>
      <c r="AM8" s="1359"/>
      <c r="AN8" s="1359"/>
      <c r="AO8" s="1359"/>
      <c r="AP8" s="1359"/>
      <c r="AQ8" s="1359"/>
      <c r="AR8" s="1359"/>
      <c r="AS8" s="1359"/>
      <c r="AT8" s="1359"/>
      <c r="AU8" s="1359"/>
      <c r="AV8" s="1359"/>
      <c r="AW8" s="1359"/>
      <c r="AX8" s="1359"/>
      <c r="AY8" s="1359"/>
      <c r="AZ8" s="1359"/>
      <c r="BA8" s="1359"/>
      <c r="BB8" s="1359"/>
      <c r="BC8" s="1359"/>
      <c r="BD8" s="1359"/>
      <c r="BE8" s="1359"/>
      <c r="BF8" s="1359"/>
      <c r="BG8" s="1359"/>
      <c r="BH8" s="1359"/>
      <c r="BI8" s="1359"/>
      <c r="BJ8" s="1359"/>
      <c r="BK8" s="1359"/>
      <c r="BL8" s="1359"/>
      <c r="BM8" s="1359"/>
      <c r="BN8" s="1359"/>
      <c r="BO8" s="1359"/>
      <c r="BP8" s="1359"/>
      <c r="BQ8" s="1359"/>
      <c r="BR8" s="1359"/>
      <c r="BS8" s="1360"/>
      <c r="BT8" s="1361">
        <v>2097056841.5999999</v>
      </c>
      <c r="BU8" s="1362"/>
      <c r="BV8" s="1362"/>
      <c r="BW8" s="1362"/>
      <c r="BX8" s="1362"/>
      <c r="BY8" s="1362"/>
      <c r="BZ8" s="1362"/>
      <c r="CA8" s="1362"/>
      <c r="CB8" s="1362"/>
      <c r="CC8" s="1362"/>
      <c r="CD8" s="1362"/>
      <c r="CE8" s="1362"/>
      <c r="CF8" s="1362"/>
      <c r="CG8" s="1362"/>
      <c r="CH8" s="1362"/>
      <c r="CI8" s="1362"/>
      <c r="CJ8" s="1362"/>
      <c r="CK8" s="1362"/>
      <c r="CL8" s="1362"/>
      <c r="CM8" s="1362"/>
      <c r="CN8" s="1362"/>
      <c r="CO8" s="1362"/>
      <c r="CP8" s="1362"/>
      <c r="CQ8" s="1362"/>
      <c r="CR8" s="1362"/>
      <c r="CS8" s="1362"/>
      <c r="CT8" s="1362"/>
      <c r="CU8" s="1362"/>
      <c r="CV8" s="1362"/>
      <c r="CW8" s="1362"/>
      <c r="CX8" s="1362"/>
      <c r="CY8" s="1362"/>
      <c r="CZ8" s="1362"/>
      <c r="DA8" s="1363"/>
    </row>
    <row r="9" spans="1:105" s="1046" customFormat="1" ht="12.75" x14ac:dyDescent="0.25">
      <c r="A9" s="1355"/>
      <c r="B9" s="1356"/>
      <c r="C9" s="1356"/>
      <c r="D9" s="1356"/>
      <c r="E9" s="1356"/>
      <c r="F9" s="1356"/>
      <c r="G9" s="1357"/>
      <c r="H9" s="1364" t="s">
        <v>92</v>
      </c>
      <c r="I9" s="1365"/>
      <c r="J9" s="1365"/>
      <c r="K9" s="1365"/>
      <c r="L9" s="1365"/>
      <c r="M9" s="1365"/>
      <c r="N9" s="1365"/>
      <c r="O9" s="1365"/>
      <c r="P9" s="1365"/>
      <c r="Q9" s="1365"/>
      <c r="R9" s="1365"/>
      <c r="S9" s="1365"/>
      <c r="T9" s="1365"/>
      <c r="U9" s="1365"/>
      <c r="V9" s="1365"/>
      <c r="W9" s="1365"/>
      <c r="X9" s="1365"/>
      <c r="Y9" s="1365"/>
      <c r="Z9" s="1365"/>
      <c r="AA9" s="1365"/>
      <c r="AB9" s="1365"/>
      <c r="AC9" s="1365"/>
      <c r="AD9" s="1365"/>
      <c r="AE9" s="1365"/>
      <c r="AF9" s="1365"/>
      <c r="AG9" s="1365"/>
      <c r="AH9" s="1365"/>
      <c r="AI9" s="1365"/>
      <c r="AJ9" s="1365"/>
      <c r="AK9" s="1365"/>
      <c r="AL9" s="1365"/>
      <c r="AM9" s="1365"/>
      <c r="AN9" s="1365"/>
      <c r="AO9" s="1365"/>
      <c r="AP9" s="1365"/>
      <c r="AQ9" s="1365"/>
      <c r="AR9" s="1365"/>
      <c r="AS9" s="1365"/>
      <c r="AT9" s="1365"/>
      <c r="AU9" s="1365"/>
      <c r="AV9" s="1365"/>
      <c r="AW9" s="1365"/>
      <c r="AX9" s="1365"/>
      <c r="AY9" s="1365"/>
      <c r="AZ9" s="1365"/>
      <c r="BA9" s="1365"/>
      <c r="BB9" s="1365"/>
      <c r="BC9" s="1365"/>
      <c r="BD9" s="1365"/>
      <c r="BE9" s="1365"/>
      <c r="BF9" s="1365"/>
      <c r="BG9" s="1365"/>
      <c r="BH9" s="1365"/>
      <c r="BI9" s="1365"/>
      <c r="BJ9" s="1365"/>
      <c r="BK9" s="1365"/>
      <c r="BL9" s="1365"/>
      <c r="BM9" s="1365"/>
      <c r="BN9" s="1365"/>
      <c r="BO9" s="1365"/>
      <c r="BP9" s="1365"/>
      <c r="BQ9" s="1365"/>
      <c r="BR9" s="1365"/>
      <c r="BS9" s="1366"/>
      <c r="BT9" s="1361"/>
      <c r="BU9" s="1362"/>
      <c r="BV9" s="1362"/>
      <c r="BW9" s="1362"/>
      <c r="BX9" s="1362"/>
      <c r="BY9" s="1362"/>
      <c r="BZ9" s="1362"/>
      <c r="CA9" s="1362"/>
      <c r="CB9" s="1362"/>
      <c r="CC9" s="1362"/>
      <c r="CD9" s="1362"/>
      <c r="CE9" s="1362"/>
      <c r="CF9" s="1362"/>
      <c r="CG9" s="1362"/>
      <c r="CH9" s="1362"/>
      <c r="CI9" s="1362"/>
      <c r="CJ9" s="1362"/>
      <c r="CK9" s="1362"/>
      <c r="CL9" s="1362"/>
      <c r="CM9" s="1362"/>
      <c r="CN9" s="1362"/>
      <c r="CO9" s="1362"/>
      <c r="CP9" s="1362"/>
      <c r="CQ9" s="1362"/>
      <c r="CR9" s="1362"/>
      <c r="CS9" s="1362"/>
      <c r="CT9" s="1362"/>
      <c r="CU9" s="1362"/>
      <c r="CV9" s="1362"/>
      <c r="CW9" s="1362"/>
      <c r="CX9" s="1362"/>
      <c r="CY9" s="1362"/>
      <c r="CZ9" s="1362"/>
      <c r="DA9" s="1363"/>
    </row>
    <row r="10" spans="1:105" s="1046" customFormat="1" ht="12.75" x14ac:dyDescent="0.2">
      <c r="A10" s="1355" t="s">
        <v>266</v>
      </c>
      <c r="B10" s="1356"/>
      <c r="C10" s="1356"/>
      <c r="D10" s="1356"/>
      <c r="E10" s="1356"/>
      <c r="F10" s="1356"/>
      <c r="G10" s="1357"/>
      <c r="H10" s="1367" t="s">
        <v>931</v>
      </c>
      <c r="I10" s="1368"/>
      <c r="J10" s="1368"/>
      <c r="K10" s="1368"/>
      <c r="L10" s="1368"/>
      <c r="M10" s="1368"/>
      <c r="N10" s="1368"/>
      <c r="O10" s="1368"/>
      <c r="P10" s="1368"/>
      <c r="Q10" s="1368"/>
      <c r="R10" s="1368"/>
      <c r="S10" s="1368"/>
      <c r="T10" s="1368"/>
      <c r="U10" s="1368"/>
      <c r="V10" s="1368"/>
      <c r="W10" s="1368"/>
      <c r="X10" s="1368"/>
      <c r="Y10" s="1368"/>
      <c r="Z10" s="1368"/>
      <c r="AA10" s="1368"/>
      <c r="AB10" s="1368"/>
      <c r="AC10" s="1368"/>
      <c r="AD10" s="1368"/>
      <c r="AE10" s="1368"/>
      <c r="AF10" s="1368"/>
      <c r="AG10" s="1368"/>
      <c r="AH10" s="1368"/>
      <c r="AI10" s="1368"/>
      <c r="AJ10" s="1368"/>
      <c r="AK10" s="1368"/>
      <c r="AL10" s="1368"/>
      <c r="AM10" s="1368"/>
      <c r="AN10" s="1368"/>
      <c r="AO10" s="1368"/>
      <c r="AP10" s="1368"/>
      <c r="AQ10" s="1368"/>
      <c r="AR10" s="1368"/>
      <c r="AS10" s="1368"/>
      <c r="AT10" s="1368"/>
      <c r="AU10" s="1368"/>
      <c r="AV10" s="1368"/>
      <c r="AW10" s="1368"/>
      <c r="AX10" s="1368"/>
      <c r="AY10" s="1368"/>
      <c r="AZ10" s="1368"/>
      <c r="BA10" s="1368"/>
      <c r="BB10" s="1368"/>
      <c r="BC10" s="1368"/>
      <c r="BD10" s="1368"/>
      <c r="BE10" s="1368"/>
      <c r="BF10" s="1368"/>
      <c r="BG10" s="1368"/>
      <c r="BH10" s="1368"/>
      <c r="BI10" s="1368"/>
      <c r="BJ10" s="1368"/>
      <c r="BK10" s="1368"/>
      <c r="BL10" s="1368"/>
      <c r="BM10" s="1368"/>
      <c r="BN10" s="1368"/>
      <c r="BO10" s="1368"/>
      <c r="BP10" s="1368"/>
      <c r="BQ10" s="1368"/>
      <c r="BR10" s="1368"/>
      <c r="BS10" s="1369"/>
      <c r="BT10" s="1370">
        <f>5426015.27+702600436.98</f>
        <v>708026452.25</v>
      </c>
      <c r="BU10" s="1371"/>
      <c r="BV10" s="1371"/>
      <c r="BW10" s="1371"/>
      <c r="BX10" s="1371"/>
      <c r="BY10" s="1371"/>
      <c r="BZ10" s="1371"/>
      <c r="CA10" s="1371"/>
      <c r="CB10" s="1371"/>
      <c r="CC10" s="1371"/>
      <c r="CD10" s="1371"/>
      <c r="CE10" s="1371"/>
      <c r="CF10" s="1371"/>
      <c r="CG10" s="1371"/>
      <c r="CH10" s="1371"/>
      <c r="CI10" s="1371"/>
      <c r="CJ10" s="1371"/>
      <c r="CK10" s="1371"/>
      <c r="CL10" s="1371"/>
      <c r="CM10" s="1371"/>
      <c r="CN10" s="1371"/>
      <c r="CO10" s="1371"/>
      <c r="CP10" s="1371"/>
      <c r="CQ10" s="1371"/>
      <c r="CR10" s="1371"/>
      <c r="CS10" s="1371"/>
      <c r="CT10" s="1371"/>
      <c r="CU10" s="1371"/>
      <c r="CV10" s="1371"/>
      <c r="CW10" s="1371"/>
      <c r="CX10" s="1371"/>
      <c r="CY10" s="1371"/>
      <c r="CZ10" s="1371"/>
      <c r="DA10" s="1372"/>
    </row>
    <row r="11" spans="1:105" s="1046" customFormat="1" ht="12.75" x14ac:dyDescent="0.25">
      <c r="A11" s="1355"/>
      <c r="B11" s="1356"/>
      <c r="C11" s="1356"/>
      <c r="D11" s="1356"/>
      <c r="E11" s="1356"/>
      <c r="F11" s="1356"/>
      <c r="G11" s="1357"/>
      <c r="H11" s="1373" t="s">
        <v>137</v>
      </c>
      <c r="I11" s="1374"/>
      <c r="J11" s="1374"/>
      <c r="K11" s="1374"/>
      <c r="L11" s="1374"/>
      <c r="M11" s="1374"/>
      <c r="N11" s="1374"/>
      <c r="O11" s="1374"/>
      <c r="P11" s="1374"/>
      <c r="Q11" s="1374"/>
      <c r="R11" s="1374"/>
      <c r="S11" s="1374"/>
      <c r="T11" s="1374"/>
      <c r="U11" s="1374"/>
      <c r="V11" s="1374"/>
      <c r="W11" s="1374"/>
      <c r="X11" s="1374"/>
      <c r="Y11" s="1374"/>
      <c r="Z11" s="1374"/>
      <c r="AA11" s="1374"/>
      <c r="AB11" s="1374"/>
      <c r="AC11" s="1374"/>
      <c r="AD11" s="1374"/>
      <c r="AE11" s="1374"/>
      <c r="AF11" s="1374"/>
      <c r="AG11" s="1374"/>
      <c r="AH11" s="1374"/>
      <c r="AI11" s="1374"/>
      <c r="AJ11" s="1374"/>
      <c r="AK11" s="1374"/>
      <c r="AL11" s="1374"/>
      <c r="AM11" s="1374"/>
      <c r="AN11" s="1374"/>
      <c r="AO11" s="1374"/>
      <c r="AP11" s="1374"/>
      <c r="AQ11" s="1374"/>
      <c r="AR11" s="1374"/>
      <c r="AS11" s="1374"/>
      <c r="AT11" s="1374"/>
      <c r="AU11" s="1374"/>
      <c r="AV11" s="1374"/>
      <c r="AW11" s="1374"/>
      <c r="AX11" s="1374"/>
      <c r="AY11" s="1374"/>
      <c r="AZ11" s="1374"/>
      <c r="BA11" s="1374"/>
      <c r="BB11" s="1374"/>
      <c r="BC11" s="1374"/>
      <c r="BD11" s="1374"/>
      <c r="BE11" s="1374"/>
      <c r="BF11" s="1374"/>
      <c r="BG11" s="1374"/>
      <c r="BH11" s="1374"/>
      <c r="BI11" s="1374"/>
      <c r="BJ11" s="1374"/>
      <c r="BK11" s="1374"/>
      <c r="BL11" s="1374"/>
      <c r="BM11" s="1374"/>
      <c r="BN11" s="1374"/>
      <c r="BO11" s="1374"/>
      <c r="BP11" s="1374"/>
      <c r="BQ11" s="1374"/>
      <c r="BR11" s="1374"/>
      <c r="BS11" s="1375"/>
      <c r="BT11" s="1370"/>
      <c r="BU11" s="1371"/>
      <c r="BV11" s="1371"/>
      <c r="BW11" s="1371"/>
      <c r="BX11" s="1371"/>
      <c r="BY11" s="1371"/>
      <c r="BZ11" s="1371"/>
      <c r="CA11" s="1371"/>
      <c r="CB11" s="1371"/>
      <c r="CC11" s="1371"/>
      <c r="CD11" s="1371"/>
      <c r="CE11" s="1371"/>
      <c r="CF11" s="1371"/>
      <c r="CG11" s="1371"/>
      <c r="CH11" s="1371"/>
      <c r="CI11" s="1371"/>
      <c r="CJ11" s="1371"/>
      <c r="CK11" s="1371"/>
      <c r="CL11" s="1371"/>
      <c r="CM11" s="1371"/>
      <c r="CN11" s="1371"/>
      <c r="CO11" s="1371"/>
      <c r="CP11" s="1371"/>
      <c r="CQ11" s="1371"/>
      <c r="CR11" s="1371"/>
      <c r="CS11" s="1371"/>
      <c r="CT11" s="1371"/>
      <c r="CU11" s="1371"/>
      <c r="CV11" s="1371"/>
      <c r="CW11" s="1371"/>
      <c r="CX11" s="1371"/>
      <c r="CY11" s="1371"/>
      <c r="CZ11" s="1371"/>
      <c r="DA11" s="1372"/>
    </row>
    <row r="12" spans="1:105" s="1046" customFormat="1" ht="12.75" x14ac:dyDescent="0.25">
      <c r="A12" s="1355" t="s">
        <v>270</v>
      </c>
      <c r="B12" s="1356"/>
      <c r="C12" s="1356"/>
      <c r="D12" s="1356"/>
      <c r="E12" s="1356"/>
      <c r="F12" s="1356"/>
      <c r="G12" s="1357"/>
      <c r="H12" s="1373" t="s">
        <v>932</v>
      </c>
      <c r="I12" s="1374"/>
      <c r="J12" s="1374"/>
      <c r="K12" s="1374"/>
      <c r="L12" s="1374"/>
      <c r="M12" s="1374"/>
      <c r="N12" s="1374"/>
      <c r="O12" s="1374"/>
      <c r="P12" s="1374"/>
      <c r="Q12" s="1374"/>
      <c r="R12" s="1374"/>
      <c r="S12" s="1374"/>
      <c r="T12" s="1374"/>
      <c r="U12" s="1374"/>
      <c r="V12" s="1374"/>
      <c r="W12" s="1374"/>
      <c r="X12" s="1374"/>
      <c r="Y12" s="1374"/>
      <c r="Z12" s="1374"/>
      <c r="AA12" s="1374"/>
      <c r="AB12" s="1374"/>
      <c r="AC12" s="1374"/>
      <c r="AD12" s="1374"/>
      <c r="AE12" s="1374"/>
      <c r="AF12" s="1374"/>
      <c r="AG12" s="1374"/>
      <c r="AH12" s="1374"/>
      <c r="AI12" s="1374"/>
      <c r="AJ12" s="1374"/>
      <c r="AK12" s="1374"/>
      <c r="AL12" s="1374"/>
      <c r="AM12" s="1374"/>
      <c r="AN12" s="1374"/>
      <c r="AO12" s="1374"/>
      <c r="AP12" s="1374"/>
      <c r="AQ12" s="1374"/>
      <c r="AR12" s="1374"/>
      <c r="AS12" s="1374"/>
      <c r="AT12" s="1374"/>
      <c r="AU12" s="1374"/>
      <c r="AV12" s="1374"/>
      <c r="AW12" s="1374"/>
      <c r="AX12" s="1374"/>
      <c r="AY12" s="1374"/>
      <c r="AZ12" s="1374"/>
      <c r="BA12" s="1374"/>
      <c r="BB12" s="1374"/>
      <c r="BC12" s="1374"/>
      <c r="BD12" s="1374"/>
      <c r="BE12" s="1374"/>
      <c r="BF12" s="1374"/>
      <c r="BG12" s="1374"/>
      <c r="BH12" s="1374"/>
      <c r="BI12" s="1374"/>
      <c r="BJ12" s="1374"/>
      <c r="BK12" s="1374"/>
      <c r="BL12" s="1374"/>
      <c r="BM12" s="1374"/>
      <c r="BN12" s="1374"/>
      <c r="BO12" s="1374"/>
      <c r="BP12" s="1374"/>
      <c r="BQ12" s="1374"/>
      <c r="BR12" s="1374"/>
      <c r="BS12" s="1375"/>
      <c r="BT12" s="1370">
        <f>BT10-1646664.44-215539061.41</f>
        <v>490840726.39999998</v>
      </c>
      <c r="BU12" s="1371"/>
      <c r="BV12" s="1371"/>
      <c r="BW12" s="1371"/>
      <c r="BX12" s="1371"/>
      <c r="BY12" s="1371"/>
      <c r="BZ12" s="1371"/>
      <c r="CA12" s="1371"/>
      <c r="CB12" s="1371"/>
      <c r="CC12" s="1371"/>
      <c r="CD12" s="1371"/>
      <c r="CE12" s="1371"/>
      <c r="CF12" s="1371"/>
      <c r="CG12" s="1371"/>
      <c r="CH12" s="1371"/>
      <c r="CI12" s="1371"/>
      <c r="CJ12" s="1371"/>
      <c r="CK12" s="1371"/>
      <c r="CL12" s="1371"/>
      <c r="CM12" s="1371"/>
      <c r="CN12" s="1371"/>
      <c r="CO12" s="1371"/>
      <c r="CP12" s="1371"/>
      <c r="CQ12" s="1371"/>
      <c r="CR12" s="1371"/>
      <c r="CS12" s="1371"/>
      <c r="CT12" s="1371"/>
      <c r="CU12" s="1371"/>
      <c r="CV12" s="1371"/>
      <c r="CW12" s="1371"/>
      <c r="CX12" s="1371"/>
      <c r="CY12" s="1371"/>
      <c r="CZ12" s="1371"/>
      <c r="DA12" s="1372"/>
    </row>
    <row r="13" spans="1:105" s="1046" customFormat="1" ht="15" customHeight="1" x14ac:dyDescent="0.25">
      <c r="A13" s="1355" t="s">
        <v>280</v>
      </c>
      <c r="B13" s="1356"/>
      <c r="C13" s="1356"/>
      <c r="D13" s="1356"/>
      <c r="E13" s="1356"/>
      <c r="F13" s="1356"/>
      <c r="G13" s="1357"/>
      <c r="H13" s="1376" t="s">
        <v>933</v>
      </c>
      <c r="I13" s="1377"/>
      <c r="J13" s="1377"/>
      <c r="K13" s="1377"/>
      <c r="L13" s="1377"/>
      <c r="M13" s="1377"/>
      <c r="N13" s="1377"/>
      <c r="O13" s="1377"/>
      <c r="P13" s="1377"/>
      <c r="Q13" s="1377"/>
      <c r="R13" s="1377"/>
      <c r="S13" s="1377"/>
      <c r="T13" s="1377"/>
      <c r="U13" s="1377"/>
      <c r="V13" s="1377"/>
      <c r="W13" s="1377"/>
      <c r="X13" s="1377"/>
      <c r="Y13" s="1377"/>
      <c r="Z13" s="1377"/>
      <c r="AA13" s="1377"/>
      <c r="AB13" s="1377"/>
      <c r="AC13" s="1377"/>
      <c r="AD13" s="1377"/>
      <c r="AE13" s="1377"/>
      <c r="AF13" s="1377"/>
      <c r="AG13" s="1377"/>
      <c r="AH13" s="1377"/>
      <c r="AI13" s="1377"/>
      <c r="AJ13" s="1377"/>
      <c r="AK13" s="1377"/>
      <c r="AL13" s="1377"/>
      <c r="AM13" s="1377"/>
      <c r="AN13" s="1377"/>
      <c r="AO13" s="1377"/>
      <c r="AP13" s="1377"/>
      <c r="AQ13" s="1377"/>
      <c r="AR13" s="1377"/>
      <c r="AS13" s="1377"/>
      <c r="AT13" s="1377"/>
      <c r="AU13" s="1377"/>
      <c r="AV13" s="1377"/>
      <c r="AW13" s="1377"/>
      <c r="AX13" s="1377"/>
      <c r="AY13" s="1377"/>
      <c r="AZ13" s="1377"/>
      <c r="BA13" s="1377"/>
      <c r="BB13" s="1377"/>
      <c r="BC13" s="1377"/>
      <c r="BD13" s="1377"/>
      <c r="BE13" s="1377"/>
      <c r="BF13" s="1377"/>
      <c r="BG13" s="1377"/>
      <c r="BH13" s="1377"/>
      <c r="BI13" s="1377"/>
      <c r="BJ13" s="1377"/>
      <c r="BK13" s="1377"/>
      <c r="BL13" s="1377"/>
      <c r="BM13" s="1377"/>
      <c r="BN13" s="1377"/>
      <c r="BO13" s="1377"/>
      <c r="BP13" s="1377"/>
      <c r="BQ13" s="1377"/>
      <c r="BR13" s="1377"/>
      <c r="BS13" s="1378"/>
      <c r="BT13" s="1370">
        <f>9937707.43+726464360.13</f>
        <v>736402067.55999994</v>
      </c>
      <c r="BU13" s="1371"/>
      <c r="BV13" s="1371"/>
      <c r="BW13" s="1371"/>
      <c r="BX13" s="1371"/>
      <c r="BY13" s="1371"/>
      <c r="BZ13" s="1371"/>
      <c r="CA13" s="1371"/>
      <c r="CB13" s="1371"/>
      <c r="CC13" s="1371"/>
      <c r="CD13" s="1371"/>
      <c r="CE13" s="1371"/>
      <c r="CF13" s="1371"/>
      <c r="CG13" s="1371"/>
      <c r="CH13" s="1371"/>
      <c r="CI13" s="1371"/>
      <c r="CJ13" s="1371"/>
      <c r="CK13" s="1371"/>
      <c r="CL13" s="1371"/>
      <c r="CM13" s="1371"/>
      <c r="CN13" s="1371"/>
      <c r="CO13" s="1371"/>
      <c r="CP13" s="1371"/>
      <c r="CQ13" s="1371"/>
      <c r="CR13" s="1371"/>
      <c r="CS13" s="1371"/>
      <c r="CT13" s="1371"/>
      <c r="CU13" s="1371"/>
      <c r="CV13" s="1371"/>
      <c r="CW13" s="1371"/>
      <c r="CX13" s="1371"/>
      <c r="CY13" s="1371"/>
      <c r="CZ13" s="1371"/>
      <c r="DA13" s="1372"/>
    </row>
    <row r="14" spans="1:105" s="1046" customFormat="1" ht="15" customHeight="1" x14ac:dyDescent="0.25">
      <c r="A14" s="1355"/>
      <c r="B14" s="1356"/>
      <c r="C14" s="1356"/>
      <c r="D14" s="1356"/>
      <c r="E14" s="1356"/>
      <c r="F14" s="1356"/>
      <c r="G14" s="1357"/>
      <c r="H14" s="1373" t="s">
        <v>137</v>
      </c>
      <c r="I14" s="1374"/>
      <c r="J14" s="1374"/>
      <c r="K14" s="1374"/>
      <c r="L14" s="1374"/>
      <c r="M14" s="1374"/>
      <c r="N14" s="1374"/>
      <c r="O14" s="1374"/>
      <c r="P14" s="1374"/>
      <c r="Q14" s="1374"/>
      <c r="R14" s="1374"/>
      <c r="S14" s="1374"/>
      <c r="T14" s="1374"/>
      <c r="U14" s="1374"/>
      <c r="V14" s="1374"/>
      <c r="W14" s="1374"/>
      <c r="X14" s="1374"/>
      <c r="Y14" s="1374"/>
      <c r="Z14" s="1374"/>
      <c r="AA14" s="1374"/>
      <c r="AB14" s="1374"/>
      <c r="AC14" s="1374"/>
      <c r="AD14" s="1374"/>
      <c r="AE14" s="1374"/>
      <c r="AF14" s="1374"/>
      <c r="AG14" s="1374"/>
      <c r="AH14" s="1374"/>
      <c r="AI14" s="1374"/>
      <c r="AJ14" s="1374"/>
      <c r="AK14" s="1374"/>
      <c r="AL14" s="1374"/>
      <c r="AM14" s="1374"/>
      <c r="AN14" s="1374"/>
      <c r="AO14" s="1374"/>
      <c r="AP14" s="1374"/>
      <c r="AQ14" s="1374"/>
      <c r="AR14" s="1374"/>
      <c r="AS14" s="1374"/>
      <c r="AT14" s="1374"/>
      <c r="AU14" s="1374"/>
      <c r="AV14" s="1374"/>
      <c r="AW14" s="1374"/>
      <c r="AX14" s="1374"/>
      <c r="AY14" s="1374"/>
      <c r="AZ14" s="1374"/>
      <c r="BA14" s="1374"/>
      <c r="BB14" s="1374"/>
      <c r="BC14" s="1374"/>
      <c r="BD14" s="1374"/>
      <c r="BE14" s="1374"/>
      <c r="BF14" s="1374"/>
      <c r="BG14" s="1374"/>
      <c r="BH14" s="1374"/>
      <c r="BI14" s="1374"/>
      <c r="BJ14" s="1374"/>
      <c r="BK14" s="1374"/>
      <c r="BL14" s="1374"/>
      <c r="BM14" s="1374"/>
      <c r="BN14" s="1374"/>
      <c r="BO14" s="1374"/>
      <c r="BP14" s="1374"/>
      <c r="BQ14" s="1374"/>
      <c r="BR14" s="1374"/>
      <c r="BS14" s="1375"/>
      <c r="BT14" s="1370"/>
      <c r="BU14" s="1371"/>
      <c r="BV14" s="1371"/>
      <c r="BW14" s="1371"/>
      <c r="BX14" s="1371"/>
      <c r="BY14" s="1371"/>
      <c r="BZ14" s="1371"/>
      <c r="CA14" s="1371"/>
      <c r="CB14" s="1371"/>
      <c r="CC14" s="1371"/>
      <c r="CD14" s="1371"/>
      <c r="CE14" s="1371"/>
      <c r="CF14" s="1371"/>
      <c r="CG14" s="1371"/>
      <c r="CH14" s="1371"/>
      <c r="CI14" s="1371"/>
      <c r="CJ14" s="1371"/>
      <c r="CK14" s="1371"/>
      <c r="CL14" s="1371"/>
      <c r="CM14" s="1371"/>
      <c r="CN14" s="1371"/>
      <c r="CO14" s="1371"/>
      <c r="CP14" s="1371"/>
      <c r="CQ14" s="1371"/>
      <c r="CR14" s="1371"/>
      <c r="CS14" s="1371"/>
      <c r="CT14" s="1371"/>
      <c r="CU14" s="1371"/>
      <c r="CV14" s="1371"/>
      <c r="CW14" s="1371"/>
      <c r="CX14" s="1371"/>
      <c r="CY14" s="1371"/>
      <c r="CZ14" s="1371"/>
      <c r="DA14" s="1372"/>
    </row>
    <row r="15" spans="1:105" s="1046" customFormat="1" ht="12.75" x14ac:dyDescent="0.25">
      <c r="A15" s="1355" t="s">
        <v>274</v>
      </c>
      <c r="B15" s="1356"/>
      <c r="C15" s="1356"/>
      <c r="D15" s="1356"/>
      <c r="E15" s="1356"/>
      <c r="F15" s="1356"/>
      <c r="G15" s="1357"/>
      <c r="H15" s="1373" t="s">
        <v>932</v>
      </c>
      <c r="I15" s="1374"/>
      <c r="J15" s="1374"/>
      <c r="K15" s="1374"/>
      <c r="L15" s="1374"/>
      <c r="M15" s="1374"/>
      <c r="N15" s="1374"/>
      <c r="O15" s="1374"/>
      <c r="P15" s="1374"/>
      <c r="Q15" s="1374"/>
      <c r="R15" s="1374"/>
      <c r="S15" s="1374"/>
      <c r="T15" s="1374"/>
      <c r="U15" s="1374"/>
      <c r="V15" s="1374"/>
      <c r="W15" s="1374"/>
      <c r="X15" s="1374"/>
      <c r="Y15" s="1374"/>
      <c r="Z15" s="1374"/>
      <c r="AA15" s="1374"/>
      <c r="AB15" s="1374"/>
      <c r="AC15" s="1374"/>
      <c r="AD15" s="1374"/>
      <c r="AE15" s="1374"/>
      <c r="AF15" s="1374"/>
      <c r="AG15" s="1374"/>
      <c r="AH15" s="1374"/>
      <c r="AI15" s="1374"/>
      <c r="AJ15" s="1374"/>
      <c r="AK15" s="1374"/>
      <c r="AL15" s="1374"/>
      <c r="AM15" s="1374"/>
      <c r="AN15" s="1374"/>
      <c r="AO15" s="1374"/>
      <c r="AP15" s="1374"/>
      <c r="AQ15" s="1374"/>
      <c r="AR15" s="1374"/>
      <c r="AS15" s="1374"/>
      <c r="AT15" s="1374"/>
      <c r="AU15" s="1374"/>
      <c r="AV15" s="1374"/>
      <c r="AW15" s="1374"/>
      <c r="AX15" s="1374"/>
      <c r="AY15" s="1374"/>
      <c r="AZ15" s="1374"/>
      <c r="BA15" s="1374"/>
      <c r="BB15" s="1374"/>
      <c r="BC15" s="1374"/>
      <c r="BD15" s="1374"/>
      <c r="BE15" s="1374"/>
      <c r="BF15" s="1374"/>
      <c r="BG15" s="1374"/>
      <c r="BH15" s="1374"/>
      <c r="BI15" s="1374"/>
      <c r="BJ15" s="1374"/>
      <c r="BK15" s="1374"/>
      <c r="BL15" s="1374"/>
      <c r="BM15" s="1374"/>
      <c r="BN15" s="1374"/>
      <c r="BO15" s="1374"/>
      <c r="BP15" s="1374"/>
      <c r="BQ15" s="1374"/>
      <c r="BR15" s="1374"/>
      <c r="BS15" s="1375"/>
      <c r="BT15" s="1370">
        <f>BT13-8188039.54-282225173.04</f>
        <v>445988854.97999996</v>
      </c>
      <c r="BU15" s="1371"/>
      <c r="BV15" s="1371"/>
      <c r="BW15" s="1371"/>
      <c r="BX15" s="1371"/>
      <c r="BY15" s="1371"/>
      <c r="BZ15" s="1371"/>
      <c r="CA15" s="1371"/>
      <c r="CB15" s="1371"/>
      <c r="CC15" s="1371"/>
      <c r="CD15" s="1371"/>
      <c r="CE15" s="1371"/>
      <c r="CF15" s="1371"/>
      <c r="CG15" s="1371"/>
      <c r="CH15" s="1371"/>
      <c r="CI15" s="1371"/>
      <c r="CJ15" s="1371"/>
      <c r="CK15" s="1371"/>
      <c r="CL15" s="1371"/>
      <c r="CM15" s="1371"/>
      <c r="CN15" s="1371"/>
      <c r="CO15" s="1371"/>
      <c r="CP15" s="1371"/>
      <c r="CQ15" s="1371"/>
      <c r="CR15" s="1371"/>
      <c r="CS15" s="1371"/>
      <c r="CT15" s="1371"/>
      <c r="CU15" s="1371"/>
      <c r="CV15" s="1371"/>
      <c r="CW15" s="1371"/>
      <c r="CX15" s="1371"/>
      <c r="CY15" s="1371"/>
      <c r="CZ15" s="1371"/>
      <c r="DA15" s="1372"/>
    </row>
    <row r="16" spans="1:105" s="1046" customFormat="1" ht="23.25" customHeight="1" x14ac:dyDescent="0.25">
      <c r="A16" s="1355" t="s">
        <v>929</v>
      </c>
      <c r="B16" s="1356"/>
      <c r="C16" s="1356"/>
      <c r="D16" s="1356"/>
      <c r="E16" s="1356"/>
      <c r="F16" s="1356"/>
      <c r="G16" s="1357"/>
      <c r="H16" s="1358" t="s">
        <v>934</v>
      </c>
      <c r="I16" s="1359"/>
      <c r="J16" s="1359"/>
      <c r="K16" s="1359"/>
      <c r="L16" s="1359"/>
      <c r="M16" s="1359"/>
      <c r="N16" s="1359"/>
      <c r="O16" s="1359"/>
      <c r="P16" s="1359"/>
      <c r="Q16" s="1359"/>
      <c r="R16" s="1359"/>
      <c r="S16" s="1359"/>
      <c r="T16" s="1359"/>
      <c r="U16" s="1359"/>
      <c r="V16" s="1359"/>
      <c r="W16" s="1359"/>
      <c r="X16" s="1359"/>
      <c r="Y16" s="1359"/>
      <c r="Z16" s="1359"/>
      <c r="AA16" s="1359"/>
      <c r="AB16" s="1359"/>
      <c r="AC16" s="1359"/>
      <c r="AD16" s="1359"/>
      <c r="AE16" s="1359"/>
      <c r="AF16" s="1359"/>
      <c r="AG16" s="1359"/>
      <c r="AH16" s="1359"/>
      <c r="AI16" s="1359"/>
      <c r="AJ16" s="1359"/>
      <c r="AK16" s="1359"/>
      <c r="AL16" s="1359"/>
      <c r="AM16" s="1359"/>
      <c r="AN16" s="1359"/>
      <c r="AO16" s="1359"/>
      <c r="AP16" s="1359"/>
      <c r="AQ16" s="1359"/>
      <c r="AR16" s="1359"/>
      <c r="AS16" s="1359"/>
      <c r="AT16" s="1359"/>
      <c r="AU16" s="1359"/>
      <c r="AV16" s="1359"/>
      <c r="AW16" s="1359"/>
      <c r="AX16" s="1359"/>
      <c r="AY16" s="1359"/>
      <c r="AZ16" s="1359"/>
      <c r="BA16" s="1359"/>
      <c r="BB16" s="1359"/>
      <c r="BC16" s="1359"/>
      <c r="BD16" s="1359"/>
      <c r="BE16" s="1359"/>
      <c r="BF16" s="1359"/>
      <c r="BG16" s="1359"/>
      <c r="BH16" s="1359"/>
      <c r="BI16" s="1359"/>
      <c r="BJ16" s="1359"/>
      <c r="BK16" s="1359"/>
      <c r="BL16" s="1359"/>
      <c r="BM16" s="1359"/>
      <c r="BN16" s="1359"/>
      <c r="BO16" s="1359"/>
      <c r="BP16" s="1359"/>
      <c r="BQ16" s="1359"/>
      <c r="BR16" s="1359"/>
      <c r="BS16" s="1360"/>
      <c r="BT16" s="1361">
        <v>866904995.13999999</v>
      </c>
      <c r="BU16" s="1362"/>
      <c r="BV16" s="1362"/>
      <c r="BW16" s="1362"/>
      <c r="BX16" s="1362"/>
      <c r="BY16" s="1362"/>
      <c r="BZ16" s="1362"/>
      <c r="CA16" s="1362"/>
      <c r="CB16" s="1362"/>
      <c r="CC16" s="1362"/>
      <c r="CD16" s="1362"/>
      <c r="CE16" s="1362"/>
      <c r="CF16" s="1362"/>
      <c r="CG16" s="1362"/>
      <c r="CH16" s="1362"/>
      <c r="CI16" s="1362"/>
      <c r="CJ16" s="1362"/>
      <c r="CK16" s="1362"/>
      <c r="CL16" s="1362"/>
      <c r="CM16" s="1362"/>
      <c r="CN16" s="1362"/>
      <c r="CO16" s="1362"/>
      <c r="CP16" s="1362"/>
      <c r="CQ16" s="1362"/>
      <c r="CR16" s="1362"/>
      <c r="CS16" s="1362"/>
      <c r="CT16" s="1362"/>
      <c r="CU16" s="1362"/>
      <c r="CV16" s="1362"/>
      <c r="CW16" s="1362"/>
      <c r="CX16" s="1362"/>
      <c r="CY16" s="1362"/>
      <c r="CZ16" s="1362"/>
      <c r="DA16" s="1363"/>
    </row>
    <row r="17" spans="1:105" s="1046" customFormat="1" ht="23.25" customHeight="1" x14ac:dyDescent="0.25">
      <c r="A17" s="1355"/>
      <c r="B17" s="1356"/>
      <c r="C17" s="1356"/>
      <c r="D17" s="1356"/>
      <c r="E17" s="1356"/>
      <c r="F17" s="1356"/>
      <c r="G17" s="1357"/>
      <c r="H17" s="1364" t="s">
        <v>92</v>
      </c>
      <c r="I17" s="1365"/>
      <c r="J17" s="1365"/>
      <c r="K17" s="1365"/>
      <c r="L17" s="1365"/>
      <c r="M17" s="1365"/>
      <c r="N17" s="1365"/>
      <c r="O17" s="1365"/>
      <c r="P17" s="1365"/>
      <c r="Q17" s="1365"/>
      <c r="R17" s="1365"/>
      <c r="S17" s="1365"/>
      <c r="T17" s="1365"/>
      <c r="U17" s="1365"/>
      <c r="V17" s="1365"/>
      <c r="W17" s="1365"/>
      <c r="X17" s="1365"/>
      <c r="Y17" s="1365"/>
      <c r="Z17" s="1365"/>
      <c r="AA17" s="1365"/>
      <c r="AB17" s="1365"/>
      <c r="AC17" s="1365"/>
      <c r="AD17" s="1365"/>
      <c r="AE17" s="1365"/>
      <c r="AF17" s="1365"/>
      <c r="AG17" s="1365"/>
      <c r="AH17" s="1365"/>
      <c r="AI17" s="1365"/>
      <c r="AJ17" s="1365"/>
      <c r="AK17" s="1365"/>
      <c r="AL17" s="1365"/>
      <c r="AM17" s="1365"/>
      <c r="AN17" s="1365"/>
      <c r="AO17" s="1365"/>
      <c r="AP17" s="1365"/>
      <c r="AQ17" s="1365"/>
      <c r="AR17" s="1365"/>
      <c r="AS17" s="1365"/>
      <c r="AT17" s="1365"/>
      <c r="AU17" s="1365"/>
      <c r="AV17" s="1365"/>
      <c r="AW17" s="1365"/>
      <c r="AX17" s="1365"/>
      <c r="AY17" s="1365"/>
      <c r="AZ17" s="1365"/>
      <c r="BA17" s="1365"/>
      <c r="BB17" s="1365"/>
      <c r="BC17" s="1365"/>
      <c r="BD17" s="1365"/>
      <c r="BE17" s="1365"/>
      <c r="BF17" s="1365"/>
      <c r="BG17" s="1365"/>
      <c r="BH17" s="1365"/>
      <c r="BI17" s="1365"/>
      <c r="BJ17" s="1365"/>
      <c r="BK17" s="1365"/>
      <c r="BL17" s="1365"/>
      <c r="BM17" s="1365"/>
      <c r="BN17" s="1365"/>
      <c r="BO17" s="1365"/>
      <c r="BP17" s="1365"/>
      <c r="BQ17" s="1365"/>
      <c r="BR17" s="1365"/>
      <c r="BS17" s="1366"/>
      <c r="BT17" s="1361"/>
      <c r="BU17" s="1362"/>
      <c r="BV17" s="1362"/>
      <c r="BW17" s="1362"/>
      <c r="BX17" s="1362"/>
      <c r="BY17" s="1362"/>
      <c r="BZ17" s="1362"/>
      <c r="CA17" s="1362"/>
      <c r="CB17" s="1362"/>
      <c r="CC17" s="1362"/>
      <c r="CD17" s="1362"/>
      <c r="CE17" s="1362"/>
      <c r="CF17" s="1362"/>
      <c r="CG17" s="1362"/>
      <c r="CH17" s="1362"/>
      <c r="CI17" s="1362"/>
      <c r="CJ17" s="1362"/>
      <c r="CK17" s="1362"/>
      <c r="CL17" s="1362"/>
      <c r="CM17" s="1362"/>
      <c r="CN17" s="1362"/>
      <c r="CO17" s="1362"/>
      <c r="CP17" s="1362"/>
      <c r="CQ17" s="1362"/>
      <c r="CR17" s="1362"/>
      <c r="CS17" s="1362"/>
      <c r="CT17" s="1362"/>
      <c r="CU17" s="1362"/>
      <c r="CV17" s="1362"/>
      <c r="CW17" s="1362"/>
      <c r="CX17" s="1362"/>
      <c r="CY17" s="1362"/>
      <c r="CZ17" s="1362"/>
      <c r="DA17" s="1363"/>
    </row>
    <row r="18" spans="1:105" s="1046" customFormat="1" ht="12.75" x14ac:dyDescent="0.25">
      <c r="A18" s="1355" t="s">
        <v>298</v>
      </c>
      <c r="B18" s="1356"/>
      <c r="C18" s="1356"/>
      <c r="D18" s="1356"/>
      <c r="E18" s="1356"/>
      <c r="F18" s="1356"/>
      <c r="G18" s="1357"/>
      <c r="H18" s="1364" t="s">
        <v>935</v>
      </c>
      <c r="I18" s="1365"/>
      <c r="J18" s="1365"/>
      <c r="K18" s="1365"/>
      <c r="L18" s="1365"/>
      <c r="M18" s="1365"/>
      <c r="N18" s="1365"/>
      <c r="O18" s="1365"/>
      <c r="P18" s="1365"/>
      <c r="Q18" s="1365"/>
      <c r="R18" s="1365"/>
      <c r="S18" s="1365"/>
      <c r="T18" s="1365"/>
      <c r="U18" s="1365"/>
      <c r="V18" s="1365"/>
      <c r="W18" s="1365"/>
      <c r="X18" s="1365"/>
      <c r="Y18" s="1365"/>
      <c r="Z18" s="1365"/>
      <c r="AA18" s="1365"/>
      <c r="AB18" s="1365"/>
      <c r="AC18" s="1365"/>
      <c r="AD18" s="1365"/>
      <c r="AE18" s="1365"/>
      <c r="AF18" s="1365"/>
      <c r="AG18" s="1365"/>
      <c r="AH18" s="1365"/>
      <c r="AI18" s="1365"/>
      <c r="AJ18" s="1365"/>
      <c r="AK18" s="1365"/>
      <c r="AL18" s="1365"/>
      <c r="AM18" s="1365"/>
      <c r="AN18" s="1365"/>
      <c r="AO18" s="1365"/>
      <c r="AP18" s="1365"/>
      <c r="AQ18" s="1365"/>
      <c r="AR18" s="1365"/>
      <c r="AS18" s="1365"/>
      <c r="AT18" s="1365"/>
      <c r="AU18" s="1365"/>
      <c r="AV18" s="1365"/>
      <c r="AW18" s="1365"/>
      <c r="AX18" s="1365"/>
      <c r="AY18" s="1365"/>
      <c r="AZ18" s="1365"/>
      <c r="BA18" s="1365"/>
      <c r="BB18" s="1365"/>
      <c r="BC18" s="1365"/>
      <c r="BD18" s="1365"/>
      <c r="BE18" s="1365"/>
      <c r="BF18" s="1365"/>
      <c r="BG18" s="1365"/>
      <c r="BH18" s="1365"/>
      <c r="BI18" s="1365"/>
      <c r="BJ18" s="1365"/>
      <c r="BK18" s="1365"/>
      <c r="BL18" s="1365"/>
      <c r="BM18" s="1365"/>
      <c r="BN18" s="1365"/>
      <c r="BO18" s="1365"/>
      <c r="BP18" s="1365"/>
      <c r="BQ18" s="1365"/>
      <c r="BR18" s="1365"/>
      <c r="BS18" s="1366"/>
      <c r="BT18" s="1361">
        <f>BT20+BT21+BT22</f>
        <v>631949626.83000004</v>
      </c>
      <c r="BU18" s="1362"/>
      <c r="BV18" s="1362"/>
      <c r="BW18" s="1362"/>
      <c r="BX18" s="1362"/>
      <c r="BY18" s="1362"/>
      <c r="BZ18" s="1362"/>
      <c r="CA18" s="1362"/>
      <c r="CB18" s="1362"/>
      <c r="CC18" s="1362"/>
      <c r="CD18" s="1362"/>
      <c r="CE18" s="1362"/>
      <c r="CF18" s="1362"/>
      <c r="CG18" s="1362"/>
      <c r="CH18" s="1362"/>
      <c r="CI18" s="1362"/>
      <c r="CJ18" s="1362"/>
      <c r="CK18" s="1362"/>
      <c r="CL18" s="1362"/>
      <c r="CM18" s="1362"/>
      <c r="CN18" s="1362"/>
      <c r="CO18" s="1362"/>
      <c r="CP18" s="1362"/>
      <c r="CQ18" s="1362"/>
      <c r="CR18" s="1362"/>
      <c r="CS18" s="1362"/>
      <c r="CT18" s="1362"/>
      <c r="CU18" s="1362"/>
      <c r="CV18" s="1362"/>
      <c r="CW18" s="1362"/>
      <c r="CX18" s="1362"/>
      <c r="CY18" s="1362"/>
      <c r="CZ18" s="1362"/>
      <c r="DA18" s="1363"/>
    </row>
    <row r="19" spans="1:105" s="1046" customFormat="1" ht="12.75" x14ac:dyDescent="0.25">
      <c r="A19" s="1355"/>
      <c r="B19" s="1356"/>
      <c r="C19" s="1356"/>
      <c r="D19" s="1356"/>
      <c r="E19" s="1356"/>
      <c r="F19" s="1356"/>
      <c r="G19" s="1357"/>
      <c r="H19" s="1373" t="s">
        <v>137</v>
      </c>
      <c r="I19" s="1374"/>
      <c r="J19" s="1374"/>
      <c r="K19" s="1374"/>
      <c r="L19" s="1374"/>
      <c r="M19" s="1374"/>
      <c r="N19" s="1374"/>
      <c r="O19" s="1374"/>
      <c r="P19" s="1374"/>
      <c r="Q19" s="1374"/>
      <c r="R19" s="1374"/>
      <c r="S19" s="1374"/>
      <c r="T19" s="1374"/>
      <c r="U19" s="1374"/>
      <c r="V19" s="1374"/>
      <c r="W19" s="1374"/>
      <c r="X19" s="1374"/>
      <c r="Y19" s="1374"/>
      <c r="Z19" s="1374"/>
      <c r="AA19" s="1374"/>
      <c r="AB19" s="1374"/>
      <c r="AC19" s="1374"/>
      <c r="AD19" s="1374"/>
      <c r="AE19" s="1374"/>
      <c r="AF19" s="1374"/>
      <c r="AG19" s="1374"/>
      <c r="AH19" s="1374"/>
      <c r="AI19" s="1374"/>
      <c r="AJ19" s="1374"/>
      <c r="AK19" s="1374"/>
      <c r="AL19" s="1374"/>
      <c r="AM19" s="1374"/>
      <c r="AN19" s="1374"/>
      <c r="AO19" s="1374"/>
      <c r="AP19" s="1374"/>
      <c r="AQ19" s="1374"/>
      <c r="AR19" s="1374"/>
      <c r="AS19" s="1374"/>
      <c r="AT19" s="1374"/>
      <c r="AU19" s="1374"/>
      <c r="AV19" s="1374"/>
      <c r="AW19" s="1374"/>
      <c r="AX19" s="1374"/>
      <c r="AY19" s="1374"/>
      <c r="AZ19" s="1374"/>
      <c r="BA19" s="1374"/>
      <c r="BB19" s="1374"/>
      <c r="BC19" s="1374"/>
      <c r="BD19" s="1374"/>
      <c r="BE19" s="1374"/>
      <c r="BF19" s="1374"/>
      <c r="BG19" s="1374"/>
      <c r="BH19" s="1374"/>
      <c r="BI19" s="1374"/>
      <c r="BJ19" s="1374"/>
      <c r="BK19" s="1374"/>
      <c r="BL19" s="1374"/>
      <c r="BM19" s="1374"/>
      <c r="BN19" s="1374"/>
      <c r="BO19" s="1374"/>
      <c r="BP19" s="1374"/>
      <c r="BQ19" s="1374"/>
      <c r="BR19" s="1374"/>
      <c r="BS19" s="1375"/>
      <c r="BT19" s="1361"/>
      <c r="BU19" s="1362"/>
      <c r="BV19" s="1362"/>
      <c r="BW19" s="1362"/>
      <c r="BX19" s="1362"/>
      <c r="BY19" s="1362"/>
      <c r="BZ19" s="1362"/>
      <c r="CA19" s="1362"/>
      <c r="CB19" s="1362"/>
      <c r="CC19" s="1362"/>
      <c r="CD19" s="1362"/>
      <c r="CE19" s="1362"/>
      <c r="CF19" s="1362"/>
      <c r="CG19" s="1362"/>
      <c r="CH19" s="1362"/>
      <c r="CI19" s="1362"/>
      <c r="CJ19" s="1362"/>
      <c r="CK19" s="1362"/>
      <c r="CL19" s="1362"/>
      <c r="CM19" s="1362"/>
      <c r="CN19" s="1362"/>
      <c r="CO19" s="1362"/>
      <c r="CP19" s="1362"/>
      <c r="CQ19" s="1362"/>
      <c r="CR19" s="1362"/>
      <c r="CS19" s="1362"/>
      <c r="CT19" s="1362"/>
      <c r="CU19" s="1362"/>
      <c r="CV19" s="1362"/>
      <c r="CW19" s="1362"/>
      <c r="CX19" s="1362"/>
      <c r="CY19" s="1362"/>
      <c r="CZ19" s="1362"/>
      <c r="DA19" s="1363"/>
    </row>
    <row r="20" spans="1:105" s="1046" customFormat="1" ht="12.75" x14ac:dyDescent="0.25">
      <c r="A20" s="1355" t="s">
        <v>300</v>
      </c>
      <c r="B20" s="1356"/>
      <c r="C20" s="1356"/>
      <c r="D20" s="1356"/>
      <c r="E20" s="1356"/>
      <c r="F20" s="1356"/>
      <c r="G20" s="1357"/>
      <c r="H20" s="1373" t="s">
        <v>936</v>
      </c>
      <c r="I20" s="1374"/>
      <c r="J20" s="1374"/>
      <c r="K20" s="1374"/>
      <c r="L20" s="1374"/>
      <c r="M20" s="1374"/>
      <c r="N20" s="1374"/>
      <c r="O20" s="1374"/>
      <c r="P20" s="1374"/>
      <c r="Q20" s="1374"/>
      <c r="R20" s="1374"/>
      <c r="S20" s="1374"/>
      <c r="T20" s="1374"/>
      <c r="U20" s="1374"/>
      <c r="V20" s="1374"/>
      <c r="W20" s="1374"/>
      <c r="X20" s="1374"/>
      <c r="Y20" s="1374"/>
      <c r="Z20" s="1374"/>
      <c r="AA20" s="1374"/>
      <c r="AB20" s="1374"/>
      <c r="AC20" s="1374"/>
      <c r="AD20" s="1374"/>
      <c r="AE20" s="1374"/>
      <c r="AF20" s="1374"/>
      <c r="AG20" s="1374"/>
      <c r="AH20" s="1374"/>
      <c r="AI20" s="1374"/>
      <c r="AJ20" s="1374"/>
      <c r="AK20" s="1374"/>
      <c r="AL20" s="1374"/>
      <c r="AM20" s="1374"/>
      <c r="AN20" s="1374"/>
      <c r="AO20" s="1374"/>
      <c r="AP20" s="1374"/>
      <c r="AQ20" s="1374"/>
      <c r="AR20" s="1374"/>
      <c r="AS20" s="1374"/>
      <c r="AT20" s="1374"/>
      <c r="AU20" s="1374"/>
      <c r="AV20" s="1374"/>
      <c r="AW20" s="1374"/>
      <c r="AX20" s="1374"/>
      <c r="AY20" s="1374"/>
      <c r="AZ20" s="1374"/>
      <c r="BA20" s="1374"/>
      <c r="BB20" s="1374"/>
      <c r="BC20" s="1374"/>
      <c r="BD20" s="1374"/>
      <c r="BE20" s="1374"/>
      <c r="BF20" s="1374"/>
      <c r="BG20" s="1374"/>
      <c r="BH20" s="1374"/>
      <c r="BI20" s="1374"/>
      <c r="BJ20" s="1374"/>
      <c r="BK20" s="1374"/>
      <c r="BL20" s="1374"/>
      <c r="BM20" s="1374"/>
      <c r="BN20" s="1374"/>
      <c r="BO20" s="1374"/>
      <c r="BP20" s="1374"/>
      <c r="BQ20" s="1374"/>
      <c r="BR20" s="1374"/>
      <c r="BS20" s="1375"/>
      <c r="BT20" s="1361">
        <v>631446969.72000003</v>
      </c>
      <c r="BU20" s="1362"/>
      <c r="BV20" s="1362"/>
      <c r="BW20" s="1362"/>
      <c r="BX20" s="1362"/>
      <c r="BY20" s="1362"/>
      <c r="BZ20" s="1362"/>
      <c r="CA20" s="1362"/>
      <c r="CB20" s="1362"/>
      <c r="CC20" s="1362"/>
      <c r="CD20" s="1362"/>
      <c r="CE20" s="1362"/>
      <c r="CF20" s="1362"/>
      <c r="CG20" s="1362"/>
      <c r="CH20" s="1362"/>
      <c r="CI20" s="1362"/>
      <c r="CJ20" s="1362"/>
      <c r="CK20" s="1362"/>
      <c r="CL20" s="1362"/>
      <c r="CM20" s="1362"/>
      <c r="CN20" s="1362"/>
      <c r="CO20" s="1362"/>
      <c r="CP20" s="1362"/>
      <c r="CQ20" s="1362"/>
      <c r="CR20" s="1362"/>
      <c r="CS20" s="1362"/>
      <c r="CT20" s="1362"/>
      <c r="CU20" s="1362"/>
      <c r="CV20" s="1362"/>
      <c r="CW20" s="1362"/>
      <c r="CX20" s="1362"/>
      <c r="CY20" s="1362"/>
      <c r="CZ20" s="1362"/>
      <c r="DA20" s="1363"/>
    </row>
    <row r="21" spans="1:105" s="1046" customFormat="1" ht="30.75" customHeight="1" x14ac:dyDescent="0.25">
      <c r="A21" s="1355" t="s">
        <v>302</v>
      </c>
      <c r="B21" s="1356"/>
      <c r="C21" s="1356"/>
      <c r="D21" s="1356"/>
      <c r="E21" s="1356"/>
      <c r="F21" s="1356"/>
      <c r="G21" s="1357"/>
      <c r="H21" s="1373" t="s">
        <v>937</v>
      </c>
      <c r="I21" s="1374"/>
      <c r="J21" s="1374"/>
      <c r="K21" s="1374"/>
      <c r="L21" s="1374"/>
      <c r="M21" s="1374"/>
      <c r="N21" s="1374"/>
      <c r="O21" s="1374"/>
      <c r="P21" s="1374"/>
      <c r="Q21" s="1374"/>
      <c r="R21" s="1374"/>
      <c r="S21" s="1374"/>
      <c r="T21" s="1374"/>
      <c r="U21" s="1374"/>
      <c r="V21" s="1374"/>
      <c r="W21" s="1374"/>
      <c r="X21" s="1374"/>
      <c r="Y21" s="1374"/>
      <c r="Z21" s="1374"/>
      <c r="AA21" s="1374"/>
      <c r="AB21" s="1374"/>
      <c r="AC21" s="1374"/>
      <c r="AD21" s="1374"/>
      <c r="AE21" s="1374"/>
      <c r="AF21" s="1374"/>
      <c r="AG21" s="1374"/>
      <c r="AH21" s="1374"/>
      <c r="AI21" s="1374"/>
      <c r="AJ21" s="1374"/>
      <c r="AK21" s="1374"/>
      <c r="AL21" s="1374"/>
      <c r="AM21" s="1374"/>
      <c r="AN21" s="1374"/>
      <c r="AO21" s="1374"/>
      <c r="AP21" s="1374"/>
      <c r="AQ21" s="1374"/>
      <c r="AR21" s="1374"/>
      <c r="AS21" s="1374"/>
      <c r="AT21" s="1374"/>
      <c r="AU21" s="1374"/>
      <c r="AV21" s="1374"/>
      <c r="AW21" s="1374"/>
      <c r="AX21" s="1374"/>
      <c r="AY21" s="1374"/>
      <c r="AZ21" s="1374"/>
      <c r="BA21" s="1374"/>
      <c r="BB21" s="1374"/>
      <c r="BC21" s="1374"/>
      <c r="BD21" s="1374"/>
      <c r="BE21" s="1374"/>
      <c r="BF21" s="1374"/>
      <c r="BG21" s="1374"/>
      <c r="BH21" s="1374"/>
      <c r="BI21" s="1374"/>
      <c r="BJ21" s="1374"/>
      <c r="BK21" s="1374"/>
      <c r="BL21" s="1374"/>
      <c r="BM21" s="1374"/>
      <c r="BN21" s="1374"/>
      <c r="BO21" s="1374"/>
      <c r="BP21" s="1374"/>
      <c r="BQ21" s="1374"/>
      <c r="BR21" s="1374"/>
      <c r="BS21" s="1375"/>
      <c r="BT21" s="1361">
        <v>121512</v>
      </c>
      <c r="BU21" s="1362"/>
      <c r="BV21" s="1362"/>
      <c r="BW21" s="1362"/>
      <c r="BX21" s="1362"/>
      <c r="BY21" s="1362"/>
      <c r="BZ21" s="1362"/>
      <c r="CA21" s="1362"/>
      <c r="CB21" s="1362"/>
      <c r="CC21" s="1362"/>
      <c r="CD21" s="1362"/>
      <c r="CE21" s="1362"/>
      <c r="CF21" s="1362"/>
      <c r="CG21" s="1362"/>
      <c r="CH21" s="1362"/>
      <c r="CI21" s="1362"/>
      <c r="CJ21" s="1362"/>
      <c r="CK21" s="1362"/>
      <c r="CL21" s="1362"/>
      <c r="CM21" s="1362"/>
      <c r="CN21" s="1362"/>
      <c r="CO21" s="1362"/>
      <c r="CP21" s="1362"/>
      <c r="CQ21" s="1362"/>
      <c r="CR21" s="1362"/>
      <c r="CS21" s="1362"/>
      <c r="CT21" s="1362"/>
      <c r="CU21" s="1362"/>
      <c r="CV21" s="1362"/>
      <c r="CW21" s="1362"/>
      <c r="CX21" s="1362"/>
      <c r="CY21" s="1362"/>
      <c r="CZ21" s="1362"/>
      <c r="DA21" s="1363"/>
    </row>
    <row r="22" spans="1:105" s="1046" customFormat="1" ht="12.75" x14ac:dyDescent="0.25">
      <c r="A22" s="1355" t="s">
        <v>304</v>
      </c>
      <c r="B22" s="1356"/>
      <c r="C22" s="1356"/>
      <c r="D22" s="1356"/>
      <c r="E22" s="1356"/>
      <c r="F22" s="1356"/>
      <c r="G22" s="1357"/>
      <c r="H22" s="1373" t="s">
        <v>938</v>
      </c>
      <c r="I22" s="1374"/>
      <c r="J22" s="1374"/>
      <c r="K22" s="1374"/>
      <c r="L22" s="1374"/>
      <c r="M22" s="1374"/>
      <c r="N22" s="1374"/>
      <c r="O22" s="1374"/>
      <c r="P22" s="1374"/>
      <c r="Q22" s="1374"/>
      <c r="R22" s="1374"/>
      <c r="S22" s="1374"/>
      <c r="T22" s="1374"/>
      <c r="U22" s="1374"/>
      <c r="V22" s="1374"/>
      <c r="W22" s="1374"/>
      <c r="X22" s="1374"/>
      <c r="Y22" s="1374"/>
      <c r="Z22" s="1374"/>
      <c r="AA22" s="1374"/>
      <c r="AB22" s="1374"/>
      <c r="AC22" s="1374"/>
      <c r="AD22" s="1374"/>
      <c r="AE22" s="1374"/>
      <c r="AF22" s="1374"/>
      <c r="AG22" s="1374"/>
      <c r="AH22" s="1374"/>
      <c r="AI22" s="1374"/>
      <c r="AJ22" s="1374"/>
      <c r="AK22" s="1374"/>
      <c r="AL22" s="1374"/>
      <c r="AM22" s="1374"/>
      <c r="AN22" s="1374"/>
      <c r="AO22" s="1374"/>
      <c r="AP22" s="1374"/>
      <c r="AQ22" s="1374"/>
      <c r="AR22" s="1374"/>
      <c r="AS22" s="1374"/>
      <c r="AT22" s="1374"/>
      <c r="AU22" s="1374"/>
      <c r="AV22" s="1374"/>
      <c r="AW22" s="1374"/>
      <c r="AX22" s="1374"/>
      <c r="AY22" s="1374"/>
      <c r="AZ22" s="1374"/>
      <c r="BA22" s="1374"/>
      <c r="BB22" s="1374"/>
      <c r="BC22" s="1374"/>
      <c r="BD22" s="1374"/>
      <c r="BE22" s="1374"/>
      <c r="BF22" s="1374"/>
      <c r="BG22" s="1374"/>
      <c r="BH22" s="1374"/>
      <c r="BI22" s="1374"/>
      <c r="BJ22" s="1374"/>
      <c r="BK22" s="1374"/>
      <c r="BL22" s="1374"/>
      <c r="BM22" s="1374"/>
      <c r="BN22" s="1374"/>
      <c r="BO22" s="1374"/>
      <c r="BP22" s="1374"/>
      <c r="BQ22" s="1374"/>
      <c r="BR22" s="1374"/>
      <c r="BS22" s="1375"/>
      <c r="BT22" s="1361">
        <v>381145.11</v>
      </c>
      <c r="BU22" s="1362"/>
      <c r="BV22" s="1362"/>
      <c r="BW22" s="1362"/>
      <c r="BX22" s="1362"/>
      <c r="BY22" s="1362"/>
      <c r="BZ22" s="1362"/>
      <c r="CA22" s="1362"/>
      <c r="CB22" s="1362"/>
      <c r="CC22" s="1362"/>
      <c r="CD22" s="1362"/>
      <c r="CE22" s="1362"/>
      <c r="CF22" s="1362"/>
      <c r="CG22" s="1362"/>
      <c r="CH22" s="1362"/>
      <c r="CI22" s="1362"/>
      <c r="CJ22" s="1362"/>
      <c r="CK22" s="1362"/>
      <c r="CL22" s="1362"/>
      <c r="CM22" s="1362"/>
      <c r="CN22" s="1362"/>
      <c r="CO22" s="1362"/>
      <c r="CP22" s="1362"/>
      <c r="CQ22" s="1362"/>
      <c r="CR22" s="1362"/>
      <c r="CS22" s="1362"/>
      <c r="CT22" s="1362"/>
      <c r="CU22" s="1362"/>
      <c r="CV22" s="1362"/>
      <c r="CW22" s="1362"/>
      <c r="CX22" s="1362"/>
      <c r="CY22" s="1362"/>
      <c r="CZ22" s="1362"/>
      <c r="DA22" s="1363"/>
    </row>
    <row r="23" spans="1:105" s="1046" customFormat="1" ht="15" customHeight="1" x14ac:dyDescent="0.25">
      <c r="A23" s="1355" t="s">
        <v>313</v>
      </c>
      <c r="B23" s="1356"/>
      <c r="C23" s="1356"/>
      <c r="D23" s="1356"/>
      <c r="E23" s="1356"/>
      <c r="F23" s="1356"/>
      <c r="G23" s="1357"/>
      <c r="H23" s="1364" t="s">
        <v>939</v>
      </c>
      <c r="I23" s="1365"/>
      <c r="J23" s="1365"/>
      <c r="K23" s="1365"/>
      <c r="L23" s="1365"/>
      <c r="M23" s="1365"/>
      <c r="N23" s="1365"/>
      <c r="O23" s="1365"/>
      <c r="P23" s="1365"/>
      <c r="Q23" s="1365"/>
      <c r="R23" s="1365"/>
      <c r="S23" s="1365"/>
      <c r="T23" s="1365"/>
      <c r="U23" s="1365"/>
      <c r="V23" s="1365"/>
      <c r="W23" s="1365"/>
      <c r="X23" s="1365"/>
      <c r="Y23" s="1365"/>
      <c r="Z23" s="1365"/>
      <c r="AA23" s="1365"/>
      <c r="AB23" s="1365"/>
      <c r="AC23" s="1365"/>
      <c r="AD23" s="1365"/>
      <c r="AE23" s="1365"/>
      <c r="AF23" s="1365"/>
      <c r="AG23" s="1365"/>
      <c r="AH23" s="1365"/>
      <c r="AI23" s="1365"/>
      <c r="AJ23" s="1365"/>
      <c r="AK23" s="1365"/>
      <c r="AL23" s="1365"/>
      <c r="AM23" s="1365"/>
      <c r="AN23" s="1365"/>
      <c r="AO23" s="1365"/>
      <c r="AP23" s="1365"/>
      <c r="AQ23" s="1365"/>
      <c r="AR23" s="1365"/>
      <c r="AS23" s="1365"/>
      <c r="AT23" s="1365"/>
      <c r="AU23" s="1365"/>
      <c r="AV23" s="1365"/>
      <c r="AW23" s="1365"/>
      <c r="AX23" s="1365"/>
      <c r="AY23" s="1365"/>
      <c r="AZ23" s="1365"/>
      <c r="BA23" s="1365"/>
      <c r="BB23" s="1365"/>
      <c r="BC23" s="1365"/>
      <c r="BD23" s="1365"/>
      <c r="BE23" s="1365"/>
      <c r="BF23" s="1365"/>
      <c r="BG23" s="1365"/>
      <c r="BH23" s="1365"/>
      <c r="BI23" s="1365"/>
      <c r="BJ23" s="1365"/>
      <c r="BK23" s="1365"/>
      <c r="BL23" s="1365"/>
      <c r="BM23" s="1365"/>
      <c r="BN23" s="1365"/>
      <c r="BO23" s="1365"/>
      <c r="BP23" s="1365"/>
      <c r="BQ23" s="1365"/>
      <c r="BR23" s="1365"/>
      <c r="BS23" s="1366"/>
      <c r="BT23" s="1370">
        <v>523270.06</v>
      </c>
      <c r="BU23" s="1371"/>
      <c r="BV23" s="1371"/>
      <c r="BW23" s="1371"/>
      <c r="BX23" s="1371"/>
      <c r="BY23" s="1371"/>
      <c r="BZ23" s="1371"/>
      <c r="CA23" s="1371"/>
      <c r="CB23" s="1371"/>
      <c r="CC23" s="1371"/>
      <c r="CD23" s="1371"/>
      <c r="CE23" s="1371"/>
      <c r="CF23" s="1371"/>
      <c r="CG23" s="1371"/>
      <c r="CH23" s="1371"/>
      <c r="CI23" s="1371"/>
      <c r="CJ23" s="1371"/>
      <c r="CK23" s="1371"/>
      <c r="CL23" s="1371"/>
      <c r="CM23" s="1371"/>
      <c r="CN23" s="1371"/>
      <c r="CO23" s="1371"/>
      <c r="CP23" s="1371"/>
      <c r="CQ23" s="1371"/>
      <c r="CR23" s="1371"/>
      <c r="CS23" s="1371"/>
      <c r="CT23" s="1371"/>
      <c r="CU23" s="1371"/>
      <c r="CV23" s="1371"/>
      <c r="CW23" s="1371"/>
      <c r="CX23" s="1371"/>
      <c r="CY23" s="1371"/>
      <c r="CZ23" s="1371"/>
      <c r="DA23" s="1372"/>
    </row>
    <row r="24" spans="1:105" s="1046" customFormat="1" ht="15" customHeight="1" x14ac:dyDescent="0.25">
      <c r="A24" s="1355" t="s">
        <v>320</v>
      </c>
      <c r="B24" s="1356"/>
      <c r="C24" s="1356"/>
      <c r="D24" s="1356"/>
      <c r="E24" s="1356"/>
      <c r="F24" s="1356"/>
      <c r="G24" s="1357"/>
      <c r="H24" s="1364" t="s">
        <v>940</v>
      </c>
      <c r="I24" s="1365"/>
      <c r="J24" s="1365"/>
      <c r="K24" s="1365"/>
      <c r="L24" s="1365"/>
      <c r="M24" s="1365"/>
      <c r="N24" s="1365"/>
      <c r="O24" s="1365"/>
      <c r="P24" s="1365"/>
      <c r="Q24" s="1365"/>
      <c r="R24" s="1365"/>
      <c r="S24" s="1365"/>
      <c r="T24" s="1365"/>
      <c r="U24" s="1365"/>
      <c r="V24" s="1365"/>
      <c r="W24" s="1365"/>
      <c r="X24" s="1365"/>
      <c r="Y24" s="1365"/>
      <c r="Z24" s="1365"/>
      <c r="AA24" s="1365"/>
      <c r="AB24" s="1365"/>
      <c r="AC24" s="1365"/>
      <c r="AD24" s="1365"/>
      <c r="AE24" s="1365"/>
      <c r="AF24" s="1365"/>
      <c r="AG24" s="1365"/>
      <c r="AH24" s="1365"/>
      <c r="AI24" s="1365"/>
      <c r="AJ24" s="1365"/>
      <c r="AK24" s="1365"/>
      <c r="AL24" s="1365"/>
      <c r="AM24" s="1365"/>
      <c r="AN24" s="1365"/>
      <c r="AO24" s="1365"/>
      <c r="AP24" s="1365"/>
      <c r="AQ24" s="1365"/>
      <c r="AR24" s="1365"/>
      <c r="AS24" s="1365"/>
      <c r="AT24" s="1365"/>
      <c r="AU24" s="1365"/>
      <c r="AV24" s="1365"/>
      <c r="AW24" s="1365"/>
      <c r="AX24" s="1365"/>
      <c r="AY24" s="1365"/>
      <c r="AZ24" s="1365"/>
      <c r="BA24" s="1365"/>
      <c r="BB24" s="1365"/>
      <c r="BC24" s="1365"/>
      <c r="BD24" s="1365"/>
      <c r="BE24" s="1365"/>
      <c r="BF24" s="1365"/>
      <c r="BG24" s="1365"/>
      <c r="BH24" s="1365"/>
      <c r="BI24" s="1365"/>
      <c r="BJ24" s="1365"/>
      <c r="BK24" s="1365"/>
      <c r="BL24" s="1365"/>
      <c r="BM24" s="1365"/>
      <c r="BN24" s="1365"/>
      <c r="BO24" s="1365"/>
      <c r="BP24" s="1365"/>
      <c r="BQ24" s="1365"/>
      <c r="BR24" s="1365"/>
      <c r="BS24" s="1366"/>
      <c r="BT24" s="1361">
        <v>231070845.19</v>
      </c>
      <c r="BU24" s="1362"/>
      <c r="BV24" s="1362"/>
      <c r="BW24" s="1362"/>
      <c r="BX24" s="1362"/>
      <c r="BY24" s="1362"/>
      <c r="BZ24" s="1362"/>
      <c r="CA24" s="1362"/>
      <c r="CB24" s="1362"/>
      <c r="CC24" s="1362"/>
      <c r="CD24" s="1362"/>
      <c r="CE24" s="1362"/>
      <c r="CF24" s="1362"/>
      <c r="CG24" s="1362"/>
      <c r="CH24" s="1362"/>
      <c r="CI24" s="1362"/>
      <c r="CJ24" s="1362"/>
      <c r="CK24" s="1362"/>
      <c r="CL24" s="1362"/>
      <c r="CM24" s="1362"/>
      <c r="CN24" s="1362"/>
      <c r="CO24" s="1362"/>
      <c r="CP24" s="1362"/>
      <c r="CQ24" s="1362"/>
      <c r="CR24" s="1362"/>
      <c r="CS24" s="1362"/>
      <c r="CT24" s="1362"/>
      <c r="CU24" s="1362"/>
      <c r="CV24" s="1362"/>
      <c r="CW24" s="1362"/>
      <c r="CX24" s="1362"/>
      <c r="CY24" s="1362"/>
      <c r="CZ24" s="1362"/>
      <c r="DA24" s="1363"/>
    </row>
    <row r="25" spans="1:105" s="1046" customFormat="1" ht="15" customHeight="1" x14ac:dyDescent="0.25">
      <c r="A25" s="1355" t="s">
        <v>328</v>
      </c>
      <c r="B25" s="1356"/>
      <c r="C25" s="1356"/>
      <c r="D25" s="1356"/>
      <c r="E25" s="1356"/>
      <c r="F25" s="1356"/>
      <c r="G25" s="1357"/>
      <c r="H25" s="1364" t="s">
        <v>941</v>
      </c>
      <c r="I25" s="1365"/>
      <c r="J25" s="1365"/>
      <c r="K25" s="1365"/>
      <c r="L25" s="1365"/>
      <c r="M25" s="1365"/>
      <c r="N25" s="1365"/>
      <c r="O25" s="1365"/>
      <c r="P25" s="1365"/>
      <c r="Q25" s="1365"/>
      <c r="R25" s="1365"/>
      <c r="S25" s="1365"/>
      <c r="T25" s="1365"/>
      <c r="U25" s="1365"/>
      <c r="V25" s="1365"/>
      <c r="W25" s="1365"/>
      <c r="X25" s="1365"/>
      <c r="Y25" s="1365"/>
      <c r="Z25" s="1365"/>
      <c r="AA25" s="1365"/>
      <c r="AB25" s="1365"/>
      <c r="AC25" s="1365"/>
      <c r="AD25" s="1365"/>
      <c r="AE25" s="1365"/>
      <c r="AF25" s="1365"/>
      <c r="AG25" s="1365"/>
      <c r="AH25" s="1365"/>
      <c r="AI25" s="1365"/>
      <c r="AJ25" s="1365"/>
      <c r="AK25" s="1365"/>
      <c r="AL25" s="1365"/>
      <c r="AM25" s="1365"/>
      <c r="AN25" s="1365"/>
      <c r="AO25" s="1365"/>
      <c r="AP25" s="1365"/>
      <c r="AQ25" s="1365"/>
      <c r="AR25" s="1365"/>
      <c r="AS25" s="1365"/>
      <c r="AT25" s="1365"/>
      <c r="AU25" s="1365"/>
      <c r="AV25" s="1365"/>
      <c r="AW25" s="1365"/>
      <c r="AX25" s="1365"/>
      <c r="AY25" s="1365"/>
      <c r="AZ25" s="1365"/>
      <c r="BA25" s="1365"/>
      <c r="BB25" s="1365"/>
      <c r="BC25" s="1365"/>
      <c r="BD25" s="1365"/>
      <c r="BE25" s="1365"/>
      <c r="BF25" s="1365"/>
      <c r="BG25" s="1365"/>
      <c r="BH25" s="1365"/>
      <c r="BI25" s="1365"/>
      <c r="BJ25" s="1365"/>
      <c r="BK25" s="1365"/>
      <c r="BL25" s="1365"/>
      <c r="BM25" s="1365"/>
      <c r="BN25" s="1365"/>
      <c r="BO25" s="1365"/>
      <c r="BP25" s="1365"/>
      <c r="BQ25" s="1365"/>
      <c r="BR25" s="1365"/>
      <c r="BS25" s="1366"/>
      <c r="BT25" s="1361">
        <v>3361253.06</v>
      </c>
      <c r="BU25" s="1362"/>
      <c r="BV25" s="1362"/>
      <c r="BW25" s="1362"/>
      <c r="BX25" s="1362"/>
      <c r="BY25" s="1362"/>
      <c r="BZ25" s="1362"/>
      <c r="CA25" s="1362"/>
      <c r="CB25" s="1362"/>
      <c r="CC25" s="1362"/>
      <c r="CD25" s="1362"/>
      <c r="CE25" s="1362"/>
      <c r="CF25" s="1362"/>
      <c r="CG25" s="1362"/>
      <c r="CH25" s="1362"/>
      <c r="CI25" s="1362"/>
      <c r="CJ25" s="1362"/>
      <c r="CK25" s="1362"/>
      <c r="CL25" s="1362"/>
      <c r="CM25" s="1362"/>
      <c r="CN25" s="1362"/>
      <c r="CO25" s="1362"/>
      <c r="CP25" s="1362"/>
      <c r="CQ25" s="1362"/>
      <c r="CR25" s="1362"/>
      <c r="CS25" s="1362"/>
      <c r="CT25" s="1362"/>
      <c r="CU25" s="1362"/>
      <c r="CV25" s="1362"/>
      <c r="CW25" s="1362"/>
      <c r="CX25" s="1362"/>
      <c r="CY25" s="1362"/>
      <c r="CZ25" s="1362"/>
      <c r="DA25" s="1363"/>
    </row>
    <row r="26" spans="1:105" s="1046" customFormat="1" ht="23.25" customHeight="1" x14ac:dyDescent="0.25">
      <c r="A26" s="1355" t="s">
        <v>942</v>
      </c>
      <c r="B26" s="1356"/>
      <c r="C26" s="1356"/>
      <c r="D26" s="1356"/>
      <c r="E26" s="1356"/>
      <c r="F26" s="1356"/>
      <c r="G26" s="1357"/>
      <c r="H26" s="1358" t="s">
        <v>943</v>
      </c>
      <c r="I26" s="1359"/>
      <c r="J26" s="1359"/>
      <c r="K26" s="1359"/>
      <c r="L26" s="1359"/>
      <c r="M26" s="1359"/>
      <c r="N26" s="1359"/>
      <c r="O26" s="1359"/>
      <c r="P26" s="1359"/>
      <c r="Q26" s="1359"/>
      <c r="R26" s="1359"/>
      <c r="S26" s="1359"/>
      <c r="T26" s="1359"/>
      <c r="U26" s="1359"/>
      <c r="V26" s="1359"/>
      <c r="W26" s="1359"/>
      <c r="X26" s="1359"/>
      <c r="Y26" s="1359"/>
      <c r="Z26" s="1359"/>
      <c r="AA26" s="1359"/>
      <c r="AB26" s="1359"/>
      <c r="AC26" s="1359"/>
      <c r="AD26" s="1359"/>
      <c r="AE26" s="1359"/>
      <c r="AF26" s="1359"/>
      <c r="AG26" s="1359"/>
      <c r="AH26" s="1359"/>
      <c r="AI26" s="1359"/>
      <c r="AJ26" s="1359"/>
      <c r="AK26" s="1359"/>
      <c r="AL26" s="1359"/>
      <c r="AM26" s="1359"/>
      <c r="AN26" s="1359"/>
      <c r="AO26" s="1359"/>
      <c r="AP26" s="1359"/>
      <c r="AQ26" s="1359"/>
      <c r="AR26" s="1359"/>
      <c r="AS26" s="1359"/>
      <c r="AT26" s="1359"/>
      <c r="AU26" s="1359"/>
      <c r="AV26" s="1359"/>
      <c r="AW26" s="1359"/>
      <c r="AX26" s="1359"/>
      <c r="AY26" s="1359"/>
      <c r="AZ26" s="1359"/>
      <c r="BA26" s="1359"/>
      <c r="BB26" s="1359"/>
      <c r="BC26" s="1359"/>
      <c r="BD26" s="1359"/>
      <c r="BE26" s="1359"/>
      <c r="BF26" s="1359"/>
      <c r="BG26" s="1359"/>
      <c r="BH26" s="1359"/>
      <c r="BI26" s="1359"/>
      <c r="BJ26" s="1359"/>
      <c r="BK26" s="1359"/>
      <c r="BL26" s="1359"/>
      <c r="BM26" s="1359"/>
      <c r="BN26" s="1359"/>
      <c r="BO26" s="1359"/>
      <c r="BP26" s="1359"/>
      <c r="BQ26" s="1359"/>
      <c r="BR26" s="1359"/>
      <c r="BS26" s="1360"/>
      <c r="BT26" s="1361">
        <v>3278874746.0300002</v>
      </c>
      <c r="BU26" s="1362"/>
      <c r="BV26" s="1362"/>
      <c r="BW26" s="1362"/>
      <c r="BX26" s="1362"/>
      <c r="BY26" s="1362"/>
      <c r="BZ26" s="1362"/>
      <c r="CA26" s="1362"/>
      <c r="CB26" s="1362"/>
      <c r="CC26" s="1362"/>
      <c r="CD26" s="1362"/>
      <c r="CE26" s="1362"/>
      <c r="CF26" s="1362"/>
      <c r="CG26" s="1362"/>
      <c r="CH26" s="1362"/>
      <c r="CI26" s="1362"/>
      <c r="CJ26" s="1362"/>
      <c r="CK26" s="1362"/>
      <c r="CL26" s="1362"/>
      <c r="CM26" s="1362"/>
      <c r="CN26" s="1362"/>
      <c r="CO26" s="1362"/>
      <c r="CP26" s="1362"/>
      <c r="CQ26" s="1362"/>
      <c r="CR26" s="1362"/>
      <c r="CS26" s="1362"/>
      <c r="CT26" s="1362"/>
      <c r="CU26" s="1362"/>
      <c r="CV26" s="1362"/>
      <c r="CW26" s="1362"/>
      <c r="CX26" s="1362"/>
      <c r="CY26" s="1362"/>
      <c r="CZ26" s="1362"/>
      <c r="DA26" s="1363"/>
    </row>
    <row r="27" spans="1:105" s="1046" customFormat="1" ht="12.75" x14ac:dyDescent="0.25">
      <c r="A27" s="1355"/>
      <c r="B27" s="1356"/>
      <c r="C27" s="1356"/>
      <c r="D27" s="1356"/>
      <c r="E27" s="1356"/>
      <c r="F27" s="1356"/>
      <c r="G27" s="1357"/>
      <c r="H27" s="1364" t="s">
        <v>92</v>
      </c>
      <c r="I27" s="1365"/>
      <c r="J27" s="1365"/>
      <c r="K27" s="1365"/>
      <c r="L27" s="1365"/>
      <c r="M27" s="1365"/>
      <c r="N27" s="1365"/>
      <c r="O27" s="1365"/>
      <c r="P27" s="1365"/>
      <c r="Q27" s="1365"/>
      <c r="R27" s="1365"/>
      <c r="S27" s="1365"/>
      <c r="T27" s="1365"/>
      <c r="U27" s="1365"/>
      <c r="V27" s="1365"/>
      <c r="W27" s="1365"/>
      <c r="X27" s="1365"/>
      <c r="Y27" s="1365"/>
      <c r="Z27" s="1365"/>
      <c r="AA27" s="1365"/>
      <c r="AB27" s="1365"/>
      <c r="AC27" s="1365"/>
      <c r="AD27" s="1365"/>
      <c r="AE27" s="1365"/>
      <c r="AF27" s="1365"/>
      <c r="AG27" s="1365"/>
      <c r="AH27" s="1365"/>
      <c r="AI27" s="1365"/>
      <c r="AJ27" s="1365"/>
      <c r="AK27" s="1365"/>
      <c r="AL27" s="1365"/>
      <c r="AM27" s="1365"/>
      <c r="AN27" s="1365"/>
      <c r="AO27" s="1365"/>
      <c r="AP27" s="1365"/>
      <c r="AQ27" s="1365"/>
      <c r="AR27" s="1365"/>
      <c r="AS27" s="1365"/>
      <c r="AT27" s="1365"/>
      <c r="AU27" s="1365"/>
      <c r="AV27" s="1365"/>
      <c r="AW27" s="1365"/>
      <c r="AX27" s="1365"/>
      <c r="AY27" s="1365"/>
      <c r="AZ27" s="1365"/>
      <c r="BA27" s="1365"/>
      <c r="BB27" s="1365"/>
      <c r="BC27" s="1365"/>
      <c r="BD27" s="1365"/>
      <c r="BE27" s="1365"/>
      <c r="BF27" s="1365"/>
      <c r="BG27" s="1365"/>
      <c r="BH27" s="1365"/>
      <c r="BI27" s="1365"/>
      <c r="BJ27" s="1365"/>
      <c r="BK27" s="1365"/>
      <c r="BL27" s="1365"/>
      <c r="BM27" s="1365"/>
      <c r="BN27" s="1365"/>
      <c r="BO27" s="1365"/>
      <c r="BP27" s="1365"/>
      <c r="BQ27" s="1365"/>
      <c r="BR27" s="1365"/>
      <c r="BS27" s="1366"/>
      <c r="BT27" s="1361"/>
      <c r="BU27" s="1362"/>
      <c r="BV27" s="1362"/>
      <c r="BW27" s="1362"/>
      <c r="BX27" s="1362"/>
      <c r="BY27" s="1362"/>
      <c r="BZ27" s="1362"/>
      <c r="CA27" s="1362"/>
      <c r="CB27" s="1362"/>
      <c r="CC27" s="1362"/>
      <c r="CD27" s="1362"/>
      <c r="CE27" s="1362"/>
      <c r="CF27" s="1362"/>
      <c r="CG27" s="1362"/>
      <c r="CH27" s="1362"/>
      <c r="CI27" s="1362"/>
      <c r="CJ27" s="1362"/>
      <c r="CK27" s="1362"/>
      <c r="CL27" s="1362"/>
      <c r="CM27" s="1362"/>
      <c r="CN27" s="1362"/>
      <c r="CO27" s="1362"/>
      <c r="CP27" s="1362"/>
      <c r="CQ27" s="1362"/>
      <c r="CR27" s="1362"/>
      <c r="CS27" s="1362"/>
      <c r="CT27" s="1362"/>
      <c r="CU27" s="1362"/>
      <c r="CV27" s="1362"/>
      <c r="CW27" s="1362"/>
      <c r="CX27" s="1362"/>
      <c r="CY27" s="1362"/>
      <c r="CZ27" s="1362"/>
      <c r="DA27" s="1363"/>
    </row>
    <row r="28" spans="1:105" s="1046" customFormat="1" ht="12.75" x14ac:dyDescent="0.25">
      <c r="A28" s="1355" t="s">
        <v>338</v>
      </c>
      <c r="B28" s="1356"/>
      <c r="C28" s="1356"/>
      <c r="D28" s="1356"/>
      <c r="E28" s="1356"/>
      <c r="F28" s="1356"/>
      <c r="G28" s="1357"/>
      <c r="H28" s="1364" t="s">
        <v>944</v>
      </c>
      <c r="I28" s="1365"/>
      <c r="J28" s="1365"/>
      <c r="K28" s="1365"/>
      <c r="L28" s="1365"/>
      <c r="M28" s="1365"/>
      <c r="N28" s="1365"/>
      <c r="O28" s="1365"/>
      <c r="P28" s="1365"/>
      <c r="Q28" s="1365"/>
      <c r="R28" s="1365"/>
      <c r="S28" s="1365"/>
      <c r="T28" s="1365"/>
      <c r="U28" s="1365"/>
      <c r="V28" s="1365"/>
      <c r="W28" s="1365"/>
      <c r="X28" s="1365"/>
      <c r="Y28" s="1365"/>
      <c r="Z28" s="1365"/>
      <c r="AA28" s="1365"/>
      <c r="AB28" s="1365"/>
      <c r="AC28" s="1365"/>
      <c r="AD28" s="1365"/>
      <c r="AE28" s="1365"/>
      <c r="AF28" s="1365"/>
      <c r="AG28" s="1365"/>
      <c r="AH28" s="1365"/>
      <c r="AI28" s="1365"/>
      <c r="AJ28" s="1365"/>
      <c r="AK28" s="1365"/>
      <c r="AL28" s="1365"/>
      <c r="AM28" s="1365"/>
      <c r="AN28" s="1365"/>
      <c r="AO28" s="1365"/>
      <c r="AP28" s="1365"/>
      <c r="AQ28" s="1365"/>
      <c r="AR28" s="1365"/>
      <c r="AS28" s="1365"/>
      <c r="AT28" s="1365"/>
      <c r="AU28" s="1365"/>
      <c r="AV28" s="1365"/>
      <c r="AW28" s="1365"/>
      <c r="AX28" s="1365"/>
      <c r="AY28" s="1365"/>
      <c r="AZ28" s="1365"/>
      <c r="BA28" s="1365"/>
      <c r="BB28" s="1365"/>
      <c r="BC28" s="1365"/>
      <c r="BD28" s="1365"/>
      <c r="BE28" s="1365"/>
      <c r="BF28" s="1365"/>
      <c r="BG28" s="1365"/>
      <c r="BH28" s="1365"/>
      <c r="BI28" s="1365"/>
      <c r="BJ28" s="1365"/>
      <c r="BK28" s="1365"/>
      <c r="BL28" s="1365"/>
      <c r="BM28" s="1365"/>
      <c r="BN28" s="1365"/>
      <c r="BO28" s="1365"/>
      <c r="BP28" s="1365"/>
      <c r="BQ28" s="1365"/>
      <c r="BR28" s="1365"/>
      <c r="BS28" s="1366"/>
      <c r="BT28" s="1370">
        <v>0</v>
      </c>
      <c r="BU28" s="1371"/>
      <c r="BV28" s="1371"/>
      <c r="BW28" s="1371"/>
      <c r="BX28" s="1371"/>
      <c r="BY28" s="1371"/>
      <c r="BZ28" s="1371"/>
      <c r="CA28" s="1371"/>
      <c r="CB28" s="1371"/>
      <c r="CC28" s="1371"/>
      <c r="CD28" s="1371"/>
      <c r="CE28" s="1371"/>
      <c r="CF28" s="1371"/>
      <c r="CG28" s="1371"/>
      <c r="CH28" s="1371"/>
      <c r="CI28" s="1371"/>
      <c r="CJ28" s="1371"/>
      <c r="CK28" s="1371"/>
      <c r="CL28" s="1371"/>
      <c r="CM28" s="1371"/>
      <c r="CN28" s="1371"/>
      <c r="CO28" s="1371"/>
      <c r="CP28" s="1371"/>
      <c r="CQ28" s="1371"/>
      <c r="CR28" s="1371"/>
      <c r="CS28" s="1371"/>
      <c r="CT28" s="1371"/>
      <c r="CU28" s="1371"/>
      <c r="CV28" s="1371"/>
      <c r="CW28" s="1371"/>
      <c r="CX28" s="1371"/>
      <c r="CY28" s="1371"/>
      <c r="CZ28" s="1371"/>
      <c r="DA28" s="1372"/>
    </row>
    <row r="29" spans="1:105" s="1046" customFormat="1" ht="12.75" x14ac:dyDescent="0.25">
      <c r="A29" s="1355" t="s">
        <v>339</v>
      </c>
      <c r="B29" s="1356"/>
      <c r="C29" s="1356"/>
      <c r="D29" s="1356"/>
      <c r="E29" s="1356"/>
      <c r="F29" s="1356"/>
      <c r="G29" s="1357"/>
      <c r="H29" s="1364" t="s">
        <v>945</v>
      </c>
      <c r="I29" s="1365"/>
      <c r="J29" s="1365"/>
      <c r="K29" s="1365"/>
      <c r="L29" s="1365"/>
      <c r="M29" s="1365"/>
      <c r="N29" s="1365"/>
      <c r="O29" s="1365"/>
      <c r="P29" s="1365"/>
      <c r="Q29" s="1365"/>
      <c r="R29" s="1365"/>
      <c r="S29" s="1365"/>
      <c r="T29" s="1365"/>
      <c r="U29" s="1365"/>
      <c r="V29" s="1365"/>
      <c r="W29" s="1365"/>
      <c r="X29" s="1365"/>
      <c r="Y29" s="1365"/>
      <c r="Z29" s="1365"/>
      <c r="AA29" s="1365"/>
      <c r="AB29" s="1365"/>
      <c r="AC29" s="1365"/>
      <c r="AD29" s="1365"/>
      <c r="AE29" s="1365"/>
      <c r="AF29" s="1365"/>
      <c r="AG29" s="1365"/>
      <c r="AH29" s="1365"/>
      <c r="AI29" s="1365"/>
      <c r="AJ29" s="1365"/>
      <c r="AK29" s="1365"/>
      <c r="AL29" s="1365"/>
      <c r="AM29" s="1365"/>
      <c r="AN29" s="1365"/>
      <c r="AO29" s="1365"/>
      <c r="AP29" s="1365"/>
      <c r="AQ29" s="1365"/>
      <c r="AR29" s="1365"/>
      <c r="AS29" s="1365"/>
      <c r="AT29" s="1365"/>
      <c r="AU29" s="1365"/>
      <c r="AV29" s="1365"/>
      <c r="AW29" s="1365"/>
      <c r="AX29" s="1365"/>
      <c r="AY29" s="1365"/>
      <c r="AZ29" s="1365"/>
      <c r="BA29" s="1365"/>
      <c r="BB29" s="1365"/>
      <c r="BC29" s="1365"/>
      <c r="BD29" s="1365"/>
      <c r="BE29" s="1365"/>
      <c r="BF29" s="1365"/>
      <c r="BG29" s="1365"/>
      <c r="BH29" s="1365"/>
      <c r="BI29" s="1365"/>
      <c r="BJ29" s="1365"/>
      <c r="BK29" s="1365"/>
      <c r="BL29" s="1365"/>
      <c r="BM29" s="1365"/>
      <c r="BN29" s="1365"/>
      <c r="BO29" s="1365"/>
      <c r="BP29" s="1365"/>
      <c r="BQ29" s="1365"/>
      <c r="BR29" s="1365"/>
      <c r="BS29" s="1366"/>
      <c r="BT29" s="1361">
        <v>649261721.63999999</v>
      </c>
      <c r="BU29" s="1362"/>
      <c r="BV29" s="1362"/>
      <c r="BW29" s="1362"/>
      <c r="BX29" s="1362"/>
      <c r="BY29" s="1362"/>
      <c r="BZ29" s="1362"/>
      <c r="CA29" s="1362"/>
      <c r="CB29" s="1362"/>
      <c r="CC29" s="1362"/>
      <c r="CD29" s="1362"/>
      <c r="CE29" s="1362"/>
      <c r="CF29" s="1362"/>
      <c r="CG29" s="1362"/>
      <c r="CH29" s="1362"/>
      <c r="CI29" s="1362"/>
      <c r="CJ29" s="1362"/>
      <c r="CK29" s="1362"/>
      <c r="CL29" s="1362"/>
      <c r="CM29" s="1362"/>
      <c r="CN29" s="1362"/>
      <c r="CO29" s="1362"/>
      <c r="CP29" s="1362"/>
      <c r="CQ29" s="1362"/>
      <c r="CR29" s="1362"/>
      <c r="CS29" s="1362"/>
      <c r="CT29" s="1362"/>
      <c r="CU29" s="1362"/>
      <c r="CV29" s="1362"/>
      <c r="CW29" s="1362"/>
      <c r="CX29" s="1362"/>
      <c r="CY29" s="1362"/>
      <c r="CZ29" s="1362"/>
      <c r="DA29" s="1363"/>
    </row>
    <row r="30" spans="1:105" s="1046" customFormat="1" ht="12.75" x14ac:dyDescent="0.25">
      <c r="A30" s="1355"/>
      <c r="B30" s="1356"/>
      <c r="C30" s="1356"/>
      <c r="D30" s="1356"/>
      <c r="E30" s="1356"/>
      <c r="F30" s="1356"/>
      <c r="G30" s="1357"/>
      <c r="H30" s="1373" t="s">
        <v>137</v>
      </c>
      <c r="I30" s="1374"/>
      <c r="J30" s="1374"/>
      <c r="K30" s="1374"/>
      <c r="L30" s="1374"/>
      <c r="M30" s="1374"/>
      <c r="N30" s="1374"/>
      <c r="O30" s="1374"/>
      <c r="P30" s="1374"/>
      <c r="Q30" s="1374"/>
      <c r="R30" s="1374"/>
      <c r="S30" s="1374"/>
      <c r="T30" s="1374"/>
      <c r="U30" s="1374"/>
      <c r="V30" s="1374"/>
      <c r="W30" s="1374"/>
      <c r="X30" s="1374"/>
      <c r="Y30" s="1374"/>
      <c r="Z30" s="1374"/>
      <c r="AA30" s="1374"/>
      <c r="AB30" s="1374"/>
      <c r="AC30" s="1374"/>
      <c r="AD30" s="1374"/>
      <c r="AE30" s="1374"/>
      <c r="AF30" s="1374"/>
      <c r="AG30" s="1374"/>
      <c r="AH30" s="1374"/>
      <c r="AI30" s="1374"/>
      <c r="AJ30" s="1374"/>
      <c r="AK30" s="1374"/>
      <c r="AL30" s="1374"/>
      <c r="AM30" s="1374"/>
      <c r="AN30" s="1374"/>
      <c r="AO30" s="1374"/>
      <c r="AP30" s="1374"/>
      <c r="AQ30" s="1374"/>
      <c r="AR30" s="1374"/>
      <c r="AS30" s="1374"/>
      <c r="AT30" s="1374"/>
      <c r="AU30" s="1374"/>
      <c r="AV30" s="1374"/>
      <c r="AW30" s="1374"/>
      <c r="AX30" s="1374"/>
      <c r="AY30" s="1374"/>
      <c r="AZ30" s="1374"/>
      <c r="BA30" s="1374"/>
      <c r="BB30" s="1374"/>
      <c r="BC30" s="1374"/>
      <c r="BD30" s="1374"/>
      <c r="BE30" s="1374"/>
      <c r="BF30" s="1374"/>
      <c r="BG30" s="1374"/>
      <c r="BH30" s="1374"/>
      <c r="BI30" s="1374"/>
      <c r="BJ30" s="1374"/>
      <c r="BK30" s="1374"/>
      <c r="BL30" s="1374"/>
      <c r="BM30" s="1374"/>
      <c r="BN30" s="1374"/>
      <c r="BO30" s="1374"/>
      <c r="BP30" s="1374"/>
      <c r="BQ30" s="1374"/>
      <c r="BR30" s="1374"/>
      <c r="BS30" s="1375"/>
      <c r="BT30" s="1361"/>
      <c r="BU30" s="1362"/>
      <c r="BV30" s="1362"/>
      <c r="BW30" s="1362"/>
      <c r="BX30" s="1362"/>
      <c r="BY30" s="1362"/>
      <c r="BZ30" s="1362"/>
      <c r="CA30" s="1362"/>
      <c r="CB30" s="1362"/>
      <c r="CC30" s="1362"/>
      <c r="CD30" s="1362"/>
      <c r="CE30" s="1362"/>
      <c r="CF30" s="1362"/>
      <c r="CG30" s="1362"/>
      <c r="CH30" s="1362"/>
      <c r="CI30" s="1362"/>
      <c r="CJ30" s="1362"/>
      <c r="CK30" s="1362"/>
      <c r="CL30" s="1362"/>
      <c r="CM30" s="1362"/>
      <c r="CN30" s="1362"/>
      <c r="CO30" s="1362"/>
      <c r="CP30" s="1362"/>
      <c r="CQ30" s="1362"/>
      <c r="CR30" s="1362"/>
      <c r="CS30" s="1362"/>
      <c r="CT30" s="1362"/>
      <c r="CU30" s="1362"/>
      <c r="CV30" s="1362"/>
      <c r="CW30" s="1362"/>
      <c r="CX30" s="1362"/>
      <c r="CY30" s="1362"/>
      <c r="CZ30" s="1362"/>
      <c r="DA30" s="1363"/>
    </row>
    <row r="31" spans="1:105" s="1046" customFormat="1" ht="12.75" x14ac:dyDescent="0.25">
      <c r="A31" s="1355" t="s">
        <v>946</v>
      </c>
      <c r="B31" s="1356"/>
      <c r="C31" s="1356"/>
      <c r="D31" s="1356"/>
      <c r="E31" s="1356"/>
      <c r="F31" s="1356"/>
      <c r="G31" s="1357"/>
      <c r="H31" s="1373" t="s">
        <v>947</v>
      </c>
      <c r="I31" s="1374"/>
      <c r="J31" s="1374"/>
      <c r="K31" s="1374"/>
      <c r="L31" s="1374"/>
      <c r="M31" s="1374"/>
      <c r="N31" s="1374"/>
      <c r="O31" s="1374"/>
      <c r="P31" s="1374"/>
      <c r="Q31" s="1374"/>
      <c r="R31" s="1374"/>
      <c r="S31" s="1374"/>
      <c r="T31" s="1374"/>
      <c r="U31" s="1374"/>
      <c r="V31" s="1374"/>
      <c r="W31" s="1374"/>
      <c r="X31" s="1374"/>
      <c r="Y31" s="1374"/>
      <c r="Z31" s="1374"/>
      <c r="AA31" s="1374"/>
      <c r="AB31" s="1374"/>
      <c r="AC31" s="1374"/>
      <c r="AD31" s="1374"/>
      <c r="AE31" s="1374"/>
      <c r="AF31" s="1374"/>
      <c r="AG31" s="1374"/>
      <c r="AH31" s="1374"/>
      <c r="AI31" s="1374"/>
      <c r="AJ31" s="1374"/>
      <c r="AK31" s="1374"/>
      <c r="AL31" s="1374"/>
      <c r="AM31" s="1374"/>
      <c r="AN31" s="1374"/>
      <c r="AO31" s="1374"/>
      <c r="AP31" s="1374"/>
      <c r="AQ31" s="1374"/>
      <c r="AR31" s="1374"/>
      <c r="AS31" s="1374"/>
      <c r="AT31" s="1374"/>
      <c r="AU31" s="1374"/>
      <c r="AV31" s="1374"/>
      <c r="AW31" s="1374"/>
      <c r="AX31" s="1374"/>
      <c r="AY31" s="1374"/>
      <c r="AZ31" s="1374"/>
      <c r="BA31" s="1374"/>
      <c r="BB31" s="1374"/>
      <c r="BC31" s="1374"/>
      <c r="BD31" s="1374"/>
      <c r="BE31" s="1374"/>
      <c r="BF31" s="1374"/>
      <c r="BG31" s="1374"/>
      <c r="BH31" s="1374"/>
      <c r="BI31" s="1374"/>
      <c r="BJ31" s="1374"/>
      <c r="BK31" s="1374"/>
      <c r="BL31" s="1374"/>
      <c r="BM31" s="1374"/>
      <c r="BN31" s="1374"/>
      <c r="BO31" s="1374"/>
      <c r="BP31" s="1374"/>
      <c r="BQ31" s="1374"/>
      <c r="BR31" s="1374"/>
      <c r="BS31" s="1375"/>
      <c r="BT31" s="1370">
        <v>0</v>
      </c>
      <c r="BU31" s="1371"/>
      <c r="BV31" s="1371"/>
      <c r="BW31" s="1371"/>
      <c r="BX31" s="1371"/>
      <c r="BY31" s="1371"/>
      <c r="BZ31" s="1371"/>
      <c r="CA31" s="1371"/>
      <c r="CB31" s="1371"/>
      <c r="CC31" s="1371"/>
      <c r="CD31" s="1371"/>
      <c r="CE31" s="1371"/>
      <c r="CF31" s="1371"/>
      <c r="CG31" s="1371"/>
      <c r="CH31" s="1371"/>
      <c r="CI31" s="1371"/>
      <c r="CJ31" s="1371"/>
      <c r="CK31" s="1371"/>
      <c r="CL31" s="1371"/>
      <c r="CM31" s="1371"/>
      <c r="CN31" s="1371"/>
      <c r="CO31" s="1371"/>
      <c r="CP31" s="1371"/>
      <c r="CQ31" s="1371"/>
      <c r="CR31" s="1371"/>
      <c r="CS31" s="1371"/>
      <c r="CT31" s="1371"/>
      <c r="CU31" s="1371"/>
      <c r="CV31" s="1371"/>
      <c r="CW31" s="1371"/>
      <c r="CX31" s="1371"/>
      <c r="CY31" s="1371"/>
      <c r="CZ31" s="1371"/>
      <c r="DA31" s="1372"/>
    </row>
    <row r="32" spans="1:105" ht="10.5" customHeight="1" x14ac:dyDescent="0.25"/>
  </sheetData>
  <mergeCells count="80">
    <mergeCell ref="A30:G30"/>
    <mergeCell ref="H30:BS30"/>
    <mergeCell ref="BT30:DA30"/>
    <mergeCell ref="A31:G31"/>
    <mergeCell ref="H31:BS31"/>
    <mergeCell ref="BT31:DA31"/>
    <mergeCell ref="A28:G28"/>
    <mergeCell ref="H28:BS28"/>
    <mergeCell ref="BT28:DA28"/>
    <mergeCell ref="A29:G29"/>
    <mergeCell ref="H29:BS29"/>
    <mergeCell ref="BT29:DA29"/>
    <mergeCell ref="A26:G26"/>
    <mergeCell ref="H26:BS26"/>
    <mergeCell ref="BT26:DA26"/>
    <mergeCell ref="A27:G27"/>
    <mergeCell ref="H27:BS27"/>
    <mergeCell ref="BT27:DA27"/>
    <mergeCell ref="A24:G24"/>
    <mergeCell ref="H24:BS24"/>
    <mergeCell ref="BT24:DA24"/>
    <mergeCell ref="A25:G25"/>
    <mergeCell ref="H25:BS25"/>
    <mergeCell ref="BT25:DA25"/>
    <mergeCell ref="A22:G22"/>
    <mergeCell ref="H22:BS22"/>
    <mergeCell ref="BT22:DA22"/>
    <mergeCell ref="A23:G23"/>
    <mergeCell ref="H23:BS23"/>
    <mergeCell ref="BT23:DA23"/>
    <mergeCell ref="A20:G20"/>
    <mergeCell ref="H20:BS20"/>
    <mergeCell ref="BT20:DA20"/>
    <mergeCell ref="A21:G21"/>
    <mergeCell ref="H21:BS21"/>
    <mergeCell ref="BT21:DA21"/>
    <mergeCell ref="A18:G18"/>
    <mergeCell ref="H18:BS18"/>
    <mergeCell ref="BT18:DA18"/>
    <mergeCell ref="A19:G19"/>
    <mergeCell ref="H19:BS19"/>
    <mergeCell ref="BT19:DA19"/>
    <mergeCell ref="A16:G16"/>
    <mergeCell ref="H16:BS16"/>
    <mergeCell ref="BT16:DA16"/>
    <mergeCell ref="A17:G17"/>
    <mergeCell ref="H17:BS17"/>
    <mergeCell ref="BT17:DA17"/>
    <mergeCell ref="A14:G14"/>
    <mergeCell ref="H14:BS14"/>
    <mergeCell ref="BT14:DA14"/>
    <mergeCell ref="A15:G15"/>
    <mergeCell ref="H15:BS15"/>
    <mergeCell ref="BT15:DA15"/>
    <mergeCell ref="A12:G12"/>
    <mergeCell ref="H12:BS12"/>
    <mergeCell ref="BT12:DA12"/>
    <mergeCell ref="A13:G13"/>
    <mergeCell ref="H13:BS13"/>
    <mergeCell ref="BT13:DA13"/>
    <mergeCell ref="A10:G10"/>
    <mergeCell ref="H10:BS10"/>
    <mergeCell ref="BT10:DA10"/>
    <mergeCell ref="A11:G11"/>
    <mergeCell ref="H11:BS11"/>
    <mergeCell ref="BT11:DA11"/>
    <mergeCell ref="A8:G8"/>
    <mergeCell ref="H8:BS8"/>
    <mergeCell ref="BT8:DA8"/>
    <mergeCell ref="A9:G9"/>
    <mergeCell ref="H9:BS9"/>
    <mergeCell ref="BT9:DA9"/>
    <mergeCell ref="A7:G7"/>
    <mergeCell ref="H7:BS7"/>
    <mergeCell ref="BT7:DA7"/>
    <mergeCell ref="A3:DA3"/>
    <mergeCell ref="A4:DA4"/>
    <mergeCell ref="A6:G6"/>
    <mergeCell ref="H6:BS6"/>
    <mergeCell ref="BT6:DA6"/>
  </mergeCells>
  <pageMargins left="0.7" right="0.7" top="0.75" bottom="0.75" header="0.3" footer="0.3"/>
  <pageSetup paperSize="9" scale="98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Q82"/>
  <sheetViews>
    <sheetView workbookViewId="0">
      <selection activeCell="O83" sqref="O83"/>
    </sheetView>
  </sheetViews>
  <sheetFormatPr defaultRowHeight="12.75" x14ac:dyDescent="0.2"/>
  <cols>
    <col min="1" max="6" width="9.140625" style="21"/>
    <col min="7" max="7" width="12.5703125" style="21" customWidth="1"/>
    <col min="8" max="8" width="17.7109375" style="38" hidden="1" customWidth="1"/>
    <col min="9" max="9" width="19.85546875" style="21" customWidth="1"/>
    <col min="10" max="10" width="18.7109375" style="21" customWidth="1"/>
    <col min="11" max="262" width="9.140625" style="21"/>
    <col min="263" max="263" width="12.5703125" style="21" customWidth="1"/>
    <col min="264" max="264" width="0" style="21" hidden="1" customWidth="1"/>
    <col min="265" max="265" width="19.85546875" style="21" customWidth="1"/>
    <col min="266" max="266" width="18.7109375" style="21" customWidth="1"/>
    <col min="267" max="518" width="9.140625" style="21"/>
    <col min="519" max="519" width="12.5703125" style="21" customWidth="1"/>
    <col min="520" max="520" width="0" style="21" hidden="1" customWidth="1"/>
    <col min="521" max="521" width="19.85546875" style="21" customWidth="1"/>
    <col min="522" max="522" width="18.7109375" style="21" customWidth="1"/>
    <col min="523" max="774" width="9.140625" style="21"/>
    <col min="775" max="775" width="12.5703125" style="21" customWidth="1"/>
    <col min="776" max="776" width="0" style="21" hidden="1" customWidth="1"/>
    <col min="777" max="777" width="19.85546875" style="21" customWidth="1"/>
    <col min="778" max="778" width="18.7109375" style="21" customWidth="1"/>
    <col min="779" max="1030" width="9.140625" style="21"/>
    <col min="1031" max="1031" width="12.5703125" style="21" customWidth="1"/>
    <col min="1032" max="1032" width="0" style="21" hidden="1" customWidth="1"/>
    <col min="1033" max="1033" width="19.85546875" style="21" customWidth="1"/>
    <col min="1034" max="1034" width="18.7109375" style="21" customWidth="1"/>
    <col min="1035" max="1286" width="9.140625" style="21"/>
    <col min="1287" max="1287" width="12.5703125" style="21" customWidth="1"/>
    <col min="1288" max="1288" width="0" style="21" hidden="1" customWidth="1"/>
    <col min="1289" max="1289" width="19.85546875" style="21" customWidth="1"/>
    <col min="1290" max="1290" width="18.7109375" style="21" customWidth="1"/>
    <col min="1291" max="1542" width="9.140625" style="21"/>
    <col min="1543" max="1543" width="12.5703125" style="21" customWidth="1"/>
    <col min="1544" max="1544" width="0" style="21" hidden="1" customWidth="1"/>
    <col min="1545" max="1545" width="19.85546875" style="21" customWidth="1"/>
    <col min="1546" max="1546" width="18.7109375" style="21" customWidth="1"/>
    <col min="1547" max="1798" width="9.140625" style="21"/>
    <col min="1799" max="1799" width="12.5703125" style="21" customWidth="1"/>
    <col min="1800" max="1800" width="0" style="21" hidden="1" customWidth="1"/>
    <col min="1801" max="1801" width="19.85546875" style="21" customWidth="1"/>
    <col min="1802" max="1802" width="18.7109375" style="21" customWidth="1"/>
    <col min="1803" max="2054" width="9.140625" style="21"/>
    <col min="2055" max="2055" width="12.5703125" style="21" customWidth="1"/>
    <col min="2056" max="2056" width="0" style="21" hidden="1" customWidth="1"/>
    <col min="2057" max="2057" width="19.85546875" style="21" customWidth="1"/>
    <col min="2058" max="2058" width="18.7109375" style="21" customWidth="1"/>
    <col min="2059" max="2310" width="9.140625" style="21"/>
    <col min="2311" max="2311" width="12.5703125" style="21" customWidth="1"/>
    <col min="2312" max="2312" width="0" style="21" hidden="1" customWidth="1"/>
    <col min="2313" max="2313" width="19.85546875" style="21" customWidth="1"/>
    <col min="2314" max="2314" width="18.7109375" style="21" customWidth="1"/>
    <col min="2315" max="2566" width="9.140625" style="21"/>
    <col min="2567" max="2567" width="12.5703125" style="21" customWidth="1"/>
    <col min="2568" max="2568" width="0" style="21" hidden="1" customWidth="1"/>
    <col min="2569" max="2569" width="19.85546875" style="21" customWidth="1"/>
    <col min="2570" max="2570" width="18.7109375" style="21" customWidth="1"/>
    <col min="2571" max="2822" width="9.140625" style="21"/>
    <col min="2823" max="2823" width="12.5703125" style="21" customWidth="1"/>
    <col min="2824" max="2824" width="0" style="21" hidden="1" customWidth="1"/>
    <col min="2825" max="2825" width="19.85546875" style="21" customWidth="1"/>
    <col min="2826" max="2826" width="18.7109375" style="21" customWidth="1"/>
    <col min="2827" max="3078" width="9.140625" style="21"/>
    <col min="3079" max="3079" width="12.5703125" style="21" customWidth="1"/>
    <col min="3080" max="3080" width="0" style="21" hidden="1" customWidth="1"/>
    <col min="3081" max="3081" width="19.85546875" style="21" customWidth="1"/>
    <col min="3082" max="3082" width="18.7109375" style="21" customWidth="1"/>
    <col min="3083" max="3334" width="9.140625" style="21"/>
    <col min="3335" max="3335" width="12.5703125" style="21" customWidth="1"/>
    <col min="3336" max="3336" width="0" style="21" hidden="1" customWidth="1"/>
    <col min="3337" max="3337" width="19.85546875" style="21" customWidth="1"/>
    <col min="3338" max="3338" width="18.7109375" style="21" customWidth="1"/>
    <col min="3339" max="3590" width="9.140625" style="21"/>
    <col min="3591" max="3591" width="12.5703125" style="21" customWidth="1"/>
    <col min="3592" max="3592" width="0" style="21" hidden="1" customWidth="1"/>
    <col min="3593" max="3593" width="19.85546875" style="21" customWidth="1"/>
    <col min="3594" max="3594" width="18.7109375" style="21" customWidth="1"/>
    <col min="3595" max="3846" width="9.140625" style="21"/>
    <col min="3847" max="3847" width="12.5703125" style="21" customWidth="1"/>
    <col min="3848" max="3848" width="0" style="21" hidden="1" customWidth="1"/>
    <col min="3849" max="3849" width="19.85546875" style="21" customWidth="1"/>
    <col min="3850" max="3850" width="18.7109375" style="21" customWidth="1"/>
    <col min="3851" max="4102" width="9.140625" style="21"/>
    <col min="4103" max="4103" width="12.5703125" style="21" customWidth="1"/>
    <col min="4104" max="4104" width="0" style="21" hidden="1" customWidth="1"/>
    <col min="4105" max="4105" width="19.85546875" style="21" customWidth="1"/>
    <col min="4106" max="4106" width="18.7109375" style="21" customWidth="1"/>
    <col min="4107" max="4358" width="9.140625" style="21"/>
    <col min="4359" max="4359" width="12.5703125" style="21" customWidth="1"/>
    <col min="4360" max="4360" width="0" style="21" hidden="1" customWidth="1"/>
    <col min="4361" max="4361" width="19.85546875" style="21" customWidth="1"/>
    <col min="4362" max="4362" width="18.7109375" style="21" customWidth="1"/>
    <col min="4363" max="4614" width="9.140625" style="21"/>
    <col min="4615" max="4615" width="12.5703125" style="21" customWidth="1"/>
    <col min="4616" max="4616" width="0" style="21" hidden="1" customWidth="1"/>
    <col min="4617" max="4617" width="19.85546875" style="21" customWidth="1"/>
    <col min="4618" max="4618" width="18.7109375" style="21" customWidth="1"/>
    <col min="4619" max="4870" width="9.140625" style="21"/>
    <col min="4871" max="4871" width="12.5703125" style="21" customWidth="1"/>
    <col min="4872" max="4872" width="0" style="21" hidden="1" customWidth="1"/>
    <col min="4873" max="4873" width="19.85546875" style="21" customWidth="1"/>
    <col min="4874" max="4874" width="18.7109375" style="21" customWidth="1"/>
    <col min="4875" max="5126" width="9.140625" style="21"/>
    <col min="5127" max="5127" width="12.5703125" style="21" customWidth="1"/>
    <col min="5128" max="5128" width="0" style="21" hidden="1" customWidth="1"/>
    <col min="5129" max="5129" width="19.85546875" style="21" customWidth="1"/>
    <col min="5130" max="5130" width="18.7109375" style="21" customWidth="1"/>
    <col min="5131" max="5382" width="9.140625" style="21"/>
    <col min="5383" max="5383" width="12.5703125" style="21" customWidth="1"/>
    <col min="5384" max="5384" width="0" style="21" hidden="1" customWidth="1"/>
    <col min="5385" max="5385" width="19.85546875" style="21" customWidth="1"/>
    <col min="5386" max="5386" width="18.7109375" style="21" customWidth="1"/>
    <col min="5387" max="5638" width="9.140625" style="21"/>
    <col min="5639" max="5639" width="12.5703125" style="21" customWidth="1"/>
    <col min="5640" max="5640" width="0" style="21" hidden="1" customWidth="1"/>
    <col min="5641" max="5641" width="19.85546875" style="21" customWidth="1"/>
    <col min="5642" max="5642" width="18.7109375" style="21" customWidth="1"/>
    <col min="5643" max="5894" width="9.140625" style="21"/>
    <col min="5895" max="5895" width="12.5703125" style="21" customWidth="1"/>
    <col min="5896" max="5896" width="0" style="21" hidden="1" customWidth="1"/>
    <col min="5897" max="5897" width="19.85546875" style="21" customWidth="1"/>
    <col min="5898" max="5898" width="18.7109375" style="21" customWidth="1"/>
    <col min="5899" max="6150" width="9.140625" style="21"/>
    <col min="6151" max="6151" width="12.5703125" style="21" customWidth="1"/>
    <col min="6152" max="6152" width="0" style="21" hidden="1" customWidth="1"/>
    <col min="6153" max="6153" width="19.85546875" style="21" customWidth="1"/>
    <col min="6154" max="6154" width="18.7109375" style="21" customWidth="1"/>
    <col min="6155" max="6406" width="9.140625" style="21"/>
    <col min="6407" max="6407" width="12.5703125" style="21" customWidth="1"/>
    <col min="6408" max="6408" width="0" style="21" hidden="1" customWidth="1"/>
    <col min="6409" max="6409" width="19.85546875" style="21" customWidth="1"/>
    <col min="6410" max="6410" width="18.7109375" style="21" customWidth="1"/>
    <col min="6411" max="6662" width="9.140625" style="21"/>
    <col min="6663" max="6663" width="12.5703125" style="21" customWidth="1"/>
    <col min="6664" max="6664" width="0" style="21" hidden="1" customWidth="1"/>
    <col min="6665" max="6665" width="19.85546875" style="21" customWidth="1"/>
    <col min="6666" max="6666" width="18.7109375" style="21" customWidth="1"/>
    <col min="6667" max="6918" width="9.140625" style="21"/>
    <col min="6919" max="6919" width="12.5703125" style="21" customWidth="1"/>
    <col min="6920" max="6920" width="0" style="21" hidden="1" customWidth="1"/>
    <col min="6921" max="6921" width="19.85546875" style="21" customWidth="1"/>
    <col min="6922" max="6922" width="18.7109375" style="21" customWidth="1"/>
    <col min="6923" max="7174" width="9.140625" style="21"/>
    <col min="7175" max="7175" width="12.5703125" style="21" customWidth="1"/>
    <col min="7176" max="7176" width="0" style="21" hidden="1" customWidth="1"/>
    <col min="7177" max="7177" width="19.85546875" style="21" customWidth="1"/>
    <col min="7178" max="7178" width="18.7109375" style="21" customWidth="1"/>
    <col min="7179" max="7430" width="9.140625" style="21"/>
    <col min="7431" max="7431" width="12.5703125" style="21" customWidth="1"/>
    <col min="7432" max="7432" width="0" style="21" hidden="1" customWidth="1"/>
    <col min="7433" max="7433" width="19.85546875" style="21" customWidth="1"/>
    <col min="7434" max="7434" width="18.7109375" style="21" customWidth="1"/>
    <col min="7435" max="7686" width="9.140625" style="21"/>
    <col min="7687" max="7687" width="12.5703125" style="21" customWidth="1"/>
    <col min="7688" max="7688" width="0" style="21" hidden="1" customWidth="1"/>
    <col min="7689" max="7689" width="19.85546875" style="21" customWidth="1"/>
    <col min="7690" max="7690" width="18.7109375" style="21" customWidth="1"/>
    <col min="7691" max="7942" width="9.140625" style="21"/>
    <col min="7943" max="7943" width="12.5703125" style="21" customWidth="1"/>
    <col min="7944" max="7944" width="0" style="21" hidden="1" customWidth="1"/>
    <col min="7945" max="7945" width="19.85546875" style="21" customWidth="1"/>
    <col min="7946" max="7946" width="18.7109375" style="21" customWidth="1"/>
    <col min="7947" max="8198" width="9.140625" style="21"/>
    <col min="8199" max="8199" width="12.5703125" style="21" customWidth="1"/>
    <col min="8200" max="8200" width="0" style="21" hidden="1" customWidth="1"/>
    <col min="8201" max="8201" width="19.85546875" style="21" customWidth="1"/>
    <col min="8202" max="8202" width="18.7109375" style="21" customWidth="1"/>
    <col min="8203" max="8454" width="9.140625" style="21"/>
    <col min="8455" max="8455" width="12.5703125" style="21" customWidth="1"/>
    <col min="8456" max="8456" width="0" style="21" hidden="1" customWidth="1"/>
    <col min="8457" max="8457" width="19.85546875" style="21" customWidth="1"/>
    <col min="8458" max="8458" width="18.7109375" style="21" customWidth="1"/>
    <col min="8459" max="8710" width="9.140625" style="21"/>
    <col min="8711" max="8711" width="12.5703125" style="21" customWidth="1"/>
    <col min="8712" max="8712" width="0" style="21" hidden="1" customWidth="1"/>
    <col min="8713" max="8713" width="19.85546875" style="21" customWidth="1"/>
    <col min="8714" max="8714" width="18.7109375" style="21" customWidth="1"/>
    <col min="8715" max="8966" width="9.140625" style="21"/>
    <col min="8967" max="8967" width="12.5703125" style="21" customWidth="1"/>
    <col min="8968" max="8968" width="0" style="21" hidden="1" customWidth="1"/>
    <col min="8969" max="8969" width="19.85546875" style="21" customWidth="1"/>
    <col min="8970" max="8970" width="18.7109375" style="21" customWidth="1"/>
    <col min="8971" max="9222" width="9.140625" style="21"/>
    <col min="9223" max="9223" width="12.5703125" style="21" customWidth="1"/>
    <col min="9224" max="9224" width="0" style="21" hidden="1" customWidth="1"/>
    <col min="9225" max="9225" width="19.85546875" style="21" customWidth="1"/>
    <col min="9226" max="9226" width="18.7109375" style="21" customWidth="1"/>
    <col min="9227" max="9478" width="9.140625" style="21"/>
    <col min="9479" max="9479" width="12.5703125" style="21" customWidth="1"/>
    <col min="9480" max="9480" width="0" style="21" hidden="1" customWidth="1"/>
    <col min="9481" max="9481" width="19.85546875" style="21" customWidth="1"/>
    <col min="9482" max="9482" width="18.7109375" style="21" customWidth="1"/>
    <col min="9483" max="9734" width="9.140625" style="21"/>
    <col min="9735" max="9735" width="12.5703125" style="21" customWidth="1"/>
    <col min="9736" max="9736" width="0" style="21" hidden="1" customWidth="1"/>
    <col min="9737" max="9737" width="19.85546875" style="21" customWidth="1"/>
    <col min="9738" max="9738" width="18.7109375" style="21" customWidth="1"/>
    <col min="9739" max="9990" width="9.140625" style="21"/>
    <col min="9991" max="9991" width="12.5703125" style="21" customWidth="1"/>
    <col min="9992" max="9992" width="0" style="21" hidden="1" customWidth="1"/>
    <col min="9993" max="9993" width="19.85546875" style="21" customWidth="1"/>
    <col min="9994" max="9994" width="18.7109375" style="21" customWidth="1"/>
    <col min="9995" max="10246" width="9.140625" style="21"/>
    <col min="10247" max="10247" width="12.5703125" style="21" customWidth="1"/>
    <col min="10248" max="10248" width="0" style="21" hidden="1" customWidth="1"/>
    <col min="10249" max="10249" width="19.85546875" style="21" customWidth="1"/>
    <col min="10250" max="10250" width="18.7109375" style="21" customWidth="1"/>
    <col min="10251" max="10502" width="9.140625" style="21"/>
    <col min="10503" max="10503" width="12.5703125" style="21" customWidth="1"/>
    <col min="10504" max="10504" width="0" style="21" hidden="1" customWidth="1"/>
    <col min="10505" max="10505" width="19.85546875" style="21" customWidth="1"/>
    <col min="10506" max="10506" width="18.7109375" style="21" customWidth="1"/>
    <col min="10507" max="10758" width="9.140625" style="21"/>
    <col min="10759" max="10759" width="12.5703125" style="21" customWidth="1"/>
    <col min="10760" max="10760" width="0" style="21" hidden="1" customWidth="1"/>
    <col min="10761" max="10761" width="19.85546875" style="21" customWidth="1"/>
    <col min="10762" max="10762" width="18.7109375" style="21" customWidth="1"/>
    <col min="10763" max="11014" width="9.140625" style="21"/>
    <col min="11015" max="11015" width="12.5703125" style="21" customWidth="1"/>
    <col min="11016" max="11016" width="0" style="21" hidden="1" customWidth="1"/>
    <col min="11017" max="11017" width="19.85546875" style="21" customWidth="1"/>
    <col min="11018" max="11018" width="18.7109375" style="21" customWidth="1"/>
    <col min="11019" max="11270" width="9.140625" style="21"/>
    <col min="11271" max="11271" width="12.5703125" style="21" customWidth="1"/>
    <col min="11272" max="11272" width="0" style="21" hidden="1" customWidth="1"/>
    <col min="11273" max="11273" width="19.85546875" style="21" customWidth="1"/>
    <col min="11274" max="11274" width="18.7109375" style="21" customWidth="1"/>
    <col min="11275" max="11526" width="9.140625" style="21"/>
    <col min="11527" max="11527" width="12.5703125" style="21" customWidth="1"/>
    <col min="11528" max="11528" width="0" style="21" hidden="1" customWidth="1"/>
    <col min="11529" max="11529" width="19.85546875" style="21" customWidth="1"/>
    <col min="11530" max="11530" width="18.7109375" style="21" customWidth="1"/>
    <col min="11531" max="11782" width="9.140625" style="21"/>
    <col min="11783" max="11783" width="12.5703125" style="21" customWidth="1"/>
    <col min="11784" max="11784" width="0" style="21" hidden="1" customWidth="1"/>
    <col min="11785" max="11785" width="19.85546875" style="21" customWidth="1"/>
    <col min="11786" max="11786" width="18.7109375" style="21" customWidth="1"/>
    <col min="11787" max="12038" width="9.140625" style="21"/>
    <col min="12039" max="12039" width="12.5703125" style="21" customWidth="1"/>
    <col min="12040" max="12040" width="0" style="21" hidden="1" customWidth="1"/>
    <col min="12041" max="12041" width="19.85546875" style="21" customWidth="1"/>
    <col min="12042" max="12042" width="18.7109375" style="21" customWidth="1"/>
    <col min="12043" max="12294" width="9.140625" style="21"/>
    <col min="12295" max="12295" width="12.5703125" style="21" customWidth="1"/>
    <col min="12296" max="12296" width="0" style="21" hidden="1" customWidth="1"/>
    <col min="12297" max="12297" width="19.85546875" style="21" customWidth="1"/>
    <col min="12298" max="12298" width="18.7109375" style="21" customWidth="1"/>
    <col min="12299" max="12550" width="9.140625" style="21"/>
    <col min="12551" max="12551" width="12.5703125" style="21" customWidth="1"/>
    <col min="12552" max="12552" width="0" style="21" hidden="1" customWidth="1"/>
    <col min="12553" max="12553" width="19.85546875" style="21" customWidth="1"/>
    <col min="12554" max="12554" width="18.7109375" style="21" customWidth="1"/>
    <col min="12555" max="12806" width="9.140625" style="21"/>
    <col min="12807" max="12807" width="12.5703125" style="21" customWidth="1"/>
    <col min="12808" max="12808" width="0" style="21" hidden="1" customWidth="1"/>
    <col min="12809" max="12809" width="19.85546875" style="21" customWidth="1"/>
    <col min="12810" max="12810" width="18.7109375" style="21" customWidth="1"/>
    <col min="12811" max="13062" width="9.140625" style="21"/>
    <col min="13063" max="13063" width="12.5703125" style="21" customWidth="1"/>
    <col min="13064" max="13064" width="0" style="21" hidden="1" customWidth="1"/>
    <col min="13065" max="13065" width="19.85546875" style="21" customWidth="1"/>
    <col min="13066" max="13066" width="18.7109375" style="21" customWidth="1"/>
    <col min="13067" max="13318" width="9.140625" style="21"/>
    <col min="13319" max="13319" width="12.5703125" style="21" customWidth="1"/>
    <col min="13320" max="13320" width="0" style="21" hidden="1" customWidth="1"/>
    <col min="13321" max="13321" width="19.85546875" style="21" customWidth="1"/>
    <col min="13322" max="13322" width="18.7109375" style="21" customWidth="1"/>
    <col min="13323" max="13574" width="9.140625" style="21"/>
    <col min="13575" max="13575" width="12.5703125" style="21" customWidth="1"/>
    <col min="13576" max="13576" width="0" style="21" hidden="1" customWidth="1"/>
    <col min="13577" max="13577" width="19.85546875" style="21" customWidth="1"/>
    <col min="13578" max="13578" width="18.7109375" style="21" customWidth="1"/>
    <col min="13579" max="13830" width="9.140625" style="21"/>
    <col min="13831" max="13831" width="12.5703125" style="21" customWidth="1"/>
    <col min="13832" max="13832" width="0" style="21" hidden="1" customWidth="1"/>
    <col min="13833" max="13833" width="19.85546875" style="21" customWidth="1"/>
    <col min="13834" max="13834" width="18.7109375" style="21" customWidth="1"/>
    <col min="13835" max="14086" width="9.140625" style="21"/>
    <col min="14087" max="14087" width="12.5703125" style="21" customWidth="1"/>
    <col min="14088" max="14088" width="0" style="21" hidden="1" customWidth="1"/>
    <col min="14089" max="14089" width="19.85546875" style="21" customWidth="1"/>
    <col min="14090" max="14090" width="18.7109375" style="21" customWidth="1"/>
    <col min="14091" max="14342" width="9.140625" style="21"/>
    <col min="14343" max="14343" width="12.5703125" style="21" customWidth="1"/>
    <col min="14344" max="14344" width="0" style="21" hidden="1" customWidth="1"/>
    <col min="14345" max="14345" width="19.85546875" style="21" customWidth="1"/>
    <col min="14346" max="14346" width="18.7109375" style="21" customWidth="1"/>
    <col min="14347" max="14598" width="9.140625" style="21"/>
    <col min="14599" max="14599" width="12.5703125" style="21" customWidth="1"/>
    <col min="14600" max="14600" width="0" style="21" hidden="1" customWidth="1"/>
    <col min="14601" max="14601" width="19.85546875" style="21" customWidth="1"/>
    <col min="14602" max="14602" width="18.7109375" style="21" customWidth="1"/>
    <col min="14603" max="14854" width="9.140625" style="21"/>
    <col min="14855" max="14855" width="12.5703125" style="21" customWidth="1"/>
    <col min="14856" max="14856" width="0" style="21" hidden="1" customWidth="1"/>
    <col min="14857" max="14857" width="19.85546875" style="21" customWidth="1"/>
    <col min="14858" max="14858" width="18.7109375" style="21" customWidth="1"/>
    <col min="14859" max="15110" width="9.140625" style="21"/>
    <col min="15111" max="15111" width="12.5703125" style="21" customWidth="1"/>
    <col min="15112" max="15112" width="0" style="21" hidden="1" customWidth="1"/>
    <col min="15113" max="15113" width="19.85546875" style="21" customWidth="1"/>
    <col min="15114" max="15114" width="18.7109375" style="21" customWidth="1"/>
    <col min="15115" max="15366" width="9.140625" style="21"/>
    <col min="15367" max="15367" width="12.5703125" style="21" customWidth="1"/>
    <col min="15368" max="15368" width="0" style="21" hidden="1" customWidth="1"/>
    <col min="15369" max="15369" width="19.85546875" style="21" customWidth="1"/>
    <col min="15370" max="15370" width="18.7109375" style="21" customWidth="1"/>
    <col min="15371" max="15622" width="9.140625" style="21"/>
    <col min="15623" max="15623" width="12.5703125" style="21" customWidth="1"/>
    <col min="15624" max="15624" width="0" style="21" hidden="1" customWidth="1"/>
    <col min="15625" max="15625" width="19.85546875" style="21" customWidth="1"/>
    <col min="15626" max="15626" width="18.7109375" style="21" customWidth="1"/>
    <col min="15627" max="15878" width="9.140625" style="21"/>
    <col min="15879" max="15879" width="12.5703125" style="21" customWidth="1"/>
    <col min="15880" max="15880" width="0" style="21" hidden="1" customWidth="1"/>
    <col min="15881" max="15881" width="19.85546875" style="21" customWidth="1"/>
    <col min="15882" max="15882" width="18.7109375" style="21" customWidth="1"/>
    <col min="15883" max="16134" width="9.140625" style="21"/>
    <col min="16135" max="16135" width="12.5703125" style="21" customWidth="1"/>
    <col min="16136" max="16136" width="0" style="21" hidden="1" customWidth="1"/>
    <col min="16137" max="16137" width="19.85546875" style="21" customWidth="1"/>
    <col min="16138" max="16138" width="18.7109375" style="21" customWidth="1"/>
    <col min="16139" max="16384" width="9.140625" style="21"/>
  </cols>
  <sheetData>
    <row r="1" spans="1:17" x14ac:dyDescent="0.2">
      <c r="A1" s="1343" t="s">
        <v>87</v>
      </c>
      <c r="B1" s="1344"/>
      <c r="C1" s="1344"/>
      <c r="D1" s="1344"/>
      <c r="E1" s="1344"/>
      <c r="F1" s="1344"/>
      <c r="G1" s="1344"/>
      <c r="H1" s="1344"/>
      <c r="I1" s="22"/>
      <c r="J1" s="23"/>
      <c r="K1" s="23"/>
      <c r="L1" s="23"/>
      <c r="M1" s="23"/>
      <c r="N1" s="23"/>
      <c r="O1" s="23"/>
      <c r="P1" s="23"/>
      <c r="Q1" s="23"/>
    </row>
    <row r="3" spans="1:17" ht="17.25" customHeight="1" x14ac:dyDescent="0.2">
      <c r="A3" s="1379" t="s">
        <v>88</v>
      </c>
      <c r="B3" s="1380"/>
      <c r="C3" s="1380"/>
      <c r="D3" s="1380"/>
      <c r="E3" s="1380"/>
      <c r="F3" s="1380"/>
      <c r="G3" s="1381"/>
      <c r="H3" s="24" t="s">
        <v>89</v>
      </c>
      <c r="I3" s="25" t="s">
        <v>90</v>
      </c>
    </row>
    <row r="4" spans="1:17" ht="18.75" customHeight="1" x14ac:dyDescent="0.25">
      <c r="A4" s="26" t="s">
        <v>91</v>
      </c>
      <c r="B4" s="27"/>
      <c r="C4" s="27"/>
      <c r="D4" s="27"/>
      <c r="E4" s="27"/>
      <c r="F4" s="27"/>
      <c r="G4" s="27"/>
      <c r="H4" s="28">
        <f>H6+H12</f>
        <v>386503746.20999998</v>
      </c>
      <c r="I4" s="28">
        <v>1462200523.49</v>
      </c>
      <c r="J4" s="29"/>
    </row>
    <row r="5" spans="1:17" x14ac:dyDescent="0.2">
      <c r="A5" s="30" t="s">
        <v>92</v>
      </c>
      <c r="B5" s="27"/>
      <c r="C5" s="27"/>
      <c r="D5" s="27"/>
      <c r="E5" s="27"/>
      <c r="F5" s="27"/>
      <c r="G5" s="31"/>
      <c r="H5" s="32"/>
      <c r="I5" s="32"/>
    </row>
    <row r="6" spans="1:17" ht="25.5" customHeight="1" x14ac:dyDescent="0.2">
      <c r="A6" s="1340" t="s">
        <v>93</v>
      </c>
      <c r="B6" s="1341"/>
      <c r="C6" s="1341"/>
      <c r="D6" s="1341"/>
      <c r="E6" s="1341"/>
      <c r="F6" s="1341"/>
      <c r="G6" s="1342"/>
      <c r="H6" s="32">
        <v>112475732.87</v>
      </c>
      <c r="I6" s="33">
        <v>721903931.71000004</v>
      </c>
    </row>
    <row r="7" spans="1:17" x14ac:dyDescent="0.2">
      <c r="A7" s="30" t="s">
        <v>94</v>
      </c>
      <c r="B7" s="27"/>
      <c r="C7" s="27"/>
      <c r="D7" s="27"/>
      <c r="E7" s="27"/>
      <c r="F7" s="27"/>
      <c r="G7" s="31"/>
      <c r="H7" s="32"/>
      <c r="I7" s="32"/>
    </row>
    <row r="8" spans="1:17" ht="42" customHeight="1" x14ac:dyDescent="0.2">
      <c r="A8" s="1340" t="s">
        <v>95</v>
      </c>
      <c r="B8" s="1341"/>
      <c r="C8" s="1341"/>
      <c r="D8" s="1341"/>
      <c r="E8" s="1341"/>
      <c r="F8" s="1341"/>
      <c r="G8" s="1342"/>
      <c r="H8" s="32">
        <v>111280904.23999999</v>
      </c>
      <c r="I8" s="34">
        <v>716477916.44000006</v>
      </c>
    </row>
    <row r="9" spans="1:17" ht="42.75" customHeight="1" x14ac:dyDescent="0.2">
      <c r="A9" s="1340" t="s">
        <v>96</v>
      </c>
      <c r="B9" s="1341"/>
      <c r="C9" s="1341"/>
      <c r="D9" s="1341"/>
      <c r="E9" s="1341"/>
      <c r="F9" s="1341"/>
      <c r="G9" s="1342"/>
      <c r="H9" s="35"/>
      <c r="I9" s="36"/>
    </row>
    <row r="10" spans="1:17" ht="40.5" customHeight="1" x14ac:dyDescent="0.2">
      <c r="A10" s="1340" t="s">
        <v>97</v>
      </c>
      <c r="B10" s="1341"/>
      <c r="C10" s="1341"/>
      <c r="D10" s="1341"/>
      <c r="E10" s="1341"/>
      <c r="F10" s="1341"/>
      <c r="G10" s="1342"/>
      <c r="H10" s="37">
        <v>1194828.6299999999</v>
      </c>
      <c r="I10" s="34">
        <v>5426015.2699999996</v>
      </c>
    </row>
    <row r="11" spans="1:17" ht="25.5" customHeight="1" x14ac:dyDescent="0.2">
      <c r="A11" s="30" t="s">
        <v>98</v>
      </c>
      <c r="B11" s="27"/>
      <c r="C11" s="27"/>
      <c r="D11" s="27"/>
      <c r="E11" s="27"/>
      <c r="F11" s="27"/>
      <c r="G11" s="31"/>
      <c r="H11" s="32">
        <v>70777557.400000006</v>
      </c>
      <c r="I11" s="36">
        <v>524020364.41000003</v>
      </c>
    </row>
    <row r="12" spans="1:17" ht="30" customHeight="1" x14ac:dyDescent="0.2">
      <c r="A12" s="1340" t="s">
        <v>99</v>
      </c>
      <c r="B12" s="1341"/>
      <c r="C12" s="1341"/>
      <c r="D12" s="1341"/>
      <c r="E12" s="1341"/>
      <c r="F12" s="1341"/>
      <c r="G12" s="1342"/>
      <c r="H12" s="32">
        <v>274028013.33999997</v>
      </c>
      <c r="I12" s="33">
        <f>465836431.51+274460160.27</f>
        <v>740296591.77999997</v>
      </c>
      <c r="J12" s="38"/>
    </row>
    <row r="13" spans="1:17" x14ac:dyDescent="0.2">
      <c r="A13" s="30" t="s">
        <v>94</v>
      </c>
      <c r="B13" s="27"/>
      <c r="C13" s="27"/>
      <c r="D13" s="27"/>
      <c r="E13" s="27"/>
      <c r="F13" s="27"/>
      <c r="G13" s="31"/>
      <c r="H13" s="32"/>
      <c r="I13" s="32"/>
      <c r="J13" s="38"/>
    </row>
    <row r="14" spans="1:17" ht="15.75" customHeight="1" x14ac:dyDescent="0.2">
      <c r="A14" s="39" t="s">
        <v>100</v>
      </c>
      <c r="B14" s="40"/>
      <c r="C14" s="40"/>
      <c r="D14" s="40"/>
      <c r="E14" s="40"/>
      <c r="F14" s="40"/>
      <c r="G14" s="41"/>
      <c r="H14" s="42">
        <v>211117694.49000001</v>
      </c>
      <c r="I14" s="32">
        <v>465836431.50999999</v>
      </c>
      <c r="J14" s="43"/>
    </row>
    <row r="15" spans="1:17" x14ac:dyDescent="0.2">
      <c r="A15" s="39" t="s">
        <v>101</v>
      </c>
      <c r="B15" s="40"/>
      <c r="C15" s="40"/>
      <c r="D15" s="40"/>
      <c r="E15" s="40"/>
      <c r="F15" s="40"/>
      <c r="G15" s="41"/>
      <c r="H15" s="36">
        <v>90399096.319999993</v>
      </c>
      <c r="I15" s="32">
        <v>207816512.97</v>
      </c>
      <c r="J15" s="38"/>
    </row>
    <row r="16" spans="1:17" x14ac:dyDescent="0.2">
      <c r="A16" s="26" t="s">
        <v>102</v>
      </c>
      <c r="B16" s="27"/>
      <c r="C16" s="27"/>
      <c r="D16" s="27"/>
      <c r="E16" s="27"/>
      <c r="F16" s="27"/>
      <c r="G16" s="31"/>
      <c r="H16" s="28">
        <f>H19+H32</f>
        <v>9877921.4500000011</v>
      </c>
      <c r="I16" s="28">
        <v>1087199.6000000001</v>
      </c>
      <c r="J16" s="38"/>
    </row>
    <row r="17" spans="1:9" x14ac:dyDescent="0.2">
      <c r="A17" s="30" t="s">
        <v>92</v>
      </c>
      <c r="B17" s="27"/>
      <c r="C17" s="27"/>
      <c r="D17" s="27"/>
      <c r="E17" s="27"/>
      <c r="F17" s="27"/>
      <c r="G17" s="31"/>
      <c r="H17" s="32"/>
      <c r="I17" s="32"/>
    </row>
    <row r="18" spans="1:9" ht="31.5" customHeight="1" x14ac:dyDescent="0.2">
      <c r="A18" s="1340" t="s">
        <v>103</v>
      </c>
      <c r="B18" s="1341"/>
      <c r="C18" s="1341"/>
      <c r="D18" s="1341"/>
      <c r="E18" s="1341"/>
      <c r="F18" s="1341"/>
      <c r="G18" s="1342"/>
      <c r="H18" s="32"/>
      <c r="I18" s="32"/>
    </row>
    <row r="19" spans="1:9" ht="30" customHeight="1" x14ac:dyDescent="0.2">
      <c r="A19" s="1340" t="s">
        <v>104</v>
      </c>
      <c r="B19" s="1341"/>
      <c r="C19" s="1341"/>
      <c r="D19" s="1341"/>
      <c r="E19" s="1341"/>
      <c r="F19" s="1341"/>
      <c r="G19" s="1342"/>
      <c r="H19" s="32">
        <v>9448792.7100000009</v>
      </c>
      <c r="I19" s="28">
        <f>SUM(I21:I31)</f>
        <v>163255.6</v>
      </c>
    </row>
    <row r="20" spans="1:9" ht="15" customHeight="1" x14ac:dyDescent="0.2">
      <c r="A20" s="30" t="s">
        <v>94</v>
      </c>
      <c r="B20" s="27"/>
      <c r="C20" s="27"/>
      <c r="D20" s="27"/>
      <c r="E20" s="27"/>
      <c r="F20" s="27"/>
      <c r="G20" s="31"/>
      <c r="H20" s="32"/>
      <c r="I20" s="32"/>
    </row>
    <row r="21" spans="1:9" ht="15" customHeight="1" x14ac:dyDescent="0.2">
      <c r="A21" s="30" t="s">
        <v>105</v>
      </c>
      <c r="B21" s="27"/>
      <c r="C21" s="27"/>
      <c r="D21" s="27"/>
      <c r="E21" s="27"/>
      <c r="F21" s="27"/>
      <c r="G21" s="31"/>
      <c r="H21" s="32"/>
      <c r="I21" s="32">
        <v>0</v>
      </c>
    </row>
    <row r="22" spans="1:9" ht="14.25" customHeight="1" x14ac:dyDescent="0.2">
      <c r="A22" s="30" t="s">
        <v>106</v>
      </c>
      <c r="B22" s="27"/>
      <c r="C22" s="27"/>
      <c r="D22" s="27"/>
      <c r="E22" s="27"/>
      <c r="F22" s="27"/>
      <c r="G22" s="31"/>
      <c r="H22" s="36">
        <v>173101.93</v>
      </c>
      <c r="I22" s="32">
        <v>0</v>
      </c>
    </row>
    <row r="23" spans="1:9" x14ac:dyDescent="0.2">
      <c r="A23" s="30" t="s">
        <v>107</v>
      </c>
      <c r="B23" s="27"/>
      <c r="C23" s="27"/>
      <c r="D23" s="27"/>
      <c r="E23" s="27"/>
      <c r="F23" s="27"/>
      <c r="G23" s="31"/>
      <c r="H23" s="36">
        <v>0</v>
      </c>
      <c r="I23" s="32">
        <v>349</v>
      </c>
    </row>
    <row r="24" spans="1:9" x14ac:dyDescent="0.2">
      <c r="A24" s="39" t="s">
        <v>108</v>
      </c>
      <c r="B24" s="27"/>
      <c r="C24" s="27"/>
      <c r="D24" s="27"/>
      <c r="E24" s="27"/>
      <c r="F24" s="27"/>
      <c r="G24" s="31"/>
      <c r="H24" s="36">
        <v>3091239.36</v>
      </c>
      <c r="I24" s="32">
        <v>0</v>
      </c>
    </row>
    <row r="25" spans="1:9" x14ac:dyDescent="0.2">
      <c r="A25" s="39" t="s">
        <v>109</v>
      </c>
      <c r="B25" s="27"/>
      <c r="C25" s="27"/>
      <c r="D25" s="27"/>
      <c r="E25" s="27"/>
      <c r="F25" s="27"/>
      <c r="G25" s="31"/>
      <c r="H25" s="32">
        <v>13040.6</v>
      </c>
      <c r="I25" s="32">
        <v>11500</v>
      </c>
    </row>
    <row r="26" spans="1:9" x14ac:dyDescent="0.2">
      <c r="A26" s="39" t="s">
        <v>110</v>
      </c>
      <c r="B26" s="27"/>
      <c r="C26" s="27"/>
      <c r="D26" s="27"/>
      <c r="E26" s="27"/>
      <c r="F26" s="27"/>
      <c r="G26" s="31"/>
      <c r="H26" s="32">
        <v>6038972.5599999996</v>
      </c>
      <c r="I26" s="32">
        <v>151406.6</v>
      </c>
    </row>
    <row r="27" spans="1:9" x14ac:dyDescent="0.2">
      <c r="A27" s="39" t="s">
        <v>111</v>
      </c>
      <c r="B27" s="27"/>
      <c r="C27" s="27"/>
      <c r="D27" s="27"/>
      <c r="E27" s="27"/>
      <c r="F27" s="27"/>
      <c r="G27" s="31"/>
      <c r="H27" s="32">
        <v>11607</v>
      </c>
      <c r="I27" s="32">
        <v>0</v>
      </c>
    </row>
    <row r="28" spans="1:9" x14ac:dyDescent="0.2">
      <c r="A28" s="39" t="s">
        <v>112</v>
      </c>
      <c r="B28" s="27"/>
      <c r="C28" s="27"/>
      <c r="D28" s="27"/>
      <c r="E28" s="27"/>
      <c r="F28" s="27"/>
      <c r="G28" s="31"/>
      <c r="H28" s="32">
        <v>0</v>
      </c>
      <c r="I28" s="32">
        <v>0</v>
      </c>
    </row>
    <row r="29" spans="1:9" x14ac:dyDescent="0.2">
      <c r="A29" s="39" t="s">
        <v>113</v>
      </c>
      <c r="B29" s="27"/>
      <c r="C29" s="27"/>
      <c r="D29" s="27"/>
      <c r="E29" s="27"/>
      <c r="F29" s="27"/>
      <c r="G29" s="31"/>
      <c r="H29" s="32">
        <v>0</v>
      </c>
      <c r="I29" s="32">
        <v>0</v>
      </c>
    </row>
    <row r="30" spans="1:9" x14ac:dyDescent="0.2">
      <c r="A30" s="39" t="s">
        <v>114</v>
      </c>
      <c r="B30" s="27"/>
      <c r="C30" s="27"/>
      <c r="D30" s="27"/>
      <c r="E30" s="27"/>
      <c r="F30" s="27"/>
      <c r="G30" s="31"/>
      <c r="H30" s="32">
        <v>120831.26</v>
      </c>
      <c r="I30" s="32">
        <v>0</v>
      </c>
    </row>
    <row r="31" spans="1:9" x14ac:dyDescent="0.2">
      <c r="A31" s="39" t="s">
        <v>115</v>
      </c>
      <c r="B31" s="27"/>
      <c r="C31" s="27"/>
      <c r="D31" s="27"/>
      <c r="E31" s="27"/>
      <c r="F31" s="27"/>
      <c r="G31" s="31"/>
      <c r="H31" s="32">
        <v>0</v>
      </c>
      <c r="I31" s="32">
        <v>0</v>
      </c>
    </row>
    <row r="32" spans="1:9" ht="27.75" customHeight="1" x14ac:dyDescent="0.2">
      <c r="A32" s="1340" t="s">
        <v>116</v>
      </c>
      <c r="B32" s="1341"/>
      <c r="C32" s="1341"/>
      <c r="D32" s="1341"/>
      <c r="E32" s="1341"/>
      <c r="F32" s="1341"/>
      <c r="G32" s="1342"/>
      <c r="H32" s="32">
        <v>429128.74</v>
      </c>
      <c r="I32" s="28">
        <f>SUM(I34:I43)</f>
        <v>923944</v>
      </c>
    </row>
    <row r="33" spans="1:10" x14ac:dyDescent="0.2">
      <c r="A33" s="30" t="s">
        <v>94</v>
      </c>
      <c r="B33" s="27"/>
      <c r="C33" s="27"/>
      <c r="D33" s="27"/>
      <c r="E33" s="27"/>
      <c r="F33" s="27"/>
      <c r="G33" s="31"/>
      <c r="H33" s="32">
        <v>0</v>
      </c>
      <c r="I33" s="32"/>
    </row>
    <row r="34" spans="1:10" ht="13.5" customHeight="1" x14ac:dyDescent="0.2">
      <c r="A34" s="30" t="s">
        <v>117</v>
      </c>
      <c r="B34" s="27"/>
      <c r="C34" s="27"/>
      <c r="D34" s="27"/>
      <c r="E34" s="27"/>
      <c r="F34" s="27"/>
      <c r="G34" s="31"/>
      <c r="H34" s="32">
        <v>0</v>
      </c>
      <c r="I34" s="32">
        <v>0</v>
      </c>
    </row>
    <row r="35" spans="1:10" x14ac:dyDescent="0.2">
      <c r="A35" s="39" t="s">
        <v>118</v>
      </c>
      <c r="B35" s="27"/>
      <c r="C35" s="27"/>
      <c r="D35" s="27"/>
      <c r="E35" s="27"/>
      <c r="F35" s="27"/>
      <c r="G35" s="31"/>
      <c r="H35" s="32">
        <v>0</v>
      </c>
      <c r="I35" s="32">
        <v>0</v>
      </c>
    </row>
    <row r="36" spans="1:10" x14ac:dyDescent="0.2">
      <c r="A36" s="39" t="s">
        <v>119</v>
      </c>
      <c r="B36" s="27"/>
      <c r="C36" s="27"/>
      <c r="D36" s="27"/>
      <c r="E36" s="27"/>
      <c r="F36" s="27"/>
      <c r="G36" s="31"/>
      <c r="H36" s="32">
        <v>0</v>
      </c>
      <c r="I36" s="32">
        <v>0</v>
      </c>
    </row>
    <row r="37" spans="1:10" x14ac:dyDescent="0.2">
      <c r="A37" s="39" t="s">
        <v>120</v>
      </c>
      <c r="B37" s="27"/>
      <c r="C37" s="27"/>
      <c r="D37" s="27"/>
      <c r="E37" s="27"/>
      <c r="F37" s="27"/>
      <c r="G37" s="31"/>
      <c r="H37" s="32">
        <v>31779.23</v>
      </c>
      <c r="I37" s="32">
        <v>41700</v>
      </c>
      <c r="J37" s="38"/>
    </row>
    <row r="38" spans="1:10" x14ac:dyDescent="0.2">
      <c r="A38" s="39" t="s">
        <v>121</v>
      </c>
      <c r="B38" s="27"/>
      <c r="C38" s="27"/>
      <c r="D38" s="27"/>
      <c r="E38" s="27"/>
      <c r="F38" s="27"/>
      <c r="G38" s="31"/>
      <c r="H38" s="32">
        <v>42287.95</v>
      </c>
      <c r="I38" s="32">
        <v>838692.5</v>
      </c>
    </row>
    <row r="39" spans="1:10" x14ac:dyDescent="0.2">
      <c r="A39" s="39" t="s">
        <v>122</v>
      </c>
      <c r="B39" s="27"/>
      <c r="C39" s="27"/>
      <c r="D39" s="27"/>
      <c r="E39" s="27"/>
      <c r="F39" s="27"/>
      <c r="G39" s="31"/>
      <c r="H39" s="32">
        <v>0</v>
      </c>
      <c r="I39" s="32">
        <v>0</v>
      </c>
    </row>
    <row r="40" spans="1:10" x14ac:dyDescent="0.2">
      <c r="A40" s="39" t="s">
        <v>123</v>
      </c>
      <c r="B40" s="27"/>
      <c r="C40" s="27"/>
      <c r="D40" s="27"/>
      <c r="E40" s="27"/>
      <c r="F40" s="27"/>
      <c r="G40" s="31"/>
      <c r="H40" s="32">
        <v>0</v>
      </c>
      <c r="I40" s="32">
        <v>0</v>
      </c>
    </row>
    <row r="41" spans="1:10" x14ac:dyDescent="0.2">
      <c r="A41" s="39" t="s">
        <v>124</v>
      </c>
      <c r="B41" s="27"/>
      <c r="C41" s="27"/>
      <c r="D41" s="27"/>
      <c r="E41" s="27"/>
      <c r="F41" s="27"/>
      <c r="G41" s="31"/>
      <c r="H41" s="32">
        <v>0</v>
      </c>
      <c r="I41" s="32">
        <v>0</v>
      </c>
    </row>
    <row r="42" spans="1:10" x14ac:dyDescent="0.2">
      <c r="A42" s="39" t="s">
        <v>125</v>
      </c>
      <c r="B42" s="27"/>
      <c r="C42" s="27"/>
      <c r="D42" s="27"/>
      <c r="E42" s="27"/>
      <c r="F42" s="27"/>
      <c r="G42" s="31"/>
      <c r="H42" s="32">
        <v>275061.56</v>
      </c>
      <c r="I42" s="32">
        <v>43551.5</v>
      </c>
    </row>
    <row r="43" spans="1:10" x14ac:dyDescent="0.2">
      <c r="A43" s="39" t="s">
        <v>126</v>
      </c>
      <c r="B43" s="27"/>
      <c r="C43" s="27"/>
      <c r="D43" s="27"/>
      <c r="E43" s="27"/>
      <c r="F43" s="27"/>
      <c r="G43" s="31"/>
      <c r="H43" s="32">
        <v>80000</v>
      </c>
      <c r="I43" s="32">
        <v>0</v>
      </c>
    </row>
    <row r="44" spans="1:10" x14ac:dyDescent="0.2">
      <c r="A44" s="47" t="s">
        <v>127</v>
      </c>
      <c r="B44" s="27"/>
      <c r="C44" s="27"/>
      <c r="D44" s="27"/>
      <c r="E44" s="27"/>
      <c r="F44" s="27"/>
      <c r="G44" s="31"/>
      <c r="H44" s="48">
        <f>H47+H63</f>
        <v>373444.55000000005</v>
      </c>
      <c r="I44" s="48">
        <f>I47+I63</f>
        <v>34762798.010000005</v>
      </c>
    </row>
    <row r="45" spans="1:10" x14ac:dyDescent="0.2">
      <c r="A45" s="30" t="s">
        <v>92</v>
      </c>
      <c r="B45" s="27"/>
      <c r="C45" s="27"/>
      <c r="D45" s="27"/>
      <c r="E45" s="27"/>
      <c r="F45" s="27"/>
      <c r="G45" s="31"/>
      <c r="H45" s="32"/>
      <c r="I45" s="49"/>
    </row>
    <row r="46" spans="1:10" x14ac:dyDescent="0.2">
      <c r="A46" s="39" t="s">
        <v>128</v>
      </c>
      <c r="B46" s="27"/>
      <c r="C46" s="27"/>
      <c r="D46" s="27"/>
      <c r="E46" s="27"/>
      <c r="F46" s="27"/>
      <c r="G46" s="31"/>
      <c r="H46" s="32">
        <v>0</v>
      </c>
      <c r="I46" s="50">
        <v>0</v>
      </c>
    </row>
    <row r="47" spans="1:10" ht="28.5" customHeight="1" x14ac:dyDescent="0.2">
      <c r="A47" s="1382" t="s">
        <v>129</v>
      </c>
      <c r="B47" s="1341"/>
      <c r="C47" s="1341"/>
      <c r="D47" s="1341"/>
      <c r="E47" s="1341"/>
      <c r="F47" s="1341"/>
      <c r="G47" s="1342"/>
      <c r="H47" s="32">
        <f>H49+H51+H52+H53+H54+H55+H56+H57+H58+H59+H60+H61+H62</f>
        <v>-1673030.4400000002</v>
      </c>
      <c r="I47" s="28">
        <f>SUM(I49:I62)</f>
        <v>6223388.0300000012</v>
      </c>
      <c r="J47" s="51"/>
    </row>
    <row r="48" spans="1:10" x14ac:dyDescent="0.2">
      <c r="A48" s="30" t="s">
        <v>94</v>
      </c>
      <c r="B48" s="27"/>
      <c r="C48" s="27"/>
      <c r="D48" s="27"/>
      <c r="E48" s="27"/>
      <c r="F48" s="27"/>
      <c r="G48" s="31"/>
      <c r="H48" s="32"/>
      <c r="I48" s="32"/>
      <c r="J48" s="46"/>
    </row>
    <row r="49" spans="1:10" ht="15" customHeight="1" x14ac:dyDescent="0.2">
      <c r="A49" s="30" t="s">
        <v>367</v>
      </c>
      <c r="B49" s="27"/>
      <c r="C49" s="27"/>
      <c r="D49" s="27"/>
      <c r="E49" s="27"/>
      <c r="F49" s="27"/>
      <c r="G49" s="31"/>
      <c r="H49" s="32">
        <v>0</v>
      </c>
      <c r="I49" s="32">
        <v>2198567.08</v>
      </c>
      <c r="J49" s="52"/>
    </row>
    <row r="50" spans="1:10" ht="15" customHeight="1" x14ac:dyDescent="0.2">
      <c r="A50" s="39" t="s">
        <v>368</v>
      </c>
      <c r="B50" s="27"/>
      <c r="C50" s="27"/>
      <c r="D50" s="27"/>
      <c r="E50" s="27"/>
      <c r="F50" s="27"/>
      <c r="G50" s="31"/>
      <c r="H50" s="32"/>
      <c r="I50" s="32">
        <v>41657.800000000003</v>
      </c>
      <c r="J50" s="52"/>
    </row>
    <row r="51" spans="1:10" x14ac:dyDescent="0.2">
      <c r="A51" s="39" t="s">
        <v>369</v>
      </c>
      <c r="B51" s="27"/>
      <c r="C51" s="27"/>
      <c r="D51" s="27"/>
      <c r="E51" s="27"/>
      <c r="F51" s="27"/>
      <c r="G51" s="31"/>
      <c r="H51" s="32"/>
      <c r="I51" s="32">
        <v>150</v>
      </c>
      <c r="J51" s="52"/>
    </row>
    <row r="52" spans="1:10" x14ac:dyDescent="0.2">
      <c r="A52" s="39" t="s">
        <v>370</v>
      </c>
      <c r="B52" s="27"/>
      <c r="C52" s="27"/>
      <c r="D52" s="27"/>
      <c r="E52" s="27"/>
      <c r="F52" s="27"/>
      <c r="G52" s="31"/>
      <c r="H52" s="32">
        <v>27863.61</v>
      </c>
      <c r="I52" s="32">
        <v>11175.85</v>
      </c>
      <c r="J52" s="52"/>
    </row>
    <row r="53" spans="1:10" x14ac:dyDescent="0.2">
      <c r="A53" s="39" t="s">
        <v>371</v>
      </c>
      <c r="B53" s="27"/>
      <c r="C53" s="27"/>
      <c r="D53" s="27"/>
      <c r="E53" s="27"/>
      <c r="F53" s="27"/>
      <c r="G53" s="31"/>
      <c r="H53" s="32">
        <v>225802.02</v>
      </c>
      <c r="I53" s="32">
        <v>432663.89</v>
      </c>
      <c r="J53" s="52"/>
    </row>
    <row r="54" spans="1:10" x14ac:dyDescent="0.2">
      <c r="A54" s="39" t="s">
        <v>372</v>
      </c>
      <c r="B54" s="27"/>
      <c r="C54" s="27"/>
      <c r="D54" s="27"/>
      <c r="E54" s="27"/>
      <c r="F54" s="27"/>
      <c r="G54" s="31"/>
      <c r="H54" s="32">
        <v>87275</v>
      </c>
      <c r="I54" s="32">
        <v>9586.9500000000007</v>
      </c>
      <c r="J54" s="52"/>
    </row>
    <row r="55" spans="1:10" x14ac:dyDescent="0.2">
      <c r="A55" s="39" t="s">
        <v>373</v>
      </c>
      <c r="B55" s="27"/>
      <c r="C55" s="27"/>
      <c r="D55" s="27"/>
      <c r="E55" s="27"/>
      <c r="F55" s="27"/>
      <c r="G55" s="31"/>
      <c r="H55" s="32">
        <v>0</v>
      </c>
      <c r="I55" s="32"/>
      <c r="J55" s="52"/>
    </row>
    <row r="56" spans="1:10" x14ac:dyDescent="0.2">
      <c r="A56" s="39" t="s">
        <v>374</v>
      </c>
      <c r="B56" s="27"/>
      <c r="C56" s="27"/>
      <c r="D56" s="27"/>
      <c r="E56" s="27"/>
      <c r="F56" s="27"/>
      <c r="G56" s="31"/>
      <c r="H56" s="32">
        <v>156350.42000000001</v>
      </c>
      <c r="I56" s="32">
        <v>216007</v>
      </c>
      <c r="J56" s="52"/>
    </row>
    <row r="57" spans="1:10" x14ac:dyDescent="0.2">
      <c r="A57" s="39" t="s">
        <v>375</v>
      </c>
      <c r="B57" s="27"/>
      <c r="C57" s="27"/>
      <c r="D57" s="27"/>
      <c r="E57" s="27"/>
      <c r="F57" s="27"/>
      <c r="G57" s="31"/>
      <c r="H57" s="32">
        <v>0</v>
      </c>
      <c r="I57" s="32">
        <v>0</v>
      </c>
      <c r="J57" s="52"/>
    </row>
    <row r="58" spans="1:10" x14ac:dyDescent="0.2">
      <c r="A58" s="39" t="s">
        <v>376</v>
      </c>
      <c r="B58" s="27"/>
      <c r="C58" s="27"/>
      <c r="D58" s="27"/>
      <c r="E58" s="27"/>
      <c r="F58" s="27"/>
      <c r="G58" s="31"/>
      <c r="H58" s="32">
        <v>0</v>
      </c>
      <c r="I58" s="32">
        <v>0</v>
      </c>
      <c r="J58" s="52"/>
    </row>
    <row r="59" spans="1:10" x14ac:dyDescent="0.2">
      <c r="A59" s="39" t="s">
        <v>377</v>
      </c>
      <c r="B59" s="27"/>
      <c r="C59" s="27"/>
      <c r="D59" s="27"/>
      <c r="E59" s="27"/>
      <c r="F59" s="27"/>
      <c r="G59" s="31"/>
      <c r="H59" s="32">
        <v>90001.46</v>
      </c>
      <c r="I59" s="32">
        <v>181945.43</v>
      </c>
      <c r="J59" s="52"/>
    </row>
    <row r="60" spans="1:10" x14ac:dyDescent="0.2">
      <c r="A60" s="39" t="s">
        <v>378</v>
      </c>
      <c r="B60" s="27"/>
      <c r="C60" s="27"/>
      <c r="D60" s="27"/>
      <c r="E60" s="27"/>
      <c r="F60" s="27"/>
      <c r="G60" s="31"/>
      <c r="H60" s="32">
        <v>0</v>
      </c>
      <c r="I60" s="32">
        <v>0</v>
      </c>
      <c r="J60" s="52"/>
    </row>
    <row r="61" spans="1:10" x14ac:dyDescent="0.2">
      <c r="A61" s="39" t="s">
        <v>379</v>
      </c>
      <c r="B61" s="27"/>
      <c r="C61" s="27"/>
      <c r="D61" s="27"/>
      <c r="E61" s="27"/>
      <c r="F61" s="27"/>
      <c r="G61" s="31"/>
      <c r="H61" s="32">
        <v>-2260322.9500000002</v>
      </c>
      <c r="I61" s="32">
        <f>454063+1399822+48.2+18216.12+313392.32+200774.94+635+744682.45</f>
        <v>3131634.0300000003</v>
      </c>
      <c r="J61" s="52"/>
    </row>
    <row r="62" spans="1:10" x14ac:dyDescent="0.2">
      <c r="A62" s="39" t="s">
        <v>380</v>
      </c>
      <c r="B62" s="27"/>
      <c r="C62" s="27"/>
      <c r="D62" s="27"/>
      <c r="E62" s="27"/>
      <c r="F62" s="27"/>
      <c r="G62" s="31"/>
      <c r="H62" s="32">
        <v>0</v>
      </c>
      <c r="I62" s="53">
        <v>0</v>
      </c>
      <c r="J62" s="52"/>
    </row>
    <row r="63" spans="1:10" ht="41.25" customHeight="1" x14ac:dyDescent="0.2">
      <c r="A63" s="1340" t="s">
        <v>130</v>
      </c>
      <c r="B63" s="1341"/>
      <c r="C63" s="1341"/>
      <c r="D63" s="1341"/>
      <c r="E63" s="1341"/>
      <c r="F63" s="1341"/>
      <c r="G63" s="1342"/>
      <c r="H63" s="32">
        <f>H72+H73+H76+H78</f>
        <v>2046474.9900000002</v>
      </c>
      <c r="I63" s="28">
        <f>SUM(I65:I79)</f>
        <v>28539409.980000004</v>
      </c>
      <c r="J63" s="45"/>
    </row>
    <row r="64" spans="1:10" x14ac:dyDescent="0.2">
      <c r="A64" s="30" t="s">
        <v>94</v>
      </c>
      <c r="B64" s="27"/>
      <c r="C64" s="27"/>
      <c r="D64" s="27"/>
      <c r="E64" s="27"/>
      <c r="F64" s="27"/>
      <c r="G64" s="31"/>
      <c r="H64" s="32"/>
      <c r="I64" s="32"/>
      <c r="J64" s="45"/>
    </row>
    <row r="65" spans="1:10" x14ac:dyDescent="0.2">
      <c r="A65" s="30" t="s">
        <v>381</v>
      </c>
      <c r="B65" s="27"/>
      <c r="C65" s="27"/>
      <c r="D65" s="27"/>
      <c r="E65" s="27"/>
      <c r="F65" s="27"/>
      <c r="G65" s="31"/>
      <c r="H65" s="32"/>
      <c r="I65" s="32">
        <v>3344724.33</v>
      </c>
      <c r="J65" s="45"/>
    </row>
    <row r="66" spans="1:10" ht="12" customHeight="1" x14ac:dyDescent="0.2">
      <c r="A66" s="39" t="s">
        <v>382</v>
      </c>
      <c r="B66" s="27"/>
      <c r="C66" s="27"/>
      <c r="D66" s="27"/>
      <c r="E66" s="27"/>
      <c r="F66" s="27"/>
      <c r="G66" s="31"/>
      <c r="H66" s="32">
        <v>0</v>
      </c>
      <c r="I66" s="32">
        <v>211302.39999999999</v>
      </c>
      <c r="J66" s="44"/>
    </row>
    <row r="67" spans="1:10" ht="11.25" customHeight="1" x14ac:dyDescent="0.2">
      <c r="A67" s="39" t="s">
        <v>369</v>
      </c>
      <c r="B67" s="27"/>
      <c r="C67" s="27"/>
      <c r="D67" s="27"/>
      <c r="E67" s="27"/>
      <c r="F67" s="27"/>
      <c r="G67" s="31"/>
      <c r="H67" s="32"/>
      <c r="I67" s="32">
        <v>320.97000000000003</v>
      </c>
      <c r="J67" s="44"/>
    </row>
    <row r="68" spans="1:10" x14ac:dyDescent="0.2">
      <c r="A68" s="39" t="s">
        <v>383</v>
      </c>
      <c r="B68" s="27"/>
      <c r="C68" s="27"/>
      <c r="D68" s="27"/>
      <c r="E68" s="27"/>
      <c r="F68" s="27"/>
      <c r="G68" s="31"/>
      <c r="H68" s="36">
        <v>0</v>
      </c>
      <c r="I68" s="32">
        <v>90889.01</v>
      </c>
      <c r="J68" s="45"/>
    </row>
    <row r="69" spans="1:10" x14ac:dyDescent="0.2">
      <c r="A69" s="39" t="s">
        <v>384</v>
      </c>
      <c r="B69" s="27"/>
      <c r="C69" s="27"/>
      <c r="D69" s="27"/>
      <c r="E69" s="27"/>
      <c r="F69" s="27"/>
      <c r="G69" s="31"/>
      <c r="H69" s="36">
        <v>0</v>
      </c>
      <c r="I69" s="32">
        <v>0</v>
      </c>
      <c r="J69" s="45"/>
    </row>
    <row r="70" spans="1:10" x14ac:dyDescent="0.2">
      <c r="A70" s="39" t="s">
        <v>385</v>
      </c>
      <c r="B70" s="27"/>
      <c r="C70" s="27"/>
      <c r="D70" s="27"/>
      <c r="E70" s="27"/>
      <c r="F70" s="27"/>
      <c r="G70" s="31"/>
      <c r="H70" s="36">
        <v>0</v>
      </c>
      <c r="I70" s="32">
        <v>604415.88</v>
      </c>
      <c r="J70" s="45"/>
    </row>
    <row r="71" spans="1:10" x14ac:dyDescent="0.2">
      <c r="A71" s="39" t="s">
        <v>386</v>
      </c>
      <c r="B71" s="27"/>
      <c r="C71" s="27"/>
      <c r="D71" s="27"/>
      <c r="E71" s="27"/>
      <c r="F71" s="27"/>
      <c r="G71" s="31"/>
      <c r="H71" s="36">
        <v>0</v>
      </c>
      <c r="I71" s="32">
        <v>937070.51</v>
      </c>
      <c r="J71" s="45"/>
    </row>
    <row r="72" spans="1:10" x14ac:dyDescent="0.2">
      <c r="A72" s="39" t="s">
        <v>387</v>
      </c>
      <c r="B72" s="27"/>
      <c r="C72" s="27"/>
      <c r="D72" s="27"/>
      <c r="E72" s="27"/>
      <c r="F72" s="27"/>
      <c r="G72" s="31"/>
      <c r="H72" s="36">
        <v>6484.54</v>
      </c>
      <c r="I72" s="32">
        <v>932730.49</v>
      </c>
      <c r="J72" s="45"/>
    </row>
    <row r="73" spans="1:10" x14ac:dyDescent="0.2">
      <c r="A73" s="39" t="s">
        <v>388</v>
      </c>
      <c r="B73" s="27"/>
      <c r="C73" s="27"/>
      <c r="D73" s="27"/>
      <c r="E73" s="27"/>
      <c r="F73" s="27"/>
      <c r="G73" s="31"/>
      <c r="H73" s="36">
        <v>1000</v>
      </c>
      <c r="I73" s="32">
        <v>141920</v>
      </c>
      <c r="J73" s="45"/>
    </row>
    <row r="74" spans="1:10" x14ac:dyDescent="0.2">
      <c r="A74" s="39" t="s">
        <v>389</v>
      </c>
      <c r="B74" s="27"/>
      <c r="C74" s="27"/>
      <c r="D74" s="27"/>
      <c r="E74" s="27"/>
      <c r="F74" s="27"/>
      <c r="G74" s="31"/>
      <c r="H74" s="36">
        <v>0</v>
      </c>
      <c r="I74" s="32">
        <v>0</v>
      </c>
      <c r="J74" s="45"/>
    </row>
    <row r="75" spans="1:10" x14ac:dyDescent="0.2">
      <c r="A75" s="39" t="s">
        <v>390</v>
      </c>
      <c r="B75" s="27"/>
      <c r="C75" s="27"/>
      <c r="D75" s="27"/>
      <c r="E75" s="27"/>
      <c r="F75" s="27"/>
      <c r="G75" s="31"/>
      <c r="H75" s="36">
        <v>0</v>
      </c>
      <c r="I75" s="32">
        <v>0</v>
      </c>
      <c r="J75" s="45"/>
    </row>
    <row r="76" spans="1:10" x14ac:dyDescent="0.2">
      <c r="A76" s="39" t="s">
        <v>391</v>
      </c>
      <c r="B76" s="27"/>
      <c r="C76" s="27"/>
      <c r="D76" s="27"/>
      <c r="E76" s="27"/>
      <c r="F76" s="27"/>
      <c r="G76" s="31"/>
      <c r="H76" s="36">
        <v>608040.87</v>
      </c>
      <c r="I76" s="32">
        <v>15022280.9</v>
      </c>
      <c r="J76" s="45"/>
    </row>
    <row r="77" spans="1:10" x14ac:dyDescent="0.2">
      <c r="A77" s="39" t="s">
        <v>392</v>
      </c>
      <c r="B77" s="27"/>
      <c r="C77" s="27"/>
      <c r="D77" s="27"/>
      <c r="E77" s="27"/>
      <c r="F77" s="27"/>
      <c r="G77" s="31"/>
      <c r="H77" s="36">
        <v>0</v>
      </c>
      <c r="I77" s="32">
        <v>0</v>
      </c>
      <c r="J77" s="45"/>
    </row>
    <row r="78" spans="1:10" x14ac:dyDescent="0.2">
      <c r="A78" s="39" t="s">
        <v>393</v>
      </c>
      <c r="B78" s="27"/>
      <c r="C78" s="27"/>
      <c r="D78" s="27"/>
      <c r="E78" s="27"/>
      <c r="F78" s="27"/>
      <c r="G78" s="31"/>
      <c r="H78" s="32">
        <v>1430949.58</v>
      </c>
      <c r="I78" s="32">
        <f>259468.75+931537+5536.8+434310.92+41967+1804544.08+2278758.85+1497632.09</f>
        <v>7253755.4900000002</v>
      </c>
      <c r="J78" s="45"/>
    </row>
    <row r="79" spans="1:10" x14ac:dyDescent="0.2">
      <c r="A79" s="39" t="s">
        <v>394</v>
      </c>
      <c r="B79" s="27"/>
      <c r="C79" s="27"/>
      <c r="D79" s="27"/>
      <c r="E79" s="27"/>
      <c r="F79" s="27"/>
      <c r="G79" s="31"/>
      <c r="H79" s="32">
        <v>0</v>
      </c>
      <c r="I79" s="32">
        <v>0</v>
      </c>
      <c r="J79" s="45"/>
    </row>
    <row r="80" spans="1:10" x14ac:dyDescent="0.2">
      <c r="I80" s="38"/>
      <c r="J80" s="44"/>
    </row>
    <row r="82" spans="1:1" x14ac:dyDescent="0.2">
      <c r="A82" s="54"/>
    </row>
  </sheetData>
  <mergeCells count="12">
    <mergeCell ref="A63:G63"/>
    <mergeCell ref="A1:H1"/>
    <mergeCell ref="A3:G3"/>
    <mergeCell ref="A6:G6"/>
    <mergeCell ref="A8:G8"/>
    <mergeCell ref="A9:G9"/>
    <mergeCell ref="A10:G10"/>
    <mergeCell ref="A12:G12"/>
    <mergeCell ref="A18:G18"/>
    <mergeCell ref="A19:G19"/>
    <mergeCell ref="A32:G32"/>
    <mergeCell ref="A47:G47"/>
  </mergeCells>
  <pageMargins left="0.47244094488188981" right="0.27559055118110237" top="0.74803149606299213" bottom="0.74803149606299213" header="0.31496062992125984" footer="0.31496062992125984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50"/>
    <pageSetUpPr fitToPage="1"/>
  </sheetPr>
  <dimension ref="A1:AB112"/>
  <sheetViews>
    <sheetView showZeros="0" zoomScale="90" zoomScaleNormal="90" zoomScaleSheetLayoutView="100" workbookViewId="0">
      <pane xSplit="4" ySplit="9" topLeftCell="E52" activePane="bottomRight" state="frozen"/>
      <selection pane="topRight" activeCell="E1" sqref="E1"/>
      <selection pane="bottomLeft" activeCell="A9" sqref="A9"/>
      <selection pane="bottomRight" activeCell="M66" sqref="M66"/>
    </sheetView>
  </sheetViews>
  <sheetFormatPr defaultColWidth="9.140625" defaultRowHeight="15" x14ac:dyDescent="0.25"/>
  <cols>
    <col min="1" max="1" width="45" style="117" customWidth="1"/>
    <col min="2" max="2" width="9" style="117" customWidth="1"/>
    <col min="3" max="3" width="17.85546875" style="124" customWidth="1"/>
    <col min="4" max="4" width="18.42578125" style="117" customWidth="1"/>
    <col min="5" max="5" width="18.85546875" style="155" customWidth="1"/>
    <col min="6" max="6" width="18.85546875" style="155" hidden="1" customWidth="1"/>
    <col min="7" max="8" width="18.28515625" style="155" hidden="1" customWidth="1"/>
    <col min="9" max="9" width="20.28515625" style="117" customWidth="1"/>
    <col min="10" max="12" width="20.28515625" style="117" hidden="1" customWidth="1"/>
    <col min="13" max="13" width="25.85546875" style="117" customWidth="1"/>
    <col min="14" max="14" width="29.5703125" style="117" customWidth="1"/>
    <col min="15" max="15" width="19.7109375" style="117" customWidth="1"/>
    <col min="16" max="16" width="34.85546875" style="117" customWidth="1"/>
    <col min="17" max="17" width="16.7109375" style="117" customWidth="1"/>
    <col min="18" max="19" width="16.7109375" style="125" customWidth="1"/>
    <col min="20" max="21" width="17.5703125" style="117" hidden="1" customWidth="1"/>
    <col min="22" max="22" width="18.28515625" style="117" customWidth="1"/>
    <col min="23" max="23" width="9.5703125" style="117" customWidth="1"/>
    <col min="24" max="24" width="15.42578125" style="117" hidden="1" customWidth="1"/>
    <col min="25" max="25" width="17.140625" style="117" hidden="1" customWidth="1"/>
    <col min="26" max="26" width="15.140625" style="117" hidden="1" customWidth="1"/>
    <col min="27" max="27" width="21.28515625" style="117" hidden="1" customWidth="1"/>
    <col min="28" max="28" width="13.85546875" style="117" hidden="1" customWidth="1"/>
    <col min="29" max="31" width="9.140625" style="117" customWidth="1"/>
    <col min="32" max="16384" width="9.140625" style="117"/>
  </cols>
  <sheetData>
    <row r="1" spans="1:28" ht="15.75" x14ac:dyDescent="0.25">
      <c r="A1" s="123" t="s">
        <v>131</v>
      </c>
      <c r="E1" s="117"/>
      <c r="F1" s="117"/>
      <c r="G1" s="117"/>
      <c r="H1" s="117"/>
      <c r="I1" s="111"/>
      <c r="J1" s="111"/>
      <c r="K1" s="111"/>
    </row>
    <row r="2" spans="1:28" ht="15.75" x14ac:dyDescent="0.25">
      <c r="A2" s="126" t="s">
        <v>132</v>
      </c>
      <c r="E2" s="117"/>
      <c r="F2" s="117"/>
      <c r="G2" s="117"/>
      <c r="H2" s="117"/>
      <c r="I2" s="111"/>
      <c r="J2" s="111"/>
      <c r="K2" s="111"/>
      <c r="X2" s="127" t="s">
        <v>240</v>
      </c>
      <c r="Y2" s="127" t="s">
        <v>241</v>
      </c>
    </row>
    <row r="3" spans="1:28" ht="15.75" x14ac:dyDescent="0.25">
      <c r="A3" s="126"/>
      <c r="D3" s="111"/>
      <c r="E3" s="117"/>
      <c r="F3" s="117"/>
      <c r="G3" s="117"/>
      <c r="H3" s="117"/>
      <c r="I3" s="111"/>
      <c r="J3" s="111"/>
      <c r="K3" s="111"/>
      <c r="L3" s="128"/>
      <c r="T3" s="111"/>
    </row>
    <row r="4" spans="1:28" ht="15.75" x14ac:dyDescent="0.25">
      <c r="A4" s="129"/>
      <c r="E4" s="117"/>
      <c r="F4" s="117"/>
      <c r="G4" s="117"/>
      <c r="H4" s="117"/>
      <c r="T4" s="111"/>
    </row>
    <row r="5" spans="1:28" ht="15.75" x14ac:dyDescent="0.25">
      <c r="A5" s="1383" t="s">
        <v>88</v>
      </c>
      <c r="B5" s="1383" t="s">
        <v>133</v>
      </c>
      <c r="C5" s="1383" t="s">
        <v>134</v>
      </c>
      <c r="D5" s="1383" t="s">
        <v>135</v>
      </c>
      <c r="E5" s="1383"/>
      <c r="F5" s="1383"/>
      <c r="G5" s="1383"/>
      <c r="H5" s="1383"/>
      <c r="I5" s="1383"/>
      <c r="J5" s="1383"/>
      <c r="K5" s="1383"/>
      <c r="L5" s="1383"/>
      <c r="M5" s="1383"/>
      <c r="N5" s="1383"/>
      <c r="O5" s="1383"/>
      <c r="P5" s="1383"/>
      <c r="Q5" s="1383"/>
      <c r="R5" s="1383"/>
      <c r="S5" s="1383"/>
      <c r="T5" s="1383"/>
      <c r="U5" s="1383"/>
      <c r="V5" s="1383"/>
      <c r="W5" s="461"/>
    </row>
    <row r="6" spans="1:28" ht="15.75" customHeight="1" x14ac:dyDescent="0.25">
      <c r="A6" s="1383"/>
      <c r="B6" s="1383"/>
      <c r="C6" s="1383"/>
      <c r="D6" s="1383" t="s">
        <v>136</v>
      </c>
      <c r="E6" s="1383" t="s">
        <v>137</v>
      </c>
      <c r="F6" s="1383"/>
      <c r="G6" s="1383"/>
      <c r="H6" s="1383"/>
      <c r="I6" s="1383"/>
      <c r="J6" s="1383"/>
      <c r="K6" s="1383"/>
      <c r="L6" s="1383"/>
      <c r="M6" s="1383"/>
      <c r="N6" s="1383"/>
      <c r="O6" s="1383"/>
      <c r="P6" s="1383"/>
      <c r="Q6" s="1383"/>
      <c r="R6" s="1383"/>
      <c r="S6" s="1383"/>
      <c r="T6" s="1383"/>
      <c r="U6" s="1383"/>
      <c r="V6" s="1383"/>
      <c r="W6" s="461"/>
    </row>
    <row r="7" spans="1:28" ht="61.5" customHeight="1" x14ac:dyDescent="0.25">
      <c r="A7" s="1383"/>
      <c r="B7" s="1383"/>
      <c r="C7" s="1383"/>
      <c r="D7" s="1383"/>
      <c r="E7" s="1383" t="s">
        <v>138</v>
      </c>
      <c r="F7" s="1383" t="s">
        <v>363</v>
      </c>
      <c r="G7" s="1383"/>
      <c r="H7" s="1383"/>
      <c r="I7" s="1383" t="s">
        <v>140</v>
      </c>
      <c r="J7" s="1383" t="s">
        <v>360</v>
      </c>
      <c r="K7" s="1383" t="s">
        <v>359</v>
      </c>
      <c r="L7" s="1383" t="s">
        <v>141</v>
      </c>
      <c r="M7" s="1383" t="s">
        <v>253</v>
      </c>
      <c r="N7" s="1383" t="s">
        <v>142</v>
      </c>
      <c r="O7" s="1383" t="s">
        <v>488</v>
      </c>
      <c r="P7" s="1383" t="s">
        <v>492</v>
      </c>
      <c r="Q7" s="1388" t="s">
        <v>143</v>
      </c>
      <c r="R7" s="1383" t="s">
        <v>144</v>
      </c>
      <c r="S7" s="1383" t="s">
        <v>145</v>
      </c>
      <c r="T7" s="1383"/>
      <c r="U7" s="1383"/>
      <c r="V7" s="1383"/>
      <c r="W7" s="461"/>
    </row>
    <row r="8" spans="1:28" ht="73.5" customHeight="1" x14ac:dyDescent="0.25">
      <c r="A8" s="1383"/>
      <c r="B8" s="1383"/>
      <c r="C8" s="1383"/>
      <c r="D8" s="1383"/>
      <c r="E8" s="1383"/>
      <c r="F8" s="555" t="s">
        <v>235</v>
      </c>
      <c r="G8" s="555" t="s">
        <v>365</v>
      </c>
      <c r="H8" s="555" t="s">
        <v>366</v>
      </c>
      <c r="I8" s="1383"/>
      <c r="J8" s="1383"/>
      <c r="K8" s="1383"/>
      <c r="L8" s="1383"/>
      <c r="M8" s="1383"/>
      <c r="N8" s="1383"/>
      <c r="O8" s="1383"/>
      <c r="P8" s="1383"/>
      <c r="Q8" s="1389"/>
      <c r="R8" s="1383"/>
      <c r="S8" s="1002" t="s">
        <v>364</v>
      </c>
      <c r="T8" s="1002" t="s">
        <v>139</v>
      </c>
      <c r="U8" s="1002" t="s">
        <v>146</v>
      </c>
      <c r="V8" s="1002" t="s">
        <v>147</v>
      </c>
      <c r="W8" s="461"/>
    </row>
    <row r="9" spans="1:28" ht="15.75" x14ac:dyDescent="0.25">
      <c r="A9" s="556">
        <v>1</v>
      </c>
      <c r="B9" s="556">
        <v>2</v>
      </c>
      <c r="C9" s="555">
        <v>3</v>
      </c>
      <c r="D9" s="556">
        <v>4</v>
      </c>
      <c r="E9" s="556">
        <v>5</v>
      </c>
      <c r="F9" s="556"/>
      <c r="G9" s="556"/>
      <c r="H9" s="556"/>
      <c r="I9" s="1003">
        <v>6</v>
      </c>
      <c r="J9" s="1003"/>
      <c r="K9" s="1003"/>
      <c r="L9" s="1003"/>
      <c r="M9" s="1003"/>
      <c r="N9" s="1003"/>
      <c r="O9" s="1003"/>
      <c r="P9" s="1003"/>
      <c r="Q9" s="1003">
        <v>7</v>
      </c>
      <c r="R9" s="561">
        <v>8</v>
      </c>
      <c r="S9" s="1003">
        <v>9</v>
      </c>
      <c r="T9" s="562"/>
      <c r="U9" s="1003"/>
      <c r="V9" s="1003">
        <v>10</v>
      </c>
      <c r="W9" s="461"/>
    </row>
    <row r="10" spans="1:28" s="115" customFormat="1" ht="15.75" x14ac:dyDescent="0.25">
      <c r="A10" s="130" t="s">
        <v>148</v>
      </c>
      <c r="B10" s="557">
        <v>100</v>
      </c>
      <c r="C10" s="114" t="s">
        <v>149</v>
      </c>
      <c r="D10" s="59">
        <f>I10+Q10+R10+S10+V10+E10</f>
        <v>2872900307.1500001</v>
      </c>
      <c r="E10" s="59">
        <f>SUM(E14)</f>
        <v>218669600</v>
      </c>
      <c r="F10" s="59">
        <f>SUM(F14)</f>
        <v>105026100</v>
      </c>
      <c r="G10" s="59">
        <f>SUM(G14)</f>
        <v>68563030.900000006</v>
      </c>
      <c r="H10" s="59">
        <f>SUM(H14)</f>
        <v>45080469.100000001</v>
      </c>
      <c r="I10" s="59">
        <f t="shared" ref="I10:P10" si="0">I20</f>
        <v>2275135000</v>
      </c>
      <c r="J10" s="59">
        <f t="shared" si="0"/>
        <v>0</v>
      </c>
      <c r="K10" s="59">
        <f t="shared" si="0"/>
        <v>2221891000.0100002</v>
      </c>
      <c r="L10" s="59">
        <f t="shared" si="0"/>
        <v>0</v>
      </c>
      <c r="M10" s="59">
        <f t="shared" si="0"/>
        <v>22131000</v>
      </c>
      <c r="N10" s="59">
        <f t="shared" si="0"/>
        <v>6878578.4699999997</v>
      </c>
      <c r="O10" s="59">
        <f t="shared" si="0"/>
        <v>15071900</v>
      </c>
      <c r="P10" s="59">
        <f t="shared" si="0"/>
        <v>9162521.5199999996</v>
      </c>
      <c r="Q10" s="59">
        <v>0</v>
      </c>
      <c r="R10" s="131">
        <f>R13+R14</f>
        <v>1908800</v>
      </c>
      <c r="S10" s="59">
        <f>T10+U10</f>
        <v>377186907.14999998</v>
      </c>
      <c r="T10" s="59">
        <f>T21+T14</f>
        <v>321604870.63999999</v>
      </c>
      <c r="U10" s="59">
        <f>U22+U14+U21</f>
        <v>55582036.509999998</v>
      </c>
      <c r="V10" s="59">
        <v>0</v>
      </c>
      <c r="W10" s="566"/>
      <c r="X10" s="131">
        <v>343352551.449</v>
      </c>
      <c r="Y10" s="131">
        <v>275145687.99900001</v>
      </c>
      <c r="Z10" s="131">
        <v>68206863.450000003</v>
      </c>
      <c r="AA10" s="462">
        <f>'ПФХД 2019 с разбивкой '!E11</f>
        <v>2885172104.5799999</v>
      </c>
      <c r="AB10" s="135">
        <f>AA10-D10</f>
        <v>12271797.429999828</v>
      </c>
    </row>
    <row r="11" spans="1:28" ht="15.75" x14ac:dyDescent="0.25">
      <c r="A11" s="132" t="s">
        <v>137</v>
      </c>
      <c r="B11" s="133"/>
      <c r="C11" s="134"/>
      <c r="D11" s="64"/>
      <c r="E11" s="266"/>
      <c r="F11" s="266"/>
      <c r="G11" s="266"/>
      <c r="H11" s="266"/>
      <c r="I11" s="266"/>
      <c r="J11" s="266"/>
      <c r="K11" s="266"/>
      <c r="L11" s="266"/>
      <c r="M11" s="266"/>
      <c r="N11" s="266"/>
      <c r="O11" s="266"/>
      <c r="P11" s="266"/>
      <c r="Q11" s="266"/>
      <c r="R11" s="62"/>
      <c r="S11" s="266">
        <f t="shared" ref="S11:S22" si="1">T11+U11</f>
        <v>0</v>
      </c>
      <c r="T11" s="266"/>
      <c r="U11" s="266"/>
      <c r="V11" s="64"/>
      <c r="W11" s="461"/>
      <c r="AB11" s="135">
        <f t="shared" ref="AB11:AB75" si="2">AA11-D11</f>
        <v>0</v>
      </c>
    </row>
    <row r="12" spans="1:28" ht="47.25" x14ac:dyDescent="0.25">
      <c r="A12" s="132" t="s">
        <v>584</v>
      </c>
      <c r="B12" s="676">
        <v>110</v>
      </c>
      <c r="C12" s="134"/>
      <c r="D12" s="64"/>
      <c r="E12" s="266"/>
      <c r="F12" s="266"/>
      <c r="G12" s="266"/>
      <c r="H12" s="266"/>
      <c r="I12" s="266"/>
      <c r="J12" s="266"/>
      <c r="K12" s="266"/>
      <c r="L12" s="266"/>
      <c r="M12" s="266"/>
      <c r="N12" s="266"/>
      <c r="O12" s="266"/>
      <c r="P12" s="266"/>
      <c r="Q12" s="266"/>
      <c r="R12" s="62"/>
      <c r="S12" s="266"/>
      <c r="T12" s="266"/>
      <c r="U12" s="266"/>
      <c r="V12" s="64"/>
      <c r="W12" s="461"/>
      <c r="AB12" s="135"/>
    </row>
    <row r="13" spans="1:28" ht="15.75" x14ac:dyDescent="0.25">
      <c r="A13" s="132" t="s">
        <v>585</v>
      </c>
      <c r="B13" s="556">
        <v>120</v>
      </c>
      <c r="C13" s="134"/>
      <c r="D13" s="64"/>
      <c r="E13" s="64"/>
      <c r="F13" s="64"/>
      <c r="G13" s="64"/>
      <c r="H13" s="64"/>
      <c r="I13" s="118"/>
      <c r="J13" s="118"/>
      <c r="K13" s="118"/>
      <c r="L13" s="118"/>
      <c r="M13" s="118"/>
      <c r="N13" s="118"/>
      <c r="O13" s="118"/>
      <c r="P13" s="118"/>
      <c r="Q13" s="268"/>
      <c r="R13" s="62"/>
      <c r="S13" s="268">
        <f t="shared" si="1"/>
        <v>0</v>
      </c>
      <c r="T13" s="268"/>
      <c r="U13" s="268"/>
      <c r="V13" s="267"/>
      <c r="W13" s="461"/>
      <c r="X13" s="111"/>
      <c r="Y13" s="111">
        <f>Y10-T10</f>
        <v>-46459182.640999973</v>
      </c>
      <c r="Z13" s="111">
        <f>Z10-U10</f>
        <v>12624826.940000005</v>
      </c>
      <c r="AB13" s="135">
        <f t="shared" si="2"/>
        <v>0</v>
      </c>
    </row>
    <row r="14" spans="1:28" s="124" customFormat="1" ht="31.5" x14ac:dyDescent="0.25">
      <c r="A14" s="963" t="s">
        <v>586</v>
      </c>
      <c r="B14" s="962">
        <v>130</v>
      </c>
      <c r="C14" s="134"/>
      <c r="D14" s="64">
        <f>E14+I14+R14+S14</f>
        <v>571984059.87</v>
      </c>
      <c r="E14" s="64">
        <f>SUM(F14:H14)</f>
        <v>218669600</v>
      </c>
      <c r="F14" s="64">
        <f>F15</f>
        <v>105026100</v>
      </c>
      <c r="G14" s="64">
        <f>G15+G16</f>
        <v>68563030.900000006</v>
      </c>
      <c r="H14" s="64">
        <f>H15</f>
        <v>45080469.100000001</v>
      </c>
      <c r="I14" s="64"/>
      <c r="J14" s="64"/>
      <c r="K14" s="64"/>
      <c r="L14" s="64"/>
      <c r="M14" s="64"/>
      <c r="N14" s="64"/>
      <c r="O14" s="64"/>
      <c r="P14" s="64"/>
      <c r="Q14" s="64"/>
      <c r="R14" s="64">
        <f>SUM(R15:R17)</f>
        <v>1908800</v>
      </c>
      <c r="S14" s="64">
        <f>T14+U14</f>
        <v>351405659.87</v>
      </c>
      <c r="T14" s="64">
        <f>'ПФХД 2019 с разбивкой '!AP14</f>
        <v>306981817.18000001</v>
      </c>
      <c r="U14" s="64">
        <f>U15</f>
        <v>44423842.689999998</v>
      </c>
      <c r="V14" s="267"/>
      <c r="W14" s="971"/>
      <c r="AA14" s="972">
        <f>'ПФХД 2019 с разбивкой '!E14</f>
        <v>575137879.06999993</v>
      </c>
      <c r="AB14" s="973">
        <f t="shared" si="2"/>
        <v>3153819.1999999285</v>
      </c>
    </row>
    <row r="15" spans="1:28" ht="15.75" x14ac:dyDescent="0.25">
      <c r="A15" s="132" t="s">
        <v>152</v>
      </c>
      <c r="B15" s="133"/>
      <c r="C15" s="134"/>
      <c r="D15" s="64">
        <f>E15+I15+R15+S15</f>
        <v>555780489.56999993</v>
      </c>
      <c r="E15" s="266">
        <f>SUM(F15:H15)</f>
        <v>218669600</v>
      </c>
      <c r="F15" s="266">
        <f>'ПФХД 2019 с разбивкой '!J15</f>
        <v>105026100</v>
      </c>
      <c r="G15" s="266">
        <f>'ПФХД 2019 с разбивкой '!L15</f>
        <v>68563030.900000006</v>
      </c>
      <c r="H15" s="266">
        <f>'ПФХД 2019 с разбивкой '!O15</f>
        <v>45080469.100000001</v>
      </c>
      <c r="I15" s="266"/>
      <c r="J15" s="266"/>
      <c r="K15" s="266"/>
      <c r="L15" s="266"/>
      <c r="M15" s="266"/>
      <c r="N15" s="266"/>
      <c r="O15" s="266"/>
      <c r="P15" s="266"/>
      <c r="Q15" s="266"/>
      <c r="R15" s="266">
        <f>'ПФХД 2019 с разбивкой '!AK15</f>
        <v>1908800</v>
      </c>
      <c r="S15" s="266">
        <f t="shared" si="1"/>
        <v>335202089.56999999</v>
      </c>
      <c r="T15" s="266">
        <f>'ПФХД 2019 с разбивкой '!AP15</f>
        <v>290778246.88</v>
      </c>
      <c r="U15" s="266">
        <f>'ПФХД 2019 с разбивкой '!AS15</f>
        <v>44423842.689999998</v>
      </c>
      <c r="V15" s="267"/>
      <c r="W15" s="461"/>
      <c r="AA15" s="137">
        <f>'ПФХД 2019 с разбивкой '!E15</f>
        <v>558934308.76999998</v>
      </c>
      <c r="AB15" s="135">
        <f t="shared" si="2"/>
        <v>3153819.2000000477</v>
      </c>
    </row>
    <row r="16" spans="1:28" ht="15.75" x14ac:dyDescent="0.25">
      <c r="A16" s="132" t="s">
        <v>153</v>
      </c>
      <c r="B16" s="133"/>
      <c r="C16" s="134"/>
      <c r="D16" s="64"/>
      <c r="E16" s="266"/>
      <c r="F16" s="266"/>
      <c r="G16" s="266"/>
      <c r="H16" s="266"/>
      <c r="I16" s="266"/>
      <c r="J16" s="266"/>
      <c r="K16" s="266"/>
      <c r="L16" s="266"/>
      <c r="M16" s="266"/>
      <c r="N16" s="266"/>
      <c r="O16" s="266"/>
      <c r="P16" s="266"/>
      <c r="Q16" s="266"/>
      <c r="R16" s="266"/>
      <c r="S16" s="266">
        <f t="shared" si="1"/>
        <v>0</v>
      </c>
      <c r="T16" s="266"/>
      <c r="U16" s="266"/>
      <c r="V16" s="267"/>
      <c r="W16" s="461"/>
      <c r="AA16" s="137">
        <f>'ПФХД 2019 с разбивкой '!E16</f>
        <v>0</v>
      </c>
      <c r="AB16" s="135">
        <f t="shared" si="2"/>
        <v>0</v>
      </c>
    </row>
    <row r="17" spans="1:28" ht="15.75" x14ac:dyDescent="0.25">
      <c r="A17" s="132" t="s">
        <v>154</v>
      </c>
      <c r="B17" s="133"/>
      <c r="C17" s="134"/>
      <c r="D17" s="64">
        <f>E17+I17+R17+S17</f>
        <v>16203570.300000001</v>
      </c>
      <c r="E17" s="266"/>
      <c r="F17" s="266"/>
      <c r="G17" s="266"/>
      <c r="H17" s="266"/>
      <c r="I17" s="266"/>
      <c r="J17" s="266"/>
      <c r="K17" s="266"/>
      <c r="L17" s="266"/>
      <c r="M17" s="266"/>
      <c r="N17" s="266"/>
      <c r="O17" s="266"/>
      <c r="P17" s="266"/>
      <c r="Q17" s="266"/>
      <c r="R17" s="62"/>
      <c r="S17" s="266">
        <f t="shared" si="1"/>
        <v>16203570.300000001</v>
      </c>
      <c r="T17" s="266">
        <f>'ПФХД 2019 с разбивкой '!AP17</f>
        <v>16203570.300000001</v>
      </c>
      <c r="U17" s="266"/>
      <c r="V17" s="267"/>
      <c r="W17" s="461"/>
      <c r="AA17" s="137">
        <f>'ПФХД 2019 с разбивкой '!E17</f>
        <v>16203570.300000001</v>
      </c>
      <c r="AB17" s="135">
        <f t="shared" si="2"/>
        <v>0</v>
      </c>
    </row>
    <row r="18" spans="1:28" ht="31.5" x14ac:dyDescent="0.25">
      <c r="A18" s="132" t="s">
        <v>587</v>
      </c>
      <c r="B18" s="556">
        <v>140</v>
      </c>
      <c r="C18" s="134"/>
      <c r="D18" s="64"/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>
        <f t="shared" si="1"/>
        <v>0</v>
      </c>
      <c r="T18" s="64"/>
      <c r="U18" s="64"/>
      <c r="V18" s="64" t="s">
        <v>149</v>
      </c>
      <c r="W18" s="461"/>
      <c r="AA18" s="137">
        <f>'ПФХД 2019 с разбивкой '!E18</f>
        <v>0</v>
      </c>
      <c r="AB18" s="135">
        <f t="shared" si="2"/>
        <v>0</v>
      </c>
    </row>
    <row r="19" spans="1:28" ht="39" customHeight="1" x14ac:dyDescent="0.25">
      <c r="A19" s="132" t="s">
        <v>588</v>
      </c>
      <c r="B19" s="677">
        <v>150</v>
      </c>
      <c r="C19" s="134"/>
      <c r="D19" s="64"/>
      <c r="E19" s="64"/>
      <c r="F19" s="64"/>
      <c r="G19" s="64"/>
      <c r="H19" s="64"/>
      <c r="I19" s="64"/>
      <c r="J19" s="64"/>
      <c r="K19" s="64"/>
      <c r="L19" s="64"/>
      <c r="M19" s="64"/>
      <c r="N19" s="64"/>
      <c r="O19" s="64"/>
      <c r="P19" s="64"/>
      <c r="Q19" s="64"/>
      <c r="R19" s="64"/>
      <c r="S19" s="64">
        <f t="shared" si="1"/>
        <v>0</v>
      </c>
      <c r="T19" s="64"/>
      <c r="U19" s="64"/>
      <c r="V19" s="64" t="s">
        <v>149</v>
      </c>
      <c r="W19" s="461"/>
      <c r="AA19" s="137">
        <f>'ПФХД 2019 с разбивкой '!E19</f>
        <v>0</v>
      </c>
      <c r="AB19" s="135">
        <f t="shared" si="2"/>
        <v>0</v>
      </c>
    </row>
    <row r="20" spans="1:28" ht="18.75" customHeight="1" x14ac:dyDescent="0.25">
      <c r="A20" s="132" t="s">
        <v>157</v>
      </c>
      <c r="B20" s="556">
        <v>150</v>
      </c>
      <c r="C20" s="134"/>
      <c r="D20" s="64">
        <f>E20+I20+R20+S20</f>
        <v>2275135000</v>
      </c>
      <c r="E20" s="64"/>
      <c r="F20" s="64"/>
      <c r="G20" s="64"/>
      <c r="H20" s="64"/>
      <c r="I20" s="64">
        <f>K20+M20+N20+J20+O20+P20</f>
        <v>2275135000</v>
      </c>
      <c r="J20" s="64"/>
      <c r="K20" s="64">
        <f>'ПФХД 2019 с разбивкой '!V20</f>
        <v>2221891000.0100002</v>
      </c>
      <c r="L20" s="64"/>
      <c r="M20" s="64">
        <f>'ПФХД 2019 с разбивкой '!X20</f>
        <v>22131000</v>
      </c>
      <c r="N20" s="64">
        <f>'ПФХД 2019 с разбивкой '!AB20</f>
        <v>6878578.4699999997</v>
      </c>
      <c r="O20" s="64">
        <f>'ПФХД 2019 с разбивкой '!AE20</f>
        <v>15071900</v>
      </c>
      <c r="P20" s="64">
        <f>'ПФХД 2019 с разбивкой '!AH20</f>
        <v>9162521.5199999996</v>
      </c>
      <c r="Q20" s="267"/>
      <c r="R20" s="64"/>
      <c r="S20" s="267">
        <f t="shared" si="1"/>
        <v>0</v>
      </c>
      <c r="T20" s="267"/>
      <c r="U20" s="267"/>
      <c r="V20" s="64" t="s">
        <v>149</v>
      </c>
      <c r="W20" s="461"/>
      <c r="AA20" s="137">
        <f>'ПФХД 2019 с разбивкой '!E20</f>
        <v>2275135000</v>
      </c>
      <c r="AB20" s="135">
        <f t="shared" si="2"/>
        <v>0</v>
      </c>
    </row>
    <row r="21" spans="1:28" ht="19.5" customHeight="1" x14ac:dyDescent="0.25">
      <c r="A21" s="132" t="s">
        <v>158</v>
      </c>
      <c r="B21" s="556">
        <v>160</v>
      </c>
      <c r="C21" s="134"/>
      <c r="D21" s="64">
        <f>E21+I21+R21+S21</f>
        <v>25781247.280000001</v>
      </c>
      <c r="E21" s="64"/>
      <c r="F21" s="64"/>
      <c r="G21" s="64"/>
      <c r="H21" s="64"/>
      <c r="I21" s="64">
        <f t="shared" ref="I21:I22" si="3">K21+M21+N21+J21</f>
        <v>0</v>
      </c>
      <c r="J21" s="64"/>
      <c r="K21" s="64"/>
      <c r="L21" s="64"/>
      <c r="M21" s="64"/>
      <c r="N21" s="64"/>
      <c r="O21" s="64"/>
      <c r="P21" s="64"/>
      <c r="Q21" s="64"/>
      <c r="R21" s="64"/>
      <c r="S21" s="64">
        <f t="shared" si="1"/>
        <v>25781247.280000001</v>
      </c>
      <c r="T21" s="64">
        <f>'ПФХД 2019 с разбивкой '!AP21</f>
        <v>14623053.460000001</v>
      </c>
      <c r="U21" s="64">
        <f>'ПФХД 2019 с разбивкой '!AS21</f>
        <v>11158193.82</v>
      </c>
      <c r="V21" s="268"/>
      <c r="W21" s="461"/>
      <c r="AA21" s="137">
        <f>'ПФХД 2019 с разбивкой '!E21</f>
        <v>34899225.510000005</v>
      </c>
      <c r="AB21" s="135">
        <f t="shared" si="2"/>
        <v>9117978.2300000042</v>
      </c>
    </row>
    <row r="22" spans="1:28" ht="15.75" x14ac:dyDescent="0.25">
      <c r="A22" s="132" t="s">
        <v>159</v>
      </c>
      <c r="B22" s="556">
        <v>180</v>
      </c>
      <c r="C22" s="555" t="s">
        <v>149</v>
      </c>
      <c r="D22" s="64">
        <f>E22+I22+R22+S22</f>
        <v>0</v>
      </c>
      <c r="E22" s="266"/>
      <c r="F22" s="266"/>
      <c r="G22" s="266"/>
      <c r="H22" s="266"/>
      <c r="I22" s="64">
        <f t="shared" si="3"/>
        <v>0</v>
      </c>
      <c r="J22" s="266"/>
      <c r="K22" s="266"/>
      <c r="L22" s="266"/>
      <c r="M22" s="266"/>
      <c r="N22" s="266"/>
      <c r="O22" s="266"/>
      <c r="P22" s="266"/>
      <c r="Q22" s="266"/>
      <c r="R22" s="62"/>
      <c r="S22" s="64">
        <f t="shared" si="1"/>
        <v>0</v>
      </c>
      <c r="T22" s="267">
        <f>'ПФХД 2019 с разбивкой '!AP22</f>
        <v>0</v>
      </c>
      <c r="U22" s="266">
        <f>'ПФХД 2019 с разбивкой '!AS22</f>
        <v>0</v>
      </c>
      <c r="V22" s="266" t="s">
        <v>149</v>
      </c>
      <c r="W22" s="461"/>
      <c r="AA22" s="137">
        <f>'ПФХД 2019 с разбивкой '!E22</f>
        <v>0</v>
      </c>
      <c r="AB22" s="135">
        <f t="shared" si="2"/>
        <v>0</v>
      </c>
    </row>
    <row r="23" spans="1:28" s="115" customFormat="1" ht="15.75" x14ac:dyDescent="0.25">
      <c r="A23" s="130" t="s">
        <v>160</v>
      </c>
      <c r="B23" s="557">
        <v>200</v>
      </c>
      <c r="C23" s="114" t="s">
        <v>149</v>
      </c>
      <c r="D23" s="59">
        <f>E23+I23+R23+S23</f>
        <v>3292346413.7163482</v>
      </c>
      <c r="E23" s="59">
        <f>E24+E33+E45</f>
        <v>239742190.98134831</v>
      </c>
      <c r="F23" s="59">
        <f>F24+F33+F45</f>
        <v>121550240.5065745</v>
      </c>
      <c r="G23" s="59">
        <f>G24+G29+G33+G42+G45+G67+G71</f>
        <v>73111481.36477381</v>
      </c>
      <c r="H23" s="59">
        <f>H24+H29+H33+H42+H45+H67+H71</f>
        <v>45080469.109999999</v>
      </c>
      <c r="I23" s="59">
        <f>I24+I29+I41+I42+I67+I45+I33</f>
        <v>2663328676.1499996</v>
      </c>
      <c r="J23" s="59">
        <f>J24+J33+J45</f>
        <v>388193676.14999998</v>
      </c>
      <c r="K23" s="59">
        <f>K24+K33+K45</f>
        <v>2222708150.4000001</v>
      </c>
      <c r="L23" s="59">
        <f>L24+L29+L41+L42+L67+L45+L33</f>
        <v>0</v>
      </c>
      <c r="M23" s="59">
        <f>M24+M29+M41+M42+M67+M45+M33</f>
        <v>22131000</v>
      </c>
      <c r="N23" s="59">
        <f>N24+N29+N41+N42+N67+N45+N33</f>
        <v>6878578.4699999997</v>
      </c>
      <c r="O23" s="59">
        <f>O24+O29+O41+O42+O67+O45+O33</f>
        <v>15071900</v>
      </c>
      <c r="P23" s="59">
        <f>P24+P29+P41+P42+P67+P45+P33</f>
        <v>8345371.1299999999</v>
      </c>
      <c r="Q23" s="59">
        <f>Q24+Q29+Q36+Q41+Q42+Q67+Q45</f>
        <v>0</v>
      </c>
      <c r="R23" s="59">
        <f>R24+R29+R41+R42+R45+R67+R33</f>
        <v>1908800</v>
      </c>
      <c r="S23" s="59">
        <f>S24+S33+S45</f>
        <v>387366746.58500004</v>
      </c>
      <c r="T23" s="59">
        <f>T24+T33+T45</f>
        <v>331413056.08500004</v>
      </c>
      <c r="U23" s="59">
        <f>U24+U29+U41+U42+U45+U67+U33</f>
        <v>55953690.5</v>
      </c>
      <c r="V23" s="59">
        <f>V24+V29+V36+V41+V42+V67+V45</f>
        <v>0</v>
      </c>
      <c r="W23" s="566"/>
      <c r="X23" s="135"/>
      <c r="AA23" s="137">
        <f>'ПФХД 2019 с разбивкой '!E23</f>
        <v>3304618211.1449995</v>
      </c>
      <c r="AB23" s="135">
        <f t="shared" si="2"/>
        <v>12271797.428651333</v>
      </c>
    </row>
    <row r="24" spans="1:28" s="115" customFormat="1" ht="18.75" customHeight="1" x14ac:dyDescent="0.25">
      <c r="A24" s="130" t="s">
        <v>161</v>
      </c>
      <c r="B24" s="557">
        <v>210</v>
      </c>
      <c r="C24" s="114">
        <v>110</v>
      </c>
      <c r="D24" s="59">
        <f>E24+I24+R24+S24</f>
        <v>417048453.99657452</v>
      </c>
      <c r="E24" s="59">
        <f>E26+E27+E28</f>
        <v>187885462.60657451</v>
      </c>
      <c r="F24" s="59">
        <f>F26+F27+F28</f>
        <v>121550240.5065745</v>
      </c>
      <c r="G24" s="59">
        <f>G26+G27+G28</f>
        <v>40250801.520000003</v>
      </c>
      <c r="H24" s="59">
        <f>H26+H27+H28</f>
        <v>26084420.580000002</v>
      </c>
      <c r="I24" s="59">
        <f>I26+I27+I28</f>
        <v>24940779.41</v>
      </c>
      <c r="J24" s="59">
        <f>J26+J27</f>
        <v>0</v>
      </c>
      <c r="K24" s="59">
        <f>K26+K27</f>
        <v>0</v>
      </c>
      <c r="L24" s="59">
        <f t="shared" ref="L24:V24" si="4">L26+L27+L28</f>
        <v>0</v>
      </c>
      <c r="M24" s="59">
        <f t="shared" si="4"/>
        <v>9868879.4100000001</v>
      </c>
      <c r="N24" s="59">
        <f>N26+N27+N28</f>
        <v>0</v>
      </c>
      <c r="O24" s="59">
        <f>O26+O27+O28</f>
        <v>15071900</v>
      </c>
      <c r="P24" s="59">
        <f>P26+P27+P28</f>
        <v>0</v>
      </c>
      <c r="Q24" s="59">
        <f t="shared" si="4"/>
        <v>0</v>
      </c>
      <c r="R24" s="59">
        <f>R26+R27+R28</f>
        <v>1858800</v>
      </c>
      <c r="S24" s="59">
        <f>S26+S27+S28</f>
        <v>202363411.98000002</v>
      </c>
      <c r="T24" s="59">
        <f>T26+T27+T28</f>
        <v>170310396.47</v>
      </c>
      <c r="U24" s="59">
        <f>U26+U27+U28</f>
        <v>32053015.510000002</v>
      </c>
      <c r="V24" s="59">
        <f t="shared" si="4"/>
        <v>0</v>
      </c>
      <c r="W24" s="566"/>
      <c r="AA24" s="137">
        <f>'ПФХД 2019 с разбивкой '!E24</f>
        <v>424149150.21000004</v>
      </c>
      <c r="AB24" s="135">
        <f t="shared" si="2"/>
        <v>7100696.2134255171</v>
      </c>
    </row>
    <row r="25" spans="1:28" ht="15.75" x14ac:dyDescent="0.25">
      <c r="A25" s="132" t="s">
        <v>92</v>
      </c>
      <c r="B25" s="133"/>
      <c r="C25" s="134"/>
      <c r="D25" s="64"/>
      <c r="E25" s="64"/>
      <c r="F25" s="64"/>
      <c r="G25" s="64"/>
      <c r="H25" s="64"/>
      <c r="I25" s="64"/>
      <c r="J25" s="64"/>
      <c r="K25" s="64"/>
      <c r="L25" s="64"/>
      <c r="M25" s="64"/>
      <c r="N25" s="64"/>
      <c r="O25" s="64"/>
      <c r="P25" s="64"/>
      <c r="Q25" s="64"/>
      <c r="R25" s="64"/>
      <c r="S25" s="59">
        <f t="shared" ref="S25:S75" si="5">T25+U25</f>
        <v>0</v>
      </c>
      <c r="T25" s="64"/>
      <c r="U25" s="64"/>
      <c r="V25" s="64"/>
      <c r="W25" s="461"/>
      <c r="AA25" s="137">
        <f>'ПФХД 2019 с разбивкой '!E25</f>
        <v>0</v>
      </c>
      <c r="AB25" s="135">
        <f t="shared" si="2"/>
        <v>0</v>
      </c>
    </row>
    <row r="26" spans="1:28" ht="16.5" customHeight="1" x14ac:dyDescent="0.25">
      <c r="A26" s="132" t="s">
        <v>162</v>
      </c>
      <c r="B26" s="1385">
        <v>211</v>
      </c>
      <c r="C26" s="555">
        <v>111</v>
      </c>
      <c r="D26" s="64">
        <f>E26+I26+R26+S26</f>
        <v>318903540.15801847</v>
      </c>
      <c r="E26" s="64">
        <f>F26+G26+H26</f>
        <v>143436558.52657449</v>
      </c>
      <c r="F26" s="64">
        <f>'ПФХД 2019 с разбивкой '!J26</f>
        <v>93378135.336574495</v>
      </c>
      <c r="G26" s="64">
        <f>'ПФХД 2019 с разбивкой '!L26</f>
        <v>30201086.870000001</v>
      </c>
      <c r="H26" s="64">
        <f>'ПФХД 2019 с разбивкой '!O26</f>
        <v>19857336.32</v>
      </c>
      <c r="I26" s="64">
        <f>J26+K26+L26+M26+N26+O26+P26</f>
        <v>19155752.181443933</v>
      </c>
      <c r="J26" s="64">
        <f>'ПФХД 2019 с разбивкой '!T26</f>
        <v>0</v>
      </c>
      <c r="K26" s="64"/>
      <c r="L26" s="64"/>
      <c r="M26" s="64">
        <f>'ПФХД 2019 с разбивкой '!X26</f>
        <v>7579792.1200000001</v>
      </c>
      <c r="N26" s="64">
        <f>'ПФХД 2019 с разбивкой '!AB26</f>
        <v>0</v>
      </c>
      <c r="O26" s="64">
        <f>'ПФХД 2019 с разбивкой '!AE26</f>
        <v>11575960.061443932</v>
      </c>
      <c r="P26" s="64"/>
      <c r="Q26" s="64"/>
      <c r="R26" s="64">
        <f>'ПФХД 2019 с разбивкой '!AK26</f>
        <v>1427649.77</v>
      </c>
      <c r="S26" s="64">
        <f t="shared" si="5"/>
        <v>154883579.68000001</v>
      </c>
      <c r="T26" s="64">
        <f>'ПФХД 2019 с разбивкой '!AP26</f>
        <v>130433900.66</v>
      </c>
      <c r="U26" s="64">
        <f>'ПФХД 2019 с разбивкой '!AS26</f>
        <v>24449679.02</v>
      </c>
      <c r="V26" s="64"/>
      <c r="W26" s="461"/>
      <c r="AA26" s="137">
        <f>'ПФХД 2019 с разбивкой '!E26</f>
        <v>324309100.47144389</v>
      </c>
      <c r="AB26" s="135">
        <f t="shared" si="2"/>
        <v>5405560.3134254217</v>
      </c>
    </row>
    <row r="27" spans="1:28" ht="18.75" customHeight="1" x14ac:dyDescent="0.25">
      <c r="A27" s="132" t="s">
        <v>163</v>
      </c>
      <c r="B27" s="1385"/>
      <c r="C27" s="555">
        <v>119</v>
      </c>
      <c r="D27" s="64">
        <f>E27+I27+R27+S27</f>
        <v>96900713.198556066</v>
      </c>
      <c r="E27" s="64">
        <f>F27+G27+H27</f>
        <v>43924235.740000002</v>
      </c>
      <c r="F27" s="64">
        <f>'ПФХД 2019 с разбивкой '!J27</f>
        <v>28172105.169999998</v>
      </c>
      <c r="G27" s="64">
        <f>'ПФХД 2019 с разбивкой '!L27</f>
        <v>9701799.1500000004</v>
      </c>
      <c r="H27" s="64">
        <f>'ПФХД 2019 с разбивкой '!O27</f>
        <v>6050331.4199999999</v>
      </c>
      <c r="I27" s="64">
        <f>J27+K27+L27+M27+N27+O27+P27</f>
        <v>5785027.2285560677</v>
      </c>
      <c r="J27" s="64">
        <f>'ПФХД 2019 с разбивкой '!T27</f>
        <v>0</v>
      </c>
      <c r="K27" s="64"/>
      <c r="L27" s="64"/>
      <c r="M27" s="64">
        <f>'ПФХД 2019 с разбивкой '!X27</f>
        <v>2289087.29</v>
      </c>
      <c r="N27" s="64">
        <f>'ПФХД 2019 с разбивкой '!AB27</f>
        <v>0</v>
      </c>
      <c r="O27" s="64">
        <f>'ПФХД 2019 с разбивкой '!AE27</f>
        <v>3495939.9385560676</v>
      </c>
      <c r="P27" s="64"/>
      <c r="Q27" s="64"/>
      <c r="R27" s="64">
        <f>'ПФХД 2019 с разбивкой '!AK27</f>
        <v>431150.23</v>
      </c>
      <c r="S27" s="64">
        <f t="shared" si="5"/>
        <v>46760300</v>
      </c>
      <c r="T27" s="64">
        <f>'ПФХД 2019 с разбивкой '!AP27</f>
        <v>39376495.810000002</v>
      </c>
      <c r="U27" s="64">
        <f>'ПФХД 2019 с разбивкой '!AS27</f>
        <v>7383804.1900000004</v>
      </c>
      <c r="V27" s="64"/>
      <c r="W27" s="461"/>
      <c r="AA27" s="137">
        <f>'ПФХД 2019 с разбивкой '!E27</f>
        <v>98547733.468556076</v>
      </c>
      <c r="AB27" s="135">
        <f t="shared" si="2"/>
        <v>1647020.2700000107</v>
      </c>
    </row>
    <row r="28" spans="1:28" ht="31.5" x14ac:dyDescent="0.25">
      <c r="A28" s="132" t="s">
        <v>164</v>
      </c>
      <c r="B28" s="1385"/>
      <c r="C28" s="555">
        <v>112</v>
      </c>
      <c r="D28" s="64">
        <f>E28+I28+R28+S28</f>
        <v>1244200.6400000001</v>
      </c>
      <c r="E28" s="64">
        <f>F28+G28+H28</f>
        <v>524668.34</v>
      </c>
      <c r="F28" s="64"/>
      <c r="G28" s="64">
        <f>'ПФХД 2019 с разбивкой '!L28</f>
        <v>347915.5</v>
      </c>
      <c r="H28" s="64">
        <f>'ПФХД 2019 с разбивкой '!O28</f>
        <v>176752.84</v>
      </c>
      <c r="I28" s="64">
        <f t="shared" ref="I28:I35" si="6">SUM(K28:N28)</f>
        <v>0</v>
      </c>
      <c r="J28" s="64"/>
      <c r="K28" s="64" t="s">
        <v>252</v>
      </c>
      <c r="L28" s="64"/>
      <c r="M28" s="64"/>
      <c r="N28" s="64"/>
      <c r="O28" s="64"/>
      <c r="P28" s="64"/>
      <c r="Q28" s="64"/>
      <c r="R28" s="64"/>
      <c r="S28" s="64">
        <f t="shared" si="5"/>
        <v>719532.3</v>
      </c>
      <c r="T28" s="64">
        <f>'ПФХД 2019 с разбивкой '!AP28</f>
        <v>500000</v>
      </c>
      <c r="U28" s="64">
        <f>'ПФХД 2019 с разбивкой '!AS28</f>
        <v>219532.3</v>
      </c>
      <c r="V28" s="64"/>
      <c r="W28" s="461"/>
      <c r="AA28" s="137">
        <f>'ПФХД 2019 с разбивкой '!E28</f>
        <v>1292316.27</v>
      </c>
      <c r="AB28" s="135">
        <f t="shared" si="2"/>
        <v>48115.629999999888</v>
      </c>
    </row>
    <row r="29" spans="1:28" s="115" customFormat="1" ht="31.5" x14ac:dyDescent="0.25">
      <c r="A29" s="130" t="s">
        <v>165</v>
      </c>
      <c r="B29" s="1385">
        <v>220</v>
      </c>
      <c r="C29" s="114">
        <v>300</v>
      </c>
      <c r="D29" s="59">
        <f>E29+I29+R29+T29</f>
        <v>0</v>
      </c>
      <c r="E29" s="59">
        <f>E31+E32</f>
        <v>0</v>
      </c>
      <c r="F29" s="59"/>
      <c r="G29" s="59">
        <f>G31+G32</f>
        <v>0</v>
      </c>
      <c r="H29" s="59">
        <f>H31+H32</f>
        <v>0</v>
      </c>
      <c r="I29" s="59">
        <f t="shared" si="6"/>
        <v>0</v>
      </c>
      <c r="J29" s="59"/>
      <c r="K29" s="59">
        <v>0</v>
      </c>
      <c r="L29" s="59">
        <v>0</v>
      </c>
      <c r="M29" s="59">
        <v>0</v>
      </c>
      <c r="N29" s="59">
        <f>N31+N32</f>
        <v>0</v>
      </c>
      <c r="O29" s="59"/>
      <c r="P29" s="59"/>
      <c r="Q29" s="59">
        <f>Q31+Q32</f>
        <v>0</v>
      </c>
      <c r="R29" s="59">
        <v>0</v>
      </c>
      <c r="S29" s="59">
        <f t="shared" si="5"/>
        <v>0</v>
      </c>
      <c r="T29" s="59">
        <f>T31+T32</f>
        <v>0</v>
      </c>
      <c r="U29" s="59">
        <f>U31+U32</f>
        <v>0</v>
      </c>
      <c r="V29" s="59">
        <f>V31+V32</f>
        <v>0</v>
      </c>
      <c r="W29" s="566"/>
      <c r="AA29" s="137">
        <f>'ПФХД 2019 с разбивкой '!E29</f>
        <v>0</v>
      </c>
      <c r="AB29" s="135">
        <f t="shared" si="2"/>
        <v>0</v>
      </c>
    </row>
    <row r="30" spans="1:28" ht="15.75" x14ac:dyDescent="0.25">
      <c r="A30" s="132" t="s">
        <v>92</v>
      </c>
      <c r="B30" s="1385"/>
      <c r="C30" s="134"/>
      <c r="D30" s="64"/>
      <c r="E30" s="64"/>
      <c r="F30" s="64"/>
      <c r="G30" s="64"/>
      <c r="H30" s="64"/>
      <c r="I30" s="64">
        <f t="shared" si="6"/>
        <v>0</v>
      </c>
      <c r="J30" s="64"/>
      <c r="K30" s="64"/>
      <c r="L30" s="64"/>
      <c r="M30" s="64"/>
      <c r="N30" s="64"/>
      <c r="O30" s="64"/>
      <c r="P30" s="64"/>
      <c r="Q30" s="64"/>
      <c r="R30" s="64"/>
      <c r="S30" s="59">
        <f t="shared" si="5"/>
        <v>0</v>
      </c>
      <c r="T30" s="64"/>
      <c r="U30" s="64"/>
      <c r="V30" s="64"/>
      <c r="W30" s="461"/>
      <c r="AA30" s="137">
        <f>'ПФХД 2019 с разбивкой '!E30</f>
        <v>0</v>
      </c>
      <c r="AB30" s="135">
        <f t="shared" si="2"/>
        <v>0</v>
      </c>
    </row>
    <row r="31" spans="1:28" ht="15.75" x14ac:dyDescent="0.25">
      <c r="A31" s="1386" t="s">
        <v>166</v>
      </c>
      <c r="B31" s="1385"/>
      <c r="C31" s="555">
        <v>321</v>
      </c>
      <c r="D31" s="64"/>
      <c r="E31" s="64"/>
      <c r="F31" s="64"/>
      <c r="G31" s="64"/>
      <c r="H31" s="64"/>
      <c r="I31" s="64">
        <f t="shared" si="6"/>
        <v>0</v>
      </c>
      <c r="J31" s="64"/>
      <c r="K31" s="64"/>
      <c r="L31" s="64"/>
      <c r="M31" s="64"/>
      <c r="N31" s="64"/>
      <c r="O31" s="64"/>
      <c r="P31" s="64"/>
      <c r="Q31" s="64"/>
      <c r="R31" s="64"/>
      <c r="S31" s="59">
        <f t="shared" si="5"/>
        <v>0</v>
      </c>
      <c r="T31" s="64"/>
      <c r="U31" s="64"/>
      <c r="V31" s="64"/>
      <c r="W31" s="461"/>
      <c r="AA31" s="137">
        <f>'ПФХД 2019 с разбивкой '!E31</f>
        <v>0</v>
      </c>
      <c r="AB31" s="135">
        <f t="shared" si="2"/>
        <v>0</v>
      </c>
    </row>
    <row r="32" spans="1:28" ht="15.75" x14ac:dyDescent="0.25">
      <c r="A32" s="1386"/>
      <c r="B32" s="1385"/>
      <c r="C32" s="555">
        <v>360</v>
      </c>
      <c r="D32" s="64"/>
      <c r="E32" s="64"/>
      <c r="F32" s="64"/>
      <c r="G32" s="64"/>
      <c r="H32" s="64"/>
      <c r="I32" s="64">
        <f t="shared" si="6"/>
        <v>0</v>
      </c>
      <c r="J32" s="64"/>
      <c r="K32" s="64"/>
      <c r="L32" s="64"/>
      <c r="M32" s="64"/>
      <c r="N32" s="64"/>
      <c r="O32" s="64"/>
      <c r="P32" s="64"/>
      <c r="Q32" s="64"/>
      <c r="R32" s="64"/>
      <c r="S32" s="59">
        <f t="shared" si="5"/>
        <v>0</v>
      </c>
      <c r="T32" s="64"/>
      <c r="U32" s="64"/>
      <c r="V32" s="64"/>
      <c r="W32" s="461"/>
      <c r="AA32" s="137">
        <f>'ПФХД 2019 с разбивкой '!E32</f>
        <v>0</v>
      </c>
      <c r="AB32" s="135">
        <f t="shared" si="2"/>
        <v>0</v>
      </c>
    </row>
    <row r="33" spans="1:28" s="115" customFormat="1" ht="15.75" x14ac:dyDescent="0.25">
      <c r="A33" s="112" t="s">
        <v>167</v>
      </c>
      <c r="B33" s="557"/>
      <c r="C33" s="114">
        <v>800</v>
      </c>
      <c r="D33" s="59">
        <f>E33+I33+R33+S33</f>
        <v>14008166.68</v>
      </c>
      <c r="E33" s="59">
        <f>E34+E36</f>
        <v>5201007.6000000006</v>
      </c>
      <c r="F33" s="59">
        <f>F34+F36</f>
        <v>0</v>
      </c>
      <c r="G33" s="59">
        <f>G34+G36</f>
        <v>3687692.4899999998</v>
      </c>
      <c r="H33" s="59">
        <f>H34+H36</f>
        <v>1513315.11</v>
      </c>
      <c r="I33" s="59">
        <f>SUM(J33:P33)</f>
        <v>1914231.98</v>
      </c>
      <c r="J33" s="59">
        <f>J34+J36</f>
        <v>0</v>
      </c>
      <c r="K33" s="59">
        <f t="shared" ref="K33:V33" si="7">K34+K36</f>
        <v>0</v>
      </c>
      <c r="L33" s="59">
        <f t="shared" si="7"/>
        <v>0</v>
      </c>
      <c r="M33" s="59">
        <f t="shared" si="7"/>
        <v>1258487.81</v>
      </c>
      <c r="N33" s="59">
        <f t="shared" si="7"/>
        <v>655744.17000000004</v>
      </c>
      <c r="O33" s="59"/>
      <c r="P33" s="59"/>
      <c r="Q33" s="59">
        <f t="shared" si="7"/>
        <v>0</v>
      </c>
      <c r="R33" s="59">
        <f t="shared" si="7"/>
        <v>0</v>
      </c>
      <c r="S33" s="59">
        <f t="shared" si="7"/>
        <v>6892927.0999999996</v>
      </c>
      <c r="T33" s="59">
        <f t="shared" si="7"/>
        <v>5729310.8399999999</v>
      </c>
      <c r="U33" s="59">
        <f t="shared" si="7"/>
        <v>1163616.26</v>
      </c>
      <c r="V33" s="59">
        <f t="shared" si="7"/>
        <v>0</v>
      </c>
      <c r="W33" s="566"/>
      <c r="AA33" s="137">
        <f>'ПФХД 2019 с разбивкой '!E33</f>
        <v>14420120.899999999</v>
      </c>
      <c r="AB33" s="135">
        <f t="shared" si="2"/>
        <v>411954.21999999881</v>
      </c>
    </row>
    <row r="34" spans="1:28" s="115" customFormat="1" ht="15.75" x14ac:dyDescent="0.25">
      <c r="A34" s="112" t="s">
        <v>168</v>
      </c>
      <c r="B34" s="557"/>
      <c r="C34" s="114">
        <v>830</v>
      </c>
      <c r="D34" s="59">
        <f>E34+I34+R34+S34</f>
        <v>500000</v>
      </c>
      <c r="E34" s="59">
        <f>SUM(E35)</f>
        <v>0</v>
      </c>
      <c r="F34" s="59"/>
      <c r="G34" s="59">
        <f>SUM(G35)</f>
        <v>0</v>
      </c>
      <c r="H34" s="59">
        <f>SUM(H35)</f>
        <v>0</v>
      </c>
      <c r="I34" s="59">
        <f t="shared" si="6"/>
        <v>0</v>
      </c>
      <c r="J34" s="59"/>
      <c r="K34" s="59">
        <f t="shared" ref="K34:V34" si="8">SUM(K35)</f>
        <v>0</v>
      </c>
      <c r="L34" s="59">
        <f t="shared" si="8"/>
        <v>0</v>
      </c>
      <c r="M34" s="59">
        <f t="shared" si="8"/>
        <v>0</v>
      </c>
      <c r="N34" s="59">
        <f t="shared" si="8"/>
        <v>0</v>
      </c>
      <c r="O34" s="59"/>
      <c r="P34" s="59"/>
      <c r="Q34" s="59">
        <f t="shared" si="8"/>
        <v>0</v>
      </c>
      <c r="R34" s="59">
        <f t="shared" si="8"/>
        <v>0</v>
      </c>
      <c r="S34" s="59">
        <f t="shared" si="5"/>
        <v>500000</v>
      </c>
      <c r="T34" s="59">
        <f t="shared" si="8"/>
        <v>500000</v>
      </c>
      <c r="U34" s="59">
        <f t="shared" si="8"/>
        <v>0</v>
      </c>
      <c r="V34" s="59">
        <f t="shared" si="8"/>
        <v>0</v>
      </c>
      <c r="W34" s="566"/>
      <c r="X34" s="121" t="s">
        <v>237</v>
      </c>
      <c r="AA34" s="137">
        <f>'ПФХД 2019 с разбивкой '!E34</f>
        <v>500000</v>
      </c>
      <c r="AB34" s="135">
        <f t="shared" si="2"/>
        <v>0</v>
      </c>
    </row>
    <row r="35" spans="1:28" ht="63" x14ac:dyDescent="0.25">
      <c r="A35" s="116" t="s">
        <v>169</v>
      </c>
      <c r="B35" s="556"/>
      <c r="C35" s="555">
        <v>831</v>
      </c>
      <c r="D35" s="64">
        <f>E35+I35+R35+S35</f>
        <v>500000</v>
      </c>
      <c r="E35" s="64"/>
      <c r="F35" s="64"/>
      <c r="G35" s="64"/>
      <c r="H35" s="64"/>
      <c r="I35" s="64">
        <f t="shared" si="6"/>
        <v>0</v>
      </c>
      <c r="J35" s="64"/>
      <c r="K35" s="64"/>
      <c r="L35" s="64"/>
      <c r="M35" s="64"/>
      <c r="N35" s="64"/>
      <c r="O35" s="64"/>
      <c r="P35" s="64"/>
      <c r="Q35" s="64"/>
      <c r="R35" s="64"/>
      <c r="S35" s="64">
        <f t="shared" si="5"/>
        <v>500000</v>
      </c>
      <c r="T35" s="64">
        <f>'ПФХД 2019 с разбивкой '!AP35</f>
        <v>500000</v>
      </c>
      <c r="U35" s="64"/>
      <c r="V35" s="64"/>
      <c r="W35" s="461"/>
      <c r="X35" s="122">
        <v>15000</v>
      </c>
      <c r="Y35" s="121">
        <v>831</v>
      </c>
      <c r="AA35" s="137">
        <f>'ПФХД 2019 с разбивкой '!E35</f>
        <v>500000</v>
      </c>
      <c r="AB35" s="135">
        <f t="shared" si="2"/>
        <v>0</v>
      </c>
    </row>
    <row r="36" spans="1:28" s="115" customFormat="1" ht="33" customHeight="1" x14ac:dyDescent="0.25">
      <c r="A36" s="130" t="s">
        <v>170</v>
      </c>
      <c r="B36" s="1385">
        <v>230</v>
      </c>
      <c r="C36" s="114">
        <v>850</v>
      </c>
      <c r="D36" s="59">
        <f>E36+I36+R36+S36</f>
        <v>13508166.68</v>
      </c>
      <c r="E36" s="59">
        <f>SUM(E38:E40)</f>
        <v>5201007.6000000006</v>
      </c>
      <c r="F36" s="59">
        <f>SUM(F38:F40)</f>
        <v>0</v>
      </c>
      <c r="G36" s="59">
        <f>SUM(G38:G40)</f>
        <v>3687692.4899999998</v>
      </c>
      <c r="H36" s="59">
        <f>SUM(H38:H40)</f>
        <v>1513315.11</v>
      </c>
      <c r="I36" s="59">
        <f t="shared" ref="I36:Q36" si="9">I38+I39+I40</f>
        <v>1914231.98</v>
      </c>
      <c r="J36" s="59">
        <f t="shared" si="9"/>
        <v>0</v>
      </c>
      <c r="K36" s="59">
        <f t="shared" si="9"/>
        <v>0</v>
      </c>
      <c r="L36" s="59">
        <f t="shared" si="9"/>
        <v>0</v>
      </c>
      <c r="M36" s="59">
        <f t="shared" si="9"/>
        <v>1258487.81</v>
      </c>
      <c r="N36" s="59">
        <f t="shared" si="9"/>
        <v>655744.17000000004</v>
      </c>
      <c r="O36" s="59"/>
      <c r="P36" s="59"/>
      <c r="Q36" s="59">
        <f t="shared" si="9"/>
        <v>0</v>
      </c>
      <c r="R36" s="59">
        <f>SUM(R37:R40)</f>
        <v>0</v>
      </c>
      <c r="S36" s="59">
        <f>S38+S39+S40</f>
        <v>6392927.0999999996</v>
      </c>
      <c r="T36" s="59">
        <f>T38+T39+T40</f>
        <v>5229310.84</v>
      </c>
      <c r="U36" s="59">
        <f>U38+U39+U40</f>
        <v>1163616.26</v>
      </c>
      <c r="V36" s="59">
        <f>V38+V39+V40</f>
        <v>0</v>
      </c>
      <c r="W36" s="566"/>
      <c r="AA36" s="137">
        <f>'ПФХД 2019 с разбивкой '!E36</f>
        <v>13920120.899999999</v>
      </c>
      <c r="AB36" s="135">
        <f t="shared" si="2"/>
        <v>411954.21999999881</v>
      </c>
    </row>
    <row r="37" spans="1:28" ht="15.75" x14ac:dyDescent="0.25">
      <c r="A37" s="132" t="s">
        <v>92</v>
      </c>
      <c r="B37" s="1385"/>
      <c r="C37" s="134"/>
      <c r="D37" s="64"/>
      <c r="E37" s="64"/>
      <c r="F37" s="64"/>
      <c r="G37" s="64"/>
      <c r="H37" s="64"/>
      <c r="I37" s="64"/>
      <c r="J37" s="64"/>
      <c r="K37" s="64"/>
      <c r="L37" s="64"/>
      <c r="M37" s="64"/>
      <c r="N37" s="64"/>
      <c r="O37" s="64"/>
      <c r="P37" s="64"/>
      <c r="Q37" s="64"/>
      <c r="R37" s="64"/>
      <c r="S37" s="59">
        <f t="shared" si="5"/>
        <v>0</v>
      </c>
      <c r="T37" s="64"/>
      <c r="U37" s="64"/>
      <c r="V37" s="64"/>
      <c r="W37" s="461"/>
      <c r="X37" s="121" t="s">
        <v>237</v>
      </c>
      <c r="Y37" s="121" t="s">
        <v>197</v>
      </c>
      <c r="Z37" s="121" t="s">
        <v>237</v>
      </c>
      <c r="AA37" s="137">
        <f>'ПФХД 2019 с разбивкой '!E37</f>
        <v>0</v>
      </c>
      <c r="AB37" s="135">
        <f t="shared" si="2"/>
        <v>0</v>
      </c>
    </row>
    <row r="38" spans="1:28" ht="31.5" x14ac:dyDescent="0.25">
      <c r="A38" s="132" t="s">
        <v>171</v>
      </c>
      <c r="B38" s="1385"/>
      <c r="C38" s="555">
        <v>851</v>
      </c>
      <c r="D38" s="64">
        <f>E38+I38+R38+S38</f>
        <v>11955256.65</v>
      </c>
      <c r="E38" s="64">
        <f>SUM(G38:H38)</f>
        <v>4890097.57</v>
      </c>
      <c r="F38" s="64"/>
      <c r="G38" s="64">
        <f>'ПФХД 2019 с разбивкой '!L38</f>
        <v>3376782.46</v>
      </c>
      <c r="H38" s="64">
        <f>'ПФХД 2019 с разбивкой '!O38</f>
        <v>1513315.11</v>
      </c>
      <c r="I38" s="64">
        <f>J38+K38+L38+M38+N38+O38+P38</f>
        <v>1914231.98</v>
      </c>
      <c r="J38" s="64">
        <f>'ПФХД 2019 с разбивкой '!T38</f>
        <v>0</v>
      </c>
      <c r="K38" s="64"/>
      <c r="L38" s="64"/>
      <c r="M38" s="64">
        <f>'ПФХД 2019 с разбивкой '!X38</f>
        <v>1258487.81</v>
      </c>
      <c r="N38" s="64">
        <f>'ПФХД 2019 с разбивкой '!AB38</f>
        <v>655744.17000000004</v>
      </c>
      <c r="O38" s="64"/>
      <c r="P38" s="64"/>
      <c r="Q38" s="64"/>
      <c r="R38" s="64"/>
      <c r="S38" s="64">
        <f t="shared" si="5"/>
        <v>5150927.0999999996</v>
      </c>
      <c r="T38" s="64">
        <f>'ПФХД 2019 с разбивкой '!AP38</f>
        <v>4167310.84</v>
      </c>
      <c r="U38" s="64">
        <f>'ПФХД 2019 с разбивкой '!AS38</f>
        <v>983616.26</v>
      </c>
      <c r="V38" s="64"/>
      <c r="W38" s="461"/>
      <c r="X38" s="122">
        <v>2116229.66</v>
      </c>
      <c r="Y38" s="122">
        <v>-2116229.66</v>
      </c>
      <c r="Z38" s="122"/>
      <c r="AA38" s="137">
        <f>'ПФХД 2019 с разбивкой '!E38</f>
        <v>12367210.870000001</v>
      </c>
      <c r="AB38" s="135">
        <f t="shared" si="2"/>
        <v>411954.22000000067</v>
      </c>
    </row>
    <row r="39" spans="1:28" ht="15.75" x14ac:dyDescent="0.25">
      <c r="A39" s="132" t="s">
        <v>172</v>
      </c>
      <c r="B39" s="1385"/>
      <c r="C39" s="555">
        <v>852</v>
      </c>
      <c r="D39" s="64">
        <f>E39+I39+R39+S39</f>
        <v>844267.46</v>
      </c>
      <c r="E39" s="64">
        <f>SUM(G39:H39)</f>
        <v>209267.46</v>
      </c>
      <c r="F39" s="64"/>
      <c r="G39" s="64">
        <f>'ПФХД 2019 с разбивкой '!L39</f>
        <v>209267.46</v>
      </c>
      <c r="H39" s="64"/>
      <c r="I39" s="64">
        <f>J39+K39+L39+M39+N39+O39+P39</f>
        <v>0</v>
      </c>
      <c r="J39" s="64"/>
      <c r="K39" s="64"/>
      <c r="L39" s="64"/>
      <c r="M39" s="64"/>
      <c r="N39" s="64">
        <f>'ПФХД 2019 с разбивкой '!AB39</f>
        <v>0</v>
      </c>
      <c r="O39" s="64"/>
      <c r="P39" s="64"/>
      <c r="Q39" s="64"/>
      <c r="R39" s="64"/>
      <c r="S39" s="64">
        <f t="shared" si="5"/>
        <v>635000</v>
      </c>
      <c r="T39" s="64">
        <f>'ПФХД 2019 с разбивкой '!AP39</f>
        <v>485000</v>
      </c>
      <c r="U39" s="64">
        <f>'ПФХД 2019 с разбивкой '!AS39</f>
        <v>150000</v>
      </c>
      <c r="V39" s="64"/>
      <c r="W39" s="461"/>
      <c r="X39" s="122">
        <v>-75470.62</v>
      </c>
      <c r="Y39" s="122"/>
      <c r="Z39" s="122">
        <v>-49993.01</v>
      </c>
      <c r="AA39" s="137">
        <f>'ПФХД 2019 с разбивкой '!E39</f>
        <v>844267.46</v>
      </c>
      <c r="AB39" s="135">
        <f t="shared" si="2"/>
        <v>0</v>
      </c>
    </row>
    <row r="40" spans="1:28" ht="18.75" customHeight="1" x14ac:dyDescent="0.25">
      <c r="A40" s="132" t="s">
        <v>173</v>
      </c>
      <c r="B40" s="1385"/>
      <c r="C40" s="555">
        <v>853</v>
      </c>
      <c r="D40" s="64">
        <f>E40+I40+R40+S40</f>
        <v>708642.57000000007</v>
      </c>
      <c r="E40" s="64">
        <f>SUM(G40:H40)</f>
        <v>101642.57</v>
      </c>
      <c r="F40" s="64"/>
      <c r="G40" s="64">
        <f>'ПФХД 2019 с разбивкой '!L40</f>
        <v>101642.57</v>
      </c>
      <c r="H40" s="64"/>
      <c r="I40" s="64">
        <f>SUM(K40:N40)</f>
        <v>0</v>
      </c>
      <c r="J40" s="64"/>
      <c r="K40" s="64"/>
      <c r="L40" s="64"/>
      <c r="M40" s="64"/>
      <c r="N40" s="64"/>
      <c r="O40" s="64"/>
      <c r="P40" s="64"/>
      <c r="Q40" s="64"/>
      <c r="R40" s="64"/>
      <c r="S40" s="64">
        <f t="shared" si="5"/>
        <v>607000</v>
      </c>
      <c r="T40" s="64">
        <f>'ПФХД 2019 с разбивкой '!AP40</f>
        <v>577000</v>
      </c>
      <c r="U40" s="64">
        <f>'ПФХД 2019 с разбивкой '!AS40</f>
        <v>30000</v>
      </c>
      <c r="V40" s="64"/>
      <c r="W40" s="461"/>
      <c r="X40" s="122">
        <v>75470.62</v>
      </c>
      <c r="Y40" s="122"/>
      <c r="Z40" s="122">
        <v>49993.01</v>
      </c>
      <c r="AA40" s="137">
        <f>'ПФХД 2019 с разбивкой '!E40</f>
        <v>708642.57000000007</v>
      </c>
      <c r="AB40" s="135">
        <f t="shared" si="2"/>
        <v>0</v>
      </c>
    </row>
    <row r="41" spans="1:28" ht="15.75" x14ac:dyDescent="0.25">
      <c r="A41" s="132" t="s">
        <v>174</v>
      </c>
      <c r="B41" s="556">
        <v>240</v>
      </c>
      <c r="C41" s="555">
        <v>860</v>
      </c>
      <c r="D41" s="64"/>
      <c r="E41" s="64"/>
      <c r="F41" s="64"/>
      <c r="G41" s="64"/>
      <c r="H41" s="64"/>
      <c r="I41" s="64">
        <f>SUM(K41:N41)</f>
        <v>0</v>
      </c>
      <c r="J41" s="64"/>
      <c r="K41" s="64"/>
      <c r="L41" s="64"/>
      <c r="M41" s="64"/>
      <c r="N41" s="64"/>
      <c r="O41" s="64"/>
      <c r="P41" s="64"/>
      <c r="Q41" s="64"/>
      <c r="R41" s="64"/>
      <c r="S41" s="59">
        <f t="shared" si="5"/>
        <v>0</v>
      </c>
      <c r="T41" s="64"/>
      <c r="U41" s="64"/>
      <c r="V41" s="64"/>
      <c r="W41" s="461"/>
      <c r="AA41" s="137">
        <f>'ПФХД 2019 с разбивкой '!E41</f>
        <v>0</v>
      </c>
      <c r="AB41" s="135">
        <f t="shared" si="2"/>
        <v>0</v>
      </c>
    </row>
    <row r="42" spans="1:28" s="115" customFormat="1" ht="31.5" x14ac:dyDescent="0.25">
      <c r="A42" s="130" t="s">
        <v>175</v>
      </c>
      <c r="B42" s="1387">
        <v>250</v>
      </c>
      <c r="C42" s="138"/>
      <c r="D42" s="59">
        <f>E42+I42+R42+S42</f>
        <v>0</v>
      </c>
      <c r="E42" s="59">
        <f>E44</f>
        <v>0</v>
      </c>
      <c r="F42" s="59"/>
      <c r="G42" s="59">
        <f>G44</f>
        <v>0</v>
      </c>
      <c r="H42" s="59">
        <f>H44</f>
        <v>0</v>
      </c>
      <c r="I42" s="59">
        <f>SUM(K42:N42)</f>
        <v>0</v>
      </c>
      <c r="J42" s="59"/>
      <c r="K42" s="59">
        <v>0</v>
      </c>
      <c r="L42" s="59">
        <v>0</v>
      </c>
      <c r="M42" s="59">
        <v>0</v>
      </c>
      <c r="N42" s="59">
        <v>0</v>
      </c>
      <c r="O42" s="59"/>
      <c r="P42" s="59"/>
      <c r="Q42" s="59">
        <v>0</v>
      </c>
      <c r="R42" s="59">
        <v>0</v>
      </c>
      <c r="S42" s="59">
        <f t="shared" si="5"/>
        <v>0</v>
      </c>
      <c r="T42" s="59">
        <f>T44</f>
        <v>0</v>
      </c>
      <c r="U42" s="59">
        <v>0</v>
      </c>
      <c r="V42" s="59">
        <f>V44</f>
        <v>0</v>
      </c>
      <c r="W42" s="566"/>
      <c r="AA42" s="137">
        <f>'ПФХД 2019 с разбивкой '!E42</f>
        <v>0</v>
      </c>
      <c r="AB42" s="135">
        <f t="shared" si="2"/>
        <v>0</v>
      </c>
    </row>
    <row r="43" spans="1:28" s="115" customFormat="1" ht="15.75" x14ac:dyDescent="0.25">
      <c r="A43" s="130" t="s">
        <v>92</v>
      </c>
      <c r="B43" s="1387"/>
      <c r="C43" s="138"/>
      <c r="D43" s="59"/>
      <c r="E43" s="59"/>
      <c r="F43" s="59"/>
      <c r="G43" s="59"/>
      <c r="H43" s="59"/>
      <c r="I43" s="59"/>
      <c r="J43" s="59"/>
      <c r="K43" s="59"/>
      <c r="L43" s="59"/>
      <c r="M43" s="59"/>
      <c r="N43" s="59"/>
      <c r="O43" s="59"/>
      <c r="P43" s="59"/>
      <c r="Q43" s="59"/>
      <c r="R43" s="59"/>
      <c r="S43" s="59">
        <f t="shared" si="5"/>
        <v>0</v>
      </c>
      <c r="T43" s="59"/>
      <c r="U43" s="59"/>
      <c r="V43" s="59"/>
      <c r="W43" s="566"/>
      <c r="AA43" s="137">
        <f>'ПФХД 2019 с разбивкой '!E43</f>
        <v>0</v>
      </c>
      <c r="AB43" s="135">
        <f t="shared" si="2"/>
        <v>0</v>
      </c>
    </row>
    <row r="44" spans="1:28" s="115" customFormat="1" ht="15.75" x14ac:dyDescent="0.25">
      <c r="A44" s="139"/>
      <c r="B44" s="1387"/>
      <c r="C44" s="138"/>
      <c r="D44" s="59"/>
      <c r="E44" s="59"/>
      <c r="F44" s="59"/>
      <c r="G44" s="59"/>
      <c r="H44" s="59"/>
      <c r="I44" s="59"/>
      <c r="J44" s="59"/>
      <c r="K44" s="59"/>
      <c r="L44" s="59"/>
      <c r="M44" s="59"/>
      <c r="N44" s="59"/>
      <c r="O44" s="59"/>
      <c r="P44" s="59"/>
      <c r="Q44" s="59"/>
      <c r="R44" s="59"/>
      <c r="S44" s="59">
        <f t="shared" si="5"/>
        <v>0</v>
      </c>
      <c r="T44" s="59"/>
      <c r="U44" s="59"/>
      <c r="V44" s="59"/>
      <c r="W44" s="566"/>
      <c r="AA44" s="137">
        <f>'ПФХД 2019 с разбивкой '!E44</f>
        <v>0</v>
      </c>
      <c r="AB44" s="135">
        <f t="shared" si="2"/>
        <v>0</v>
      </c>
    </row>
    <row r="45" spans="1:28" s="115" customFormat="1" ht="31.5" x14ac:dyDescent="0.25">
      <c r="A45" s="130" t="s">
        <v>176</v>
      </c>
      <c r="B45" s="1383">
        <v>260</v>
      </c>
      <c r="C45" s="114">
        <v>240</v>
      </c>
      <c r="D45" s="59">
        <f>E45+I45+R45+S45</f>
        <v>2861289793.0397735</v>
      </c>
      <c r="E45" s="59">
        <f>E47+E48+E49+E50+E51+E55+E59+E61+E63+E66</f>
        <v>46655720.774773806</v>
      </c>
      <c r="F45" s="59">
        <f>F47+F48+F49+F50+F51+F55+F59+F61</f>
        <v>0</v>
      </c>
      <c r="G45" s="59">
        <f>G47+G48+G49+G50+G51+G55+G59+G63+G66+G61</f>
        <v>29172987.354773812</v>
      </c>
      <c r="H45" s="59">
        <f>H47+H48+H49+H50+H51+H55+H59+H63+H66</f>
        <v>17482733.420000002</v>
      </c>
      <c r="I45" s="59">
        <f>I47+I48+I49+I50+I51+I55+I59+I63+I66+I52+I56+I62</f>
        <v>2636473664.7599998</v>
      </c>
      <c r="J45" s="59">
        <f>J47+J48+J49+J50+J51+J55+J59+J63+J66+J52+J56+J62</f>
        <v>388193676.14999998</v>
      </c>
      <c r="K45" s="59">
        <f>K47+K48+K49+K50+K51+K55+K59+K63+K66+K52+K56</f>
        <v>2222708150.4000001</v>
      </c>
      <c r="L45" s="59">
        <f>L47+L48+L49+L50+L51+L55+L59+L61</f>
        <v>0</v>
      </c>
      <c r="M45" s="59">
        <f>M47+M48+M49+M50+M51+M55+M59+M63+M66+M52+M56</f>
        <v>11003632.780000001</v>
      </c>
      <c r="N45" s="59">
        <f>N47+N48+N49+N50+N51+N55+N59+N63+N66+N52+N56</f>
        <v>6222834.2999999998</v>
      </c>
      <c r="O45" s="59">
        <f t="shared" ref="O45:P45" si="10">O47+O48+O49+O50+O51+O55+O59+O63+O66+O52+O56</f>
        <v>0</v>
      </c>
      <c r="P45" s="59">
        <f t="shared" si="10"/>
        <v>8345371.1299999999</v>
      </c>
      <c r="Q45" s="59">
        <f>Q47+Q48+Q49+Q50+Q51+Q52+Q56+Q61</f>
        <v>0</v>
      </c>
      <c r="R45" s="59">
        <f>R47+R48+R49+R50+R51+R55+R59+R63+R66+R52+R56</f>
        <v>50000</v>
      </c>
      <c r="S45" s="59">
        <f>S47+S48+S49+S50+S51+S55+S59+S63+S66+S52+S56+S61</f>
        <v>178110407.505</v>
      </c>
      <c r="T45" s="59">
        <f>T47+T48+T49+T50+T51+T55+T59+T63+T66+T52+T56+T61</f>
        <v>155373348.77500001</v>
      </c>
      <c r="U45" s="59">
        <f>U47+U48+U49+U50+U51+U55+U59+U63+U66+U52+U56+U61</f>
        <v>22737058.73</v>
      </c>
      <c r="V45" s="59">
        <f>V47+V48+V49+V50+V51+V52+V56+V61</f>
        <v>0</v>
      </c>
      <c r="W45" s="566"/>
      <c r="AA45" s="137">
        <f>'ПФХД 2019 с разбивкой '!E45</f>
        <v>2866048940.0349998</v>
      </c>
      <c r="AB45" s="135">
        <f t="shared" si="2"/>
        <v>4759146.9952263832</v>
      </c>
    </row>
    <row r="46" spans="1:28" ht="15.75" x14ac:dyDescent="0.25">
      <c r="A46" s="132" t="s">
        <v>92</v>
      </c>
      <c r="B46" s="1383"/>
      <c r="C46" s="134"/>
      <c r="D46" s="64"/>
      <c r="E46" s="64"/>
      <c r="F46" s="64"/>
      <c r="G46" s="64"/>
      <c r="H46" s="64"/>
      <c r="I46" s="64"/>
      <c r="J46" s="64"/>
      <c r="K46" s="64"/>
      <c r="L46" s="64"/>
      <c r="M46" s="64"/>
      <c r="N46" s="64"/>
      <c r="O46" s="64"/>
      <c r="P46" s="64"/>
      <c r="Q46" s="64"/>
      <c r="R46" s="64"/>
      <c r="S46" s="59">
        <f t="shared" si="5"/>
        <v>0</v>
      </c>
      <c r="T46" s="64"/>
      <c r="U46" s="64"/>
      <c r="V46" s="64"/>
      <c r="W46" s="461"/>
      <c r="X46" s="121" t="s">
        <v>237</v>
      </c>
      <c r="Y46" s="121" t="s">
        <v>197</v>
      </c>
      <c r="AA46" s="137">
        <f>'ПФХД 2019 с разбивкой '!E46</f>
        <v>0</v>
      </c>
      <c r="AB46" s="135">
        <f t="shared" si="2"/>
        <v>0</v>
      </c>
    </row>
    <row r="47" spans="1:28" ht="31.5" x14ac:dyDescent="0.25">
      <c r="A47" s="132" t="s">
        <v>177</v>
      </c>
      <c r="B47" s="132"/>
      <c r="C47" s="555">
        <v>241</v>
      </c>
      <c r="D47" s="64"/>
      <c r="E47" s="64"/>
      <c r="F47" s="64"/>
      <c r="G47" s="64"/>
      <c r="H47" s="64"/>
      <c r="I47" s="64"/>
      <c r="J47" s="64"/>
      <c r="K47" s="64"/>
      <c r="L47" s="64"/>
      <c r="M47" s="64"/>
      <c r="N47" s="64"/>
      <c r="O47" s="64"/>
      <c r="P47" s="64"/>
      <c r="Q47" s="64"/>
      <c r="R47" s="64"/>
      <c r="S47" s="59">
        <f t="shared" si="5"/>
        <v>0</v>
      </c>
      <c r="T47" s="64"/>
      <c r="U47" s="64"/>
      <c r="V47" s="64"/>
      <c r="W47" s="461"/>
      <c r="X47" s="141"/>
      <c r="Y47" s="122">
        <v>25000</v>
      </c>
      <c r="Z47" s="117" t="s">
        <v>234</v>
      </c>
      <c r="AA47" s="137">
        <f>'ПФХД 2019 с разбивкой '!E47</f>
        <v>0</v>
      </c>
      <c r="AB47" s="135">
        <f t="shared" si="2"/>
        <v>0</v>
      </c>
    </row>
    <row r="48" spans="1:28" ht="15.75" customHeight="1" x14ac:dyDescent="0.25">
      <c r="A48" s="132" t="s">
        <v>178</v>
      </c>
      <c r="B48" s="132"/>
      <c r="C48" s="555">
        <v>244</v>
      </c>
      <c r="D48" s="460">
        <f>E48+I48+R48+S48</f>
        <v>2346958.62</v>
      </c>
      <c r="E48" s="64">
        <f>F48+G48+H48</f>
        <v>935479.38</v>
      </c>
      <c r="F48" s="64"/>
      <c r="G48" s="64">
        <f>'ПФХД 2019 с разбивкой '!L48</f>
        <v>717269.39</v>
      </c>
      <c r="H48" s="64">
        <f>'ПФХД 2019 с разбивкой '!O48</f>
        <v>218209.99</v>
      </c>
      <c r="I48" s="64">
        <f>J48+K48+L48+M48+N48+O48+P48</f>
        <v>255973.67</v>
      </c>
      <c r="J48" s="64">
        <f>'ПФХД 2019 с разбивкой '!T48</f>
        <v>0</v>
      </c>
      <c r="K48" s="64"/>
      <c r="L48" s="64"/>
      <c r="M48" s="64">
        <f>'ПФХД 2019 с разбивкой '!X48</f>
        <v>210973.67</v>
      </c>
      <c r="N48" s="64">
        <f>'ПФХД 2019 с разбивкой '!AB48</f>
        <v>45000</v>
      </c>
      <c r="O48" s="64"/>
      <c r="P48" s="64"/>
      <c r="Q48" s="64"/>
      <c r="R48" s="64"/>
      <c r="S48" s="64">
        <f t="shared" si="5"/>
        <v>1155505.57</v>
      </c>
      <c r="T48" s="64">
        <f>'ПФХД 2019 с разбивкой '!AP48</f>
        <v>889902.56</v>
      </c>
      <c r="U48" s="64">
        <f>'ПФХД 2019 с разбивкой '!AS48</f>
        <v>265603.01</v>
      </c>
      <c r="V48" s="64"/>
      <c r="W48" s="461"/>
      <c r="X48" s="122">
        <v>269900</v>
      </c>
      <c r="Y48" s="122">
        <f>-269900</f>
        <v>-269900</v>
      </c>
      <c r="Z48" s="117" t="s">
        <v>179</v>
      </c>
      <c r="AA48" s="137">
        <f>'ПФХД 2019 с разбивкой '!E48</f>
        <v>2406359.8600000003</v>
      </c>
      <c r="AB48" s="135">
        <f t="shared" si="2"/>
        <v>59401.240000000224</v>
      </c>
    </row>
    <row r="49" spans="1:28" ht="19.5" customHeight="1" x14ac:dyDescent="0.25">
      <c r="A49" s="132" t="s">
        <v>179</v>
      </c>
      <c r="B49" s="132"/>
      <c r="C49" s="555">
        <v>244</v>
      </c>
      <c r="D49" s="64">
        <f>E49+I49+Q49+R49+S49</f>
        <v>161040</v>
      </c>
      <c r="E49" s="64"/>
      <c r="F49" s="64"/>
      <c r="G49" s="64"/>
      <c r="H49" s="64"/>
      <c r="I49" s="64">
        <f t="shared" ref="I49:I51" si="11">SUM(J49:N49)</f>
        <v>0</v>
      </c>
      <c r="J49" s="64"/>
      <c r="K49" s="64"/>
      <c r="L49" s="64"/>
      <c r="M49" s="64"/>
      <c r="N49" s="64"/>
      <c r="O49" s="64"/>
      <c r="P49" s="64"/>
      <c r="Q49" s="64"/>
      <c r="R49" s="64"/>
      <c r="S49" s="64">
        <f>T49+U49</f>
        <v>161040</v>
      </c>
      <c r="T49" s="64">
        <f>'ПФХД 2019 с разбивкой '!AP49</f>
        <v>111040</v>
      </c>
      <c r="U49" s="64">
        <f>'ПФХД 2019 с разбивкой '!AS49</f>
        <v>50000</v>
      </c>
      <c r="V49" s="64"/>
      <c r="W49" s="461"/>
      <c r="X49" s="111">
        <v>50000</v>
      </c>
      <c r="Y49" s="111">
        <v>845833.33</v>
      </c>
      <c r="Z49" s="117" t="s">
        <v>242</v>
      </c>
      <c r="AA49" s="137">
        <f>'ПФХД 2019 с разбивкой '!E49</f>
        <v>161040</v>
      </c>
      <c r="AB49" s="135">
        <f t="shared" si="2"/>
        <v>0</v>
      </c>
    </row>
    <row r="50" spans="1:28" ht="16.5" customHeight="1" x14ac:dyDescent="0.25">
      <c r="A50" s="132" t="s">
        <v>180</v>
      </c>
      <c r="B50" s="132"/>
      <c r="C50" s="555">
        <v>244</v>
      </c>
      <c r="D50" s="64">
        <f>E50+I50+R50+S50</f>
        <v>42550501.969999999</v>
      </c>
      <c r="E50" s="64">
        <f>F50+G50+H50</f>
        <v>11180271.91</v>
      </c>
      <c r="F50" s="64"/>
      <c r="G50" s="64">
        <f>'ПФХД 2019 с разбивкой '!L50</f>
        <v>7064216.5199999996</v>
      </c>
      <c r="H50" s="64">
        <f>'ПФХД 2019 с разбивкой '!O50</f>
        <v>4116055.39</v>
      </c>
      <c r="I50" s="64">
        <f>J50+K50+L50+M50+N50+O50+P50</f>
        <v>10121507.76</v>
      </c>
      <c r="J50" s="64">
        <f>'ПФХД 2019 с разбивкой '!T50</f>
        <v>0</v>
      </c>
      <c r="K50" s="64"/>
      <c r="L50" s="64"/>
      <c r="M50" s="64">
        <f>'ПФХД 2019 с разбивкой '!X50</f>
        <v>2604490.63</v>
      </c>
      <c r="N50" s="64">
        <f>'ПФХД 2019 с разбивкой '!AB50</f>
        <v>1571646</v>
      </c>
      <c r="O50" s="64"/>
      <c r="P50" s="64">
        <f>'ПФХД 2019 с разбивкой '!AH50</f>
        <v>5945371.1299999999</v>
      </c>
      <c r="Q50" s="64"/>
      <c r="R50" s="64"/>
      <c r="S50" s="64">
        <f t="shared" si="5"/>
        <v>21248722.300000001</v>
      </c>
      <c r="T50" s="64">
        <f>'ПФХД 2019 с разбивкой '!AP50</f>
        <v>19267792.300000001</v>
      </c>
      <c r="U50" s="64">
        <f>'ПФХД 2019 с разбивкой '!AS50</f>
        <v>1980930</v>
      </c>
      <c r="V50" s="64"/>
      <c r="W50" s="461"/>
      <c r="X50" s="122">
        <f>-(X38+X48+X35)</f>
        <v>-2401129.66</v>
      </c>
      <c r="Z50" s="117" t="s">
        <v>180</v>
      </c>
      <c r="AA50" s="137">
        <f>'ПФХД 2019 с разбивкой '!E50</f>
        <v>43670973.980000004</v>
      </c>
      <c r="AB50" s="135">
        <f t="shared" si="2"/>
        <v>1120472.0100000054</v>
      </c>
    </row>
    <row r="51" spans="1:28" ht="15.75" x14ac:dyDescent="0.25">
      <c r="A51" s="132" t="s">
        <v>181</v>
      </c>
      <c r="B51" s="132"/>
      <c r="C51" s="555">
        <v>244</v>
      </c>
      <c r="D51" s="64"/>
      <c r="E51" s="64"/>
      <c r="F51" s="64"/>
      <c r="G51" s="64"/>
      <c r="H51" s="64"/>
      <c r="I51" s="64">
        <f t="shared" si="11"/>
        <v>0</v>
      </c>
      <c r="J51" s="64"/>
      <c r="K51" s="64"/>
      <c r="L51" s="64"/>
      <c r="M51" s="64"/>
      <c r="N51" s="64"/>
      <c r="O51" s="64"/>
      <c r="P51" s="64"/>
      <c r="Q51" s="64"/>
      <c r="R51" s="64"/>
      <c r="S51" s="64">
        <f>T51+U51</f>
        <v>0</v>
      </c>
      <c r="T51" s="64"/>
      <c r="U51" s="64"/>
      <c r="V51" s="64"/>
      <c r="W51" s="461"/>
      <c r="X51" s="111">
        <v>23168167.190000001</v>
      </c>
      <c r="Y51" s="111">
        <v>2186471.81</v>
      </c>
      <c r="Z51" s="117" t="s">
        <v>243</v>
      </c>
      <c r="AA51" s="137">
        <f>'ПФХД 2019 с разбивкой '!E51</f>
        <v>0</v>
      </c>
      <c r="AB51" s="135">
        <f t="shared" si="2"/>
        <v>0</v>
      </c>
    </row>
    <row r="52" spans="1:28" ht="15.75" x14ac:dyDescent="0.25">
      <c r="A52" s="1384" t="s">
        <v>182</v>
      </c>
      <c r="B52" s="563"/>
      <c r="C52" s="1383">
        <v>243</v>
      </c>
      <c r="D52" s="64">
        <f>E52+I52+R52+S52</f>
        <v>1253015908.2</v>
      </c>
      <c r="E52" s="64">
        <f t="shared" ref="E52:E58" si="12">F52+G52+H52</f>
        <v>0</v>
      </c>
      <c r="F52" s="122"/>
      <c r="G52" s="122"/>
      <c r="H52" s="122"/>
      <c r="I52" s="64">
        <f t="shared" ref="I52:I59" si="13">J52+K52+L52+M52+N52+O52+P52</f>
        <v>1253015908.2</v>
      </c>
      <c r="J52" s="64">
        <f>'ПФХД 2019 с разбивкой '!T52</f>
        <v>146375908.19999999</v>
      </c>
      <c r="K52" s="64">
        <f>'ПФХД 2019 с разбивкой '!V52</f>
        <v>1106640000</v>
      </c>
      <c r="L52" s="64"/>
      <c r="M52" s="64"/>
      <c r="N52" s="64"/>
      <c r="O52" s="64"/>
      <c r="P52" s="64"/>
      <c r="Q52" s="64"/>
      <c r="R52" s="122"/>
      <c r="S52" s="64">
        <f>T52+U52</f>
        <v>0</v>
      </c>
      <c r="T52" s="122"/>
      <c r="U52" s="122"/>
      <c r="V52" s="64"/>
      <c r="W52" s="461"/>
      <c r="X52" s="111">
        <f>S50-X51</f>
        <v>-1919444.8900000006</v>
      </c>
      <c r="AA52" s="137">
        <f>'ПФХД 2019 с разбивкой '!E52</f>
        <v>1253015908.2</v>
      </c>
      <c r="AB52" s="135">
        <f t="shared" si="2"/>
        <v>0</v>
      </c>
    </row>
    <row r="53" spans="1:28" s="145" customFormat="1" ht="19.5" hidden="1" customHeight="1" x14ac:dyDescent="0.25">
      <c r="A53" s="1384"/>
      <c r="B53" s="564"/>
      <c r="C53" s="1383"/>
      <c r="D53" s="144">
        <f t="shared" ref="D53:D60" si="14">E53+I53+R53+S53</f>
        <v>0</v>
      </c>
      <c r="E53" s="64">
        <f t="shared" si="12"/>
        <v>0</v>
      </c>
      <c r="F53" s="270"/>
      <c r="G53" s="270"/>
      <c r="H53" s="270"/>
      <c r="I53" s="64">
        <f t="shared" si="13"/>
        <v>0</v>
      </c>
      <c r="J53" s="144"/>
      <c r="K53" s="144"/>
      <c r="L53" s="144"/>
      <c r="M53" s="144"/>
      <c r="N53" s="144"/>
      <c r="O53" s="144"/>
      <c r="P53" s="144"/>
      <c r="Q53" s="144"/>
      <c r="R53" s="270"/>
      <c r="S53" s="64">
        <f t="shared" si="5"/>
        <v>0</v>
      </c>
      <c r="T53" s="270"/>
      <c r="U53" s="270"/>
      <c r="V53" s="144"/>
      <c r="W53" s="567"/>
      <c r="AA53" s="137">
        <f>'ПФХД 2019 с разбивкой '!E53</f>
        <v>0</v>
      </c>
      <c r="AB53" s="135">
        <f t="shared" si="2"/>
        <v>0</v>
      </c>
    </row>
    <row r="54" spans="1:28" s="145" customFormat="1" ht="19.5" hidden="1" customHeight="1" x14ac:dyDescent="0.25">
      <c r="A54" s="1384"/>
      <c r="B54" s="564"/>
      <c r="C54" s="1383"/>
      <c r="D54" s="144">
        <f t="shared" si="14"/>
        <v>0</v>
      </c>
      <c r="E54" s="64">
        <f t="shared" si="12"/>
        <v>0</v>
      </c>
      <c r="F54" s="270"/>
      <c r="G54" s="270"/>
      <c r="H54" s="270"/>
      <c r="I54" s="64">
        <f t="shared" si="13"/>
        <v>0</v>
      </c>
      <c r="J54" s="144"/>
      <c r="K54" s="144"/>
      <c r="L54" s="144"/>
      <c r="M54" s="144"/>
      <c r="N54" s="144"/>
      <c r="O54" s="144"/>
      <c r="P54" s="144"/>
      <c r="Q54" s="144"/>
      <c r="R54" s="270"/>
      <c r="S54" s="64">
        <f t="shared" si="5"/>
        <v>0</v>
      </c>
      <c r="T54" s="270"/>
      <c r="U54" s="270"/>
      <c r="V54" s="144"/>
      <c r="W54" s="567"/>
      <c r="X54" s="111"/>
      <c r="Y54" s="146"/>
      <c r="Z54" s="117" t="s">
        <v>239</v>
      </c>
      <c r="AA54" s="137">
        <f>'ПФХД 2019 с разбивкой '!E54</f>
        <v>0</v>
      </c>
      <c r="AB54" s="135">
        <f t="shared" si="2"/>
        <v>0</v>
      </c>
    </row>
    <row r="55" spans="1:28" ht="19.5" customHeight="1" x14ac:dyDescent="0.25">
      <c r="A55" s="1384"/>
      <c r="B55" s="565"/>
      <c r="C55" s="555">
        <v>244</v>
      </c>
      <c r="D55" s="64">
        <f>E55+I55+R55+S55</f>
        <v>92279394.699999988</v>
      </c>
      <c r="E55" s="64">
        <f t="shared" si="12"/>
        <v>6515818.2999999998</v>
      </c>
      <c r="F55" s="64"/>
      <c r="G55" s="64">
        <f>'ПФХД 2019 с разбивкой '!L55</f>
        <v>3934762.54</v>
      </c>
      <c r="H55" s="64">
        <f>'ПФХД 2019 с разбивкой '!O55</f>
        <v>2581055.7599999998</v>
      </c>
      <c r="I55" s="64">
        <f t="shared" si="13"/>
        <v>43318576.129999995</v>
      </c>
      <c r="J55" s="64">
        <f>'ПФХД 2019 с разбивкой '!T55</f>
        <v>429259.19</v>
      </c>
      <c r="K55" s="64">
        <f>'ПФХД 2019 с разбивкой '!V55</f>
        <v>37823250.399999999</v>
      </c>
      <c r="L55" s="64"/>
      <c r="M55" s="64">
        <f>'ПФХД 2019 с разбивкой '!X55</f>
        <v>978752.37</v>
      </c>
      <c r="N55" s="64">
        <f>'ПФХД 2019 с разбивкой '!AB55</f>
        <v>1687314.17</v>
      </c>
      <c r="O55" s="64"/>
      <c r="P55" s="64">
        <f>'ПФХД 2019 с разбивкой '!AH55</f>
        <v>2400000</v>
      </c>
      <c r="Q55" s="64"/>
      <c r="R55" s="64"/>
      <c r="S55" s="64">
        <f t="shared" si="5"/>
        <v>42445000.269999996</v>
      </c>
      <c r="T55" s="64">
        <f>'ПФХД 2019 с разбивкой '!AP55</f>
        <v>38155862.189999998</v>
      </c>
      <c r="U55" s="64">
        <f>'ПФХД 2019 с разбивкой '!AS55</f>
        <v>4289138.08</v>
      </c>
      <c r="V55" s="64"/>
      <c r="W55" s="461"/>
      <c r="X55" s="111">
        <v>11260837.890000001</v>
      </c>
      <c r="Y55" s="111">
        <v>2931349.03</v>
      </c>
      <c r="Z55" s="117" t="s">
        <v>238</v>
      </c>
      <c r="AA55" s="137">
        <f>'ПФХД 2019 с разбивкой '!E55</f>
        <v>92982009.11999999</v>
      </c>
      <c r="AB55" s="135">
        <f t="shared" si="2"/>
        <v>702614.42000000179</v>
      </c>
    </row>
    <row r="56" spans="1:28" ht="19.5" customHeight="1" x14ac:dyDescent="0.25">
      <c r="A56" s="1384" t="s">
        <v>183</v>
      </c>
      <c r="B56" s="564"/>
      <c r="C56" s="1383">
        <v>243</v>
      </c>
      <c r="D56" s="64">
        <f>E56+I56+R56+S56</f>
        <v>115847257.70999999</v>
      </c>
      <c r="E56" s="64">
        <f t="shared" si="12"/>
        <v>0</v>
      </c>
      <c r="F56" s="122"/>
      <c r="G56" s="122"/>
      <c r="H56" s="122"/>
      <c r="I56" s="64">
        <f t="shared" si="13"/>
        <v>115847257.70999999</v>
      </c>
      <c r="J56" s="64">
        <f>'ПФХД 2019 с разбивкой '!T56</f>
        <v>4389110</v>
      </c>
      <c r="K56" s="64">
        <f>'ПФХД 2019 с разбивкой '!V56</f>
        <v>111458147.70999999</v>
      </c>
      <c r="L56" s="64"/>
      <c r="M56" s="64"/>
      <c r="N56" s="64"/>
      <c r="O56" s="64"/>
      <c r="P56" s="64"/>
      <c r="Q56" s="64"/>
      <c r="R56" s="122"/>
      <c r="S56" s="64">
        <f t="shared" si="5"/>
        <v>0</v>
      </c>
      <c r="T56" s="122"/>
      <c r="U56" s="122"/>
      <c r="V56" s="64"/>
      <c r="W56" s="461"/>
      <c r="AA56" s="137">
        <f>'ПФХД 2019 с разбивкой '!E56</f>
        <v>115847257.70999999</v>
      </c>
      <c r="AB56" s="135">
        <f t="shared" si="2"/>
        <v>0</v>
      </c>
    </row>
    <row r="57" spans="1:28" s="145" customFormat="1" ht="15.75" hidden="1" x14ac:dyDescent="0.25">
      <c r="A57" s="1384"/>
      <c r="B57" s="563"/>
      <c r="C57" s="1383"/>
      <c r="D57" s="144" t="e">
        <f t="shared" si="14"/>
        <v>#REF!</v>
      </c>
      <c r="E57" s="64">
        <f t="shared" si="12"/>
        <v>0</v>
      </c>
      <c r="F57" s="270"/>
      <c r="G57" s="270"/>
      <c r="H57" s="270"/>
      <c r="I57" s="64" t="e">
        <f t="shared" si="13"/>
        <v>#REF!</v>
      </c>
      <c r="J57" s="144"/>
      <c r="K57" s="144" t="e">
        <f>#REF!</f>
        <v>#REF!</v>
      </c>
      <c r="L57" s="144"/>
      <c r="M57" s="144"/>
      <c r="N57" s="144"/>
      <c r="O57" s="144"/>
      <c r="P57" s="144"/>
      <c r="Q57" s="144"/>
      <c r="R57" s="270"/>
      <c r="S57" s="64">
        <f t="shared" si="5"/>
        <v>0</v>
      </c>
      <c r="T57" s="270"/>
      <c r="U57" s="270"/>
      <c r="V57" s="144"/>
      <c r="W57" s="567"/>
      <c r="AA57" s="137">
        <f>'ПФХД 2019 с разбивкой '!E57</f>
        <v>0</v>
      </c>
      <c r="AB57" s="135" t="e">
        <f t="shared" si="2"/>
        <v>#REF!</v>
      </c>
    </row>
    <row r="58" spans="1:28" s="145" customFormat="1" ht="33.75" hidden="1" customHeight="1" x14ac:dyDescent="0.25">
      <c r="A58" s="1384"/>
      <c r="B58" s="563"/>
      <c r="C58" s="1383"/>
      <c r="D58" s="144" t="e">
        <f t="shared" si="14"/>
        <v>#REF!</v>
      </c>
      <c r="E58" s="64">
        <f t="shared" si="12"/>
        <v>0</v>
      </c>
      <c r="F58" s="270"/>
      <c r="G58" s="270"/>
      <c r="H58" s="270"/>
      <c r="I58" s="64" t="e">
        <f t="shared" si="13"/>
        <v>#REF!</v>
      </c>
      <c r="J58" s="144"/>
      <c r="K58" s="144" t="e">
        <f>#REF!</f>
        <v>#REF!</v>
      </c>
      <c r="L58" s="144"/>
      <c r="M58" s="144"/>
      <c r="N58" s="144"/>
      <c r="O58" s="144"/>
      <c r="P58" s="144"/>
      <c r="Q58" s="144"/>
      <c r="R58" s="270"/>
      <c r="S58" s="64">
        <f t="shared" si="5"/>
        <v>0</v>
      </c>
      <c r="T58" s="270"/>
      <c r="U58" s="270"/>
      <c r="V58" s="144"/>
      <c r="W58" s="567"/>
      <c r="AA58" s="137">
        <f>'ПФХД 2019 с разбивкой '!E58</f>
        <v>0</v>
      </c>
      <c r="AB58" s="135" t="e">
        <f t="shared" si="2"/>
        <v>#REF!</v>
      </c>
    </row>
    <row r="59" spans="1:28" ht="19.5" customHeight="1" x14ac:dyDescent="0.25">
      <c r="A59" s="1384"/>
      <c r="B59" s="132"/>
      <c r="C59" s="555">
        <v>244</v>
      </c>
      <c r="D59" s="64">
        <f>E59+I59+R59+S59</f>
        <v>865097359.02999997</v>
      </c>
      <c r="E59" s="64">
        <f>F59+G59+H59</f>
        <v>3819615.4699999997</v>
      </c>
      <c r="F59" s="64"/>
      <c r="G59" s="64">
        <f>'ПФХД 2019 с разбивкой '!L59</f>
        <v>2389277.44</v>
      </c>
      <c r="H59" s="64">
        <f>'ПФХД 2019 с разбивкой '!O59</f>
        <v>1430338.03</v>
      </c>
      <c r="I59" s="64">
        <f t="shared" si="13"/>
        <v>841838424.32999992</v>
      </c>
      <c r="J59" s="64">
        <f>'ПФХД 2019 с разбивкой '!T59</f>
        <v>143149690.38999999</v>
      </c>
      <c r="K59" s="64">
        <f>'ПФХД 2019 с разбивкой '!V59</f>
        <v>697897552.28999996</v>
      </c>
      <c r="L59" s="64"/>
      <c r="M59" s="64">
        <f>'ПФХД 2019 с разбивкой '!X59</f>
        <v>733581.65</v>
      </c>
      <c r="N59" s="64">
        <f>'ПФХД 2019 с разбивкой '!AB59</f>
        <v>57600</v>
      </c>
      <c r="O59" s="64"/>
      <c r="P59" s="64"/>
      <c r="Q59" s="64"/>
      <c r="R59" s="64">
        <f>'ПФХД 2019 с разбивкой '!AK59</f>
        <v>50000</v>
      </c>
      <c r="S59" s="64">
        <f t="shared" si="5"/>
        <v>19389319.23</v>
      </c>
      <c r="T59" s="64">
        <f>'ПФХД 2019 с разбивкой '!AP59</f>
        <v>18130316.859999999</v>
      </c>
      <c r="U59" s="64">
        <f>'ПФХД 2019 с разбивкой '!AS59</f>
        <v>1259002.3700000001</v>
      </c>
      <c r="V59" s="64"/>
      <c r="W59" s="461"/>
      <c r="AA59" s="137">
        <f>'ПФХД 2019 с разбивкой '!E59</f>
        <v>865486725.5</v>
      </c>
      <c r="AB59" s="135">
        <f t="shared" si="2"/>
        <v>389366.47000002861</v>
      </c>
    </row>
    <row r="60" spans="1:28" ht="19.5" customHeight="1" x14ac:dyDescent="0.25">
      <c r="A60" s="1384" t="s">
        <v>184</v>
      </c>
      <c r="B60" s="132"/>
      <c r="C60" s="555">
        <v>243</v>
      </c>
      <c r="D60" s="64">
        <f t="shared" si="14"/>
        <v>0</v>
      </c>
      <c r="E60" s="64">
        <v>0</v>
      </c>
      <c r="F60" s="64"/>
      <c r="G60" s="64">
        <v>0</v>
      </c>
      <c r="H60" s="64">
        <v>0</v>
      </c>
      <c r="I60" s="64">
        <f t="shared" ref="I60:I67" si="15">SUM(K60:N60)</f>
        <v>0</v>
      </c>
      <c r="J60" s="64"/>
      <c r="K60" s="64">
        <v>0</v>
      </c>
      <c r="L60" s="64">
        <v>0</v>
      </c>
      <c r="M60" s="64">
        <v>0</v>
      </c>
      <c r="N60" s="64">
        <v>0</v>
      </c>
      <c r="O60" s="64"/>
      <c r="P60" s="64"/>
      <c r="Q60" s="64">
        <v>0</v>
      </c>
      <c r="R60" s="64">
        <v>0</v>
      </c>
      <c r="S60" s="64">
        <f t="shared" si="5"/>
        <v>0</v>
      </c>
      <c r="T60" s="64">
        <v>0</v>
      </c>
      <c r="U60" s="64">
        <v>0</v>
      </c>
      <c r="V60" s="64">
        <v>0</v>
      </c>
      <c r="W60" s="461"/>
      <c r="AA60" s="137">
        <f>'ПФХД 2019 с разбивкой '!E60</f>
        <v>0</v>
      </c>
      <c r="AB60" s="111">
        <f t="shared" si="2"/>
        <v>0</v>
      </c>
    </row>
    <row r="61" spans="1:28" ht="16.5" customHeight="1" x14ac:dyDescent="0.25">
      <c r="A61" s="1384"/>
      <c r="B61" s="132"/>
      <c r="C61" s="555">
        <v>244</v>
      </c>
      <c r="D61" s="64">
        <f>E61+I61+R61+S61</f>
        <v>1034</v>
      </c>
      <c r="E61" s="64">
        <f>F61+G61+H61</f>
        <v>1034</v>
      </c>
      <c r="F61" s="64">
        <f>SUM(F62:F66)</f>
        <v>0</v>
      </c>
      <c r="G61" s="64">
        <f>'ПФХД 2019 с разбивкой '!L61</f>
        <v>1034</v>
      </c>
      <c r="H61" s="64"/>
      <c r="I61" s="64"/>
      <c r="J61" s="64"/>
      <c r="K61" s="64"/>
      <c r="L61" s="64">
        <f>SUM(L62:L66)</f>
        <v>0</v>
      </c>
      <c r="M61" s="64"/>
      <c r="N61" s="64"/>
      <c r="O61" s="64"/>
      <c r="P61" s="64"/>
      <c r="Q61" s="64">
        <f t="shared" ref="Q61:V61" si="16">SUM(Q62:Q66)</f>
        <v>0</v>
      </c>
      <c r="R61" s="64">
        <f t="shared" si="16"/>
        <v>0</v>
      </c>
      <c r="S61" s="64">
        <f t="shared" si="5"/>
        <v>0</v>
      </c>
      <c r="T61" s="64"/>
      <c r="U61" s="64">
        <f>'ПФХД 2019 с разбивкой '!AS61</f>
        <v>0</v>
      </c>
      <c r="V61" s="64">
        <f t="shared" si="16"/>
        <v>0</v>
      </c>
      <c r="W61" s="461"/>
      <c r="X61" s="121" t="s">
        <v>237</v>
      </c>
      <c r="Y61" s="121" t="s">
        <v>197</v>
      </c>
      <c r="Z61" s="121" t="s">
        <v>197</v>
      </c>
      <c r="AA61" s="137">
        <f>'ПФХД 2019 с разбивкой '!E61</f>
        <v>1034</v>
      </c>
      <c r="AB61" s="111">
        <f t="shared" si="2"/>
        <v>0</v>
      </c>
    </row>
    <row r="62" spans="1:28" ht="15.75" x14ac:dyDescent="0.25">
      <c r="A62" s="1384" t="s">
        <v>185</v>
      </c>
      <c r="B62" s="1385"/>
      <c r="C62" s="555">
        <v>243</v>
      </c>
      <c r="D62" s="64">
        <f>E62+I62+R62+S62</f>
        <v>860103.18</v>
      </c>
      <c r="E62" s="64"/>
      <c r="F62" s="64"/>
      <c r="G62" s="64"/>
      <c r="H62" s="64"/>
      <c r="I62" s="64">
        <f>J62+K62+L62+M62+N62+O62+P62</f>
        <v>860103.18</v>
      </c>
      <c r="J62" s="64">
        <f>'ПФХД 2019 с разбивкой '!T62</f>
        <v>860103.18</v>
      </c>
      <c r="K62" s="64"/>
      <c r="L62" s="64"/>
      <c r="M62" s="64"/>
      <c r="N62" s="64"/>
      <c r="O62" s="64"/>
      <c r="P62" s="64"/>
      <c r="Q62" s="64"/>
      <c r="R62" s="64"/>
      <c r="S62" s="64">
        <f t="shared" si="5"/>
        <v>0</v>
      </c>
      <c r="T62" s="64"/>
      <c r="U62" s="64"/>
      <c r="V62" s="64"/>
      <c r="W62" s="461"/>
      <c r="X62" s="118"/>
      <c r="Y62" s="146">
        <v>2621361</v>
      </c>
      <c r="Z62" s="118"/>
      <c r="AA62" s="137">
        <f>'ПФХД 2019 с разбивкой '!E62</f>
        <v>860103.18</v>
      </c>
      <c r="AB62" s="135">
        <f t="shared" si="2"/>
        <v>0</v>
      </c>
    </row>
    <row r="63" spans="1:28" ht="15.75" x14ac:dyDescent="0.25">
      <c r="A63" s="1384"/>
      <c r="B63" s="1385"/>
      <c r="C63" s="555">
        <v>244</v>
      </c>
      <c r="D63" s="64">
        <f>E63+I63+R63+S63</f>
        <v>277118016.745</v>
      </c>
      <c r="E63" s="64">
        <f>F63+G63+H63</f>
        <v>2019992.7000000002</v>
      </c>
      <c r="F63" s="64"/>
      <c r="G63" s="64">
        <f>'ПФХД 2019 с разбивкой '!L63</f>
        <v>1247751.54</v>
      </c>
      <c r="H63" s="64">
        <f>'ПФХД 2019 с разбивкой '!O63</f>
        <v>772241.16</v>
      </c>
      <c r="I63" s="64">
        <f>J63+K63+L63+M63+N63+O63+P63</f>
        <v>272556358.69999999</v>
      </c>
      <c r="J63" s="64">
        <f>'ПФХД 2019 с разбивкой '!T63</f>
        <v>87456589.099999994</v>
      </c>
      <c r="K63" s="64">
        <f>'ПФХД 2019 с разбивкой '!V63</f>
        <v>184993501.38999999</v>
      </c>
      <c r="L63" s="64"/>
      <c r="M63" s="64">
        <f>'ПФХД 2019 с разбивкой '!X63</f>
        <v>106268.21</v>
      </c>
      <c r="N63" s="64"/>
      <c r="O63" s="64"/>
      <c r="P63" s="64"/>
      <c r="Q63" s="64"/>
      <c r="R63" s="64"/>
      <c r="S63" s="64">
        <f t="shared" si="5"/>
        <v>2541665.3450000002</v>
      </c>
      <c r="T63" s="64">
        <f>'ПФХД 2019 с разбивкой '!AP63</f>
        <v>1999999.9950000001</v>
      </c>
      <c r="U63" s="64">
        <f>'ПФХД 2019 с разбивкой '!AS63</f>
        <v>541665.35</v>
      </c>
      <c r="V63" s="64"/>
      <c r="W63" s="461"/>
      <c r="X63" s="111"/>
      <c r="Y63" s="111">
        <v>487564.3</v>
      </c>
      <c r="AA63" s="137">
        <f>'ПФХД 2019 с разбивкой '!E63</f>
        <v>277328236.04499996</v>
      </c>
      <c r="AB63" s="135">
        <f t="shared" si="2"/>
        <v>210219.29999995232</v>
      </c>
    </row>
    <row r="64" spans="1:28" ht="31.5" x14ac:dyDescent="0.25">
      <c r="A64" s="132" t="s">
        <v>186</v>
      </c>
      <c r="B64" s="556"/>
      <c r="C64" s="555">
        <v>244</v>
      </c>
      <c r="D64" s="64">
        <f>E64+I64+R64+S64</f>
        <v>0</v>
      </c>
      <c r="E64" s="64"/>
      <c r="F64" s="64"/>
      <c r="G64" s="64">
        <f>E64-H64</f>
        <v>0</v>
      </c>
      <c r="H64" s="64"/>
      <c r="I64" s="64">
        <f t="shared" si="15"/>
        <v>0</v>
      </c>
      <c r="J64" s="64"/>
      <c r="K64" s="64"/>
      <c r="L64" s="64"/>
      <c r="M64" s="64"/>
      <c r="N64" s="64"/>
      <c r="O64" s="64"/>
      <c r="P64" s="64"/>
      <c r="Q64" s="64"/>
      <c r="R64" s="64"/>
      <c r="S64" s="64">
        <f t="shared" si="5"/>
        <v>0</v>
      </c>
      <c r="T64" s="64"/>
      <c r="U64" s="64"/>
      <c r="V64" s="64"/>
      <c r="W64" s="461"/>
      <c r="X64" s="121" t="s">
        <v>237</v>
      </c>
      <c r="Y64" s="121" t="s">
        <v>197</v>
      </c>
      <c r="AA64" s="137">
        <f>'ПФХД 2019 с разбивкой '!E64</f>
        <v>0</v>
      </c>
      <c r="AB64" s="135">
        <f t="shared" si="2"/>
        <v>0</v>
      </c>
    </row>
    <row r="65" spans="1:28" ht="15.75" x14ac:dyDescent="0.25">
      <c r="A65" s="1384" t="s">
        <v>187</v>
      </c>
      <c r="B65" s="1385"/>
      <c r="C65" s="555">
        <v>243</v>
      </c>
      <c r="D65" s="64"/>
      <c r="E65" s="64"/>
      <c r="F65" s="64"/>
      <c r="G65" s="64">
        <f>E65-H65</f>
        <v>0</v>
      </c>
      <c r="H65" s="64"/>
      <c r="I65" s="64">
        <f t="shared" si="15"/>
        <v>0</v>
      </c>
      <c r="J65" s="64"/>
      <c r="K65" s="64"/>
      <c r="L65" s="64"/>
      <c r="M65" s="64"/>
      <c r="N65" s="64"/>
      <c r="O65" s="64"/>
      <c r="P65" s="64"/>
      <c r="Q65" s="64"/>
      <c r="R65" s="64"/>
      <c r="S65" s="64">
        <f t="shared" si="5"/>
        <v>0</v>
      </c>
      <c r="T65" s="64"/>
      <c r="U65" s="64"/>
      <c r="V65" s="64"/>
      <c r="W65" s="461"/>
      <c r="X65" s="118"/>
      <c r="Y65" s="146">
        <v>-260231.34</v>
      </c>
      <c r="AA65" s="137">
        <f>'ПФХД 2019 с разбивкой '!E65</f>
        <v>0</v>
      </c>
      <c r="AB65" s="135">
        <f t="shared" si="2"/>
        <v>0</v>
      </c>
    </row>
    <row r="66" spans="1:28" ht="15.75" x14ac:dyDescent="0.25">
      <c r="A66" s="1384"/>
      <c r="B66" s="1385"/>
      <c r="C66" s="555">
        <v>244</v>
      </c>
      <c r="D66" s="64">
        <f>E66+I66+R66+S66</f>
        <v>212012218.88477379</v>
      </c>
      <c r="E66" s="64">
        <f>F66+G66+H66</f>
        <v>22183509.014773808</v>
      </c>
      <c r="F66" s="64"/>
      <c r="G66" s="64">
        <f>'ПФХД 2019 с разбивкой '!L66+0.0047738105</f>
        <v>13818675.92477381</v>
      </c>
      <c r="H66" s="64">
        <f>'ПФХД 2019 с разбивкой '!O66</f>
        <v>8364833.0899999999</v>
      </c>
      <c r="I66" s="64">
        <f>J66+K66+L66+M66+N66+O66+P66</f>
        <v>98659555.079999998</v>
      </c>
      <c r="J66" s="64">
        <f>'ПФХД 2019 с разбивкой '!T66</f>
        <v>5533016.0899999999</v>
      </c>
      <c r="K66" s="64">
        <f>'ПФХД 2019 с разбивкой '!V66</f>
        <v>83895698.609999999</v>
      </c>
      <c r="L66" s="64"/>
      <c r="M66" s="64">
        <f>'ПФХД 2019 с разбивкой '!X66</f>
        <v>6369566.25</v>
      </c>
      <c r="N66" s="64">
        <f>'ПФХД 2019 с разбивкой '!AB66</f>
        <v>2861274.13</v>
      </c>
      <c r="O66" s="64"/>
      <c r="P66" s="64"/>
      <c r="Q66" s="64"/>
      <c r="R66" s="64"/>
      <c r="S66" s="64">
        <f t="shared" si="5"/>
        <v>91169154.790000007</v>
      </c>
      <c r="T66" s="64">
        <f>'ПФХД 2019 с разбивкой '!AP66</f>
        <v>76818434.870000005</v>
      </c>
      <c r="U66" s="64">
        <f>'ПФХД 2019 с разбивкой '!AS66</f>
        <v>14350719.92</v>
      </c>
      <c r="V66" s="64"/>
      <c r="W66" s="461"/>
      <c r="X66" s="111">
        <v>74638998.689999998</v>
      </c>
      <c r="Y66" s="111">
        <v>25190635.949999999</v>
      </c>
      <c r="AA66" s="137">
        <f>'ПФХД 2019 с разбивкой '!E66</f>
        <v>214289292.44</v>
      </c>
      <c r="AB66" s="135">
        <f t="shared" si="2"/>
        <v>2277073.5552262068</v>
      </c>
    </row>
    <row r="67" spans="1:28" s="115" customFormat="1" ht="21.75" customHeight="1" x14ac:dyDescent="0.25">
      <c r="A67" s="130" t="s">
        <v>188</v>
      </c>
      <c r="B67" s="557">
        <v>300</v>
      </c>
      <c r="C67" s="114" t="s">
        <v>149</v>
      </c>
      <c r="D67" s="59">
        <f>E67+I67+R67+S67</f>
        <v>0</v>
      </c>
      <c r="E67" s="59">
        <f>E69+E70</f>
        <v>0</v>
      </c>
      <c r="F67" s="59"/>
      <c r="G67" s="59">
        <f>G69+G70</f>
        <v>0</v>
      </c>
      <c r="H67" s="59">
        <f>H69+H70</f>
        <v>0</v>
      </c>
      <c r="I67" s="59">
        <f t="shared" si="15"/>
        <v>0</v>
      </c>
      <c r="J67" s="59"/>
      <c r="K67" s="59">
        <v>0</v>
      </c>
      <c r="L67" s="59">
        <v>0</v>
      </c>
      <c r="M67" s="59">
        <v>0</v>
      </c>
      <c r="N67" s="59">
        <v>0</v>
      </c>
      <c r="O67" s="59"/>
      <c r="P67" s="59"/>
      <c r="Q67" s="59">
        <f>Q69+Q70</f>
        <v>0</v>
      </c>
      <c r="R67" s="59">
        <f>SUM(R69:R70)</f>
        <v>0</v>
      </c>
      <c r="S67" s="64">
        <f t="shared" si="5"/>
        <v>0</v>
      </c>
      <c r="T67" s="59"/>
      <c r="U67" s="59"/>
      <c r="V67" s="59">
        <f>SUM(V69:V70)</f>
        <v>0</v>
      </c>
      <c r="W67" s="566"/>
      <c r="AA67" s="137">
        <f>'ПФХД 2019 с разбивкой '!E67</f>
        <v>0</v>
      </c>
      <c r="AB67" s="135">
        <f t="shared" si="2"/>
        <v>0</v>
      </c>
    </row>
    <row r="68" spans="1:28" ht="15.75" x14ac:dyDescent="0.25">
      <c r="A68" s="132" t="s">
        <v>92</v>
      </c>
      <c r="B68" s="133"/>
      <c r="C68" s="134"/>
      <c r="D68" s="64"/>
      <c r="E68" s="64"/>
      <c r="F68" s="64"/>
      <c r="G68" s="64"/>
      <c r="H68" s="64"/>
      <c r="I68" s="64"/>
      <c r="J68" s="64"/>
      <c r="K68" s="64"/>
      <c r="L68" s="64"/>
      <c r="M68" s="64"/>
      <c r="N68" s="64"/>
      <c r="O68" s="64"/>
      <c r="P68" s="64"/>
      <c r="Q68" s="64"/>
      <c r="R68" s="64"/>
      <c r="S68" s="59">
        <f t="shared" si="5"/>
        <v>0</v>
      </c>
      <c r="T68" s="64"/>
      <c r="U68" s="64"/>
      <c r="V68" s="64"/>
      <c r="W68" s="461"/>
      <c r="AA68" s="137">
        <f>'ПФХД 2019 с разбивкой '!E68</f>
        <v>0</v>
      </c>
      <c r="AB68" s="135">
        <f t="shared" si="2"/>
        <v>0</v>
      </c>
    </row>
    <row r="69" spans="1:28" ht="15.75" x14ac:dyDescent="0.25">
      <c r="A69" s="132" t="s">
        <v>189</v>
      </c>
      <c r="B69" s="556">
        <v>310</v>
      </c>
      <c r="C69" s="134"/>
      <c r="D69" s="64"/>
      <c r="E69" s="64"/>
      <c r="F69" s="64"/>
      <c r="G69" s="64"/>
      <c r="H69" s="64"/>
      <c r="I69" s="64"/>
      <c r="J69" s="64"/>
      <c r="K69" s="64"/>
      <c r="L69" s="64"/>
      <c r="M69" s="64"/>
      <c r="N69" s="64"/>
      <c r="O69" s="64"/>
      <c r="P69" s="64"/>
      <c r="Q69" s="64"/>
      <c r="R69" s="64"/>
      <c r="S69" s="59">
        <f t="shared" si="5"/>
        <v>0</v>
      </c>
      <c r="T69" s="64"/>
      <c r="U69" s="64"/>
      <c r="V69" s="64"/>
      <c r="W69" s="461"/>
      <c r="AA69" s="137">
        <f>'ПФХД 2019 с разбивкой '!E69</f>
        <v>0</v>
      </c>
      <c r="AB69" s="135">
        <f t="shared" si="2"/>
        <v>0</v>
      </c>
    </row>
    <row r="70" spans="1:28" ht="15.75" x14ac:dyDescent="0.25">
      <c r="A70" s="132" t="s">
        <v>190</v>
      </c>
      <c r="B70" s="556">
        <v>320</v>
      </c>
      <c r="C70" s="134"/>
      <c r="D70" s="64"/>
      <c r="E70" s="64"/>
      <c r="F70" s="64"/>
      <c r="G70" s="64"/>
      <c r="H70" s="64"/>
      <c r="I70" s="64"/>
      <c r="J70" s="64"/>
      <c r="K70" s="64"/>
      <c r="L70" s="64"/>
      <c r="M70" s="64"/>
      <c r="N70" s="64"/>
      <c r="O70" s="64"/>
      <c r="P70" s="64"/>
      <c r="Q70" s="64"/>
      <c r="R70" s="64"/>
      <c r="S70" s="59">
        <f t="shared" si="5"/>
        <v>0</v>
      </c>
      <c r="T70" s="64"/>
      <c r="U70" s="64"/>
      <c r="V70" s="64"/>
      <c r="W70" s="461"/>
      <c r="AA70" s="137">
        <f>'ПФХД 2019 с разбивкой '!E70</f>
        <v>0</v>
      </c>
      <c r="AB70" s="135">
        <f t="shared" si="2"/>
        <v>0</v>
      </c>
    </row>
    <row r="71" spans="1:28" s="115" customFormat="1" ht="15.75" x14ac:dyDescent="0.25">
      <c r="A71" s="130" t="s">
        <v>191</v>
      </c>
      <c r="B71" s="557">
        <v>400</v>
      </c>
      <c r="C71" s="138"/>
      <c r="D71" s="59">
        <f>D73+D74</f>
        <v>0</v>
      </c>
      <c r="E71" s="59">
        <f>E73+E74</f>
        <v>0</v>
      </c>
      <c r="F71" s="59"/>
      <c r="G71" s="59">
        <f>G73+G74</f>
        <v>0</v>
      </c>
      <c r="H71" s="59">
        <f>H73+H74</f>
        <v>0</v>
      </c>
      <c r="I71" s="59">
        <f>I73+I74</f>
        <v>0</v>
      </c>
      <c r="J71" s="59"/>
      <c r="K71" s="59">
        <v>0</v>
      </c>
      <c r="L71" s="59"/>
      <c r="M71" s="59">
        <v>0</v>
      </c>
      <c r="N71" s="59">
        <v>0</v>
      </c>
      <c r="O71" s="59"/>
      <c r="P71" s="59"/>
      <c r="Q71" s="59">
        <f>Q73+Q74</f>
        <v>0</v>
      </c>
      <c r="R71" s="59">
        <v>0</v>
      </c>
      <c r="S71" s="59">
        <f t="shared" si="5"/>
        <v>0</v>
      </c>
      <c r="T71" s="59"/>
      <c r="U71" s="59"/>
      <c r="V71" s="59">
        <f>V73+V74</f>
        <v>0</v>
      </c>
      <c r="W71" s="566"/>
      <c r="AA71" s="137">
        <f>'ПФХД 2019 с разбивкой '!E71</f>
        <v>-205614792.37</v>
      </c>
      <c r="AB71" s="135">
        <f t="shared" si="2"/>
        <v>-205614792.37</v>
      </c>
    </row>
    <row r="72" spans="1:28" ht="15.75" x14ac:dyDescent="0.25">
      <c r="A72" s="132" t="s">
        <v>92</v>
      </c>
      <c r="B72" s="133"/>
      <c r="C72" s="134"/>
      <c r="D72" s="64"/>
      <c r="E72" s="64"/>
      <c r="F72" s="64"/>
      <c r="G72" s="64"/>
      <c r="H72" s="64"/>
      <c r="I72" s="64"/>
      <c r="J72" s="64"/>
      <c r="K72" s="64"/>
      <c r="L72" s="64"/>
      <c r="M72" s="64"/>
      <c r="N72" s="64"/>
      <c r="O72" s="64"/>
      <c r="P72" s="64"/>
      <c r="Q72" s="64"/>
      <c r="R72" s="64"/>
      <c r="S72" s="59">
        <f t="shared" si="5"/>
        <v>0</v>
      </c>
      <c r="T72" s="64"/>
      <c r="U72" s="64"/>
      <c r="V72" s="64"/>
      <c r="W72" s="461"/>
      <c r="AA72" s="137">
        <f>'ПФХД 2019 с разбивкой '!E72</f>
        <v>0</v>
      </c>
      <c r="AB72" s="135">
        <f t="shared" si="2"/>
        <v>0</v>
      </c>
    </row>
    <row r="73" spans="1:28" ht="15.75" x14ac:dyDescent="0.25">
      <c r="A73" s="132" t="s">
        <v>192</v>
      </c>
      <c r="B73" s="556">
        <v>410</v>
      </c>
      <c r="C73" s="134"/>
      <c r="D73" s="64">
        <f>E73+I73+Q73+R73+S73+V73</f>
        <v>0</v>
      </c>
      <c r="E73" s="64"/>
      <c r="F73" s="64"/>
      <c r="G73" s="64"/>
      <c r="H73" s="64"/>
      <c r="I73" s="64"/>
      <c r="J73" s="64"/>
      <c r="K73" s="64"/>
      <c r="L73" s="64"/>
      <c r="M73" s="64"/>
      <c r="N73" s="64"/>
      <c r="O73" s="64"/>
      <c r="P73" s="64"/>
      <c r="Q73" s="64"/>
      <c r="R73" s="64"/>
      <c r="S73" s="59">
        <f t="shared" si="5"/>
        <v>0</v>
      </c>
      <c r="T73" s="64"/>
      <c r="U73" s="64"/>
      <c r="V73" s="64"/>
      <c r="W73" s="461"/>
      <c r="AA73" s="137">
        <f>'ПФХД 2019 с разбивкой '!E73</f>
        <v>-205614792.37</v>
      </c>
      <c r="AB73" s="135">
        <f t="shared" si="2"/>
        <v>-205614792.37</v>
      </c>
    </row>
    <row r="74" spans="1:28" ht="15.75" x14ac:dyDescent="0.25">
      <c r="A74" s="132" t="s">
        <v>193</v>
      </c>
      <c r="B74" s="556">
        <v>420</v>
      </c>
      <c r="C74" s="134"/>
      <c r="D74" s="64">
        <f>E74+I74+Q74+R74+S74+V74</f>
        <v>0</v>
      </c>
      <c r="E74" s="64"/>
      <c r="F74" s="64"/>
      <c r="G74" s="64"/>
      <c r="H74" s="64"/>
      <c r="I74" s="64"/>
      <c r="J74" s="64"/>
      <c r="K74" s="64"/>
      <c r="L74" s="64"/>
      <c r="M74" s="64"/>
      <c r="N74" s="64"/>
      <c r="O74" s="64"/>
      <c r="P74" s="64"/>
      <c r="Q74" s="64"/>
      <c r="R74" s="64"/>
      <c r="S74" s="59">
        <f t="shared" si="5"/>
        <v>0</v>
      </c>
      <c r="T74" s="64"/>
      <c r="U74" s="64"/>
      <c r="V74" s="64"/>
      <c r="W74" s="461"/>
      <c r="AA74" s="137">
        <f>'ПФХД 2019 с разбивкой '!E74</f>
        <v>0</v>
      </c>
      <c r="AB74" s="135">
        <f t="shared" si="2"/>
        <v>0</v>
      </c>
    </row>
    <row r="75" spans="1:28" s="115" customFormat="1" ht="17.25" customHeight="1" x14ac:dyDescent="0.25">
      <c r="A75" s="130" t="s">
        <v>194</v>
      </c>
      <c r="B75" s="557">
        <v>500</v>
      </c>
      <c r="C75" s="114" t="s">
        <v>149</v>
      </c>
      <c r="D75" s="577">
        <f>E75+I75+R75+S75</f>
        <v>625060898.92157447</v>
      </c>
      <c r="E75" s="577">
        <f>F75+G75+H75</f>
        <v>21072590.966574505</v>
      </c>
      <c r="F75" s="577">
        <f>'ПФХД 2019 с разбивкой '!J75</f>
        <v>16524140.506574497</v>
      </c>
      <c r="G75" s="577">
        <f>'ПФХД 2019 с разбивкой '!L75</f>
        <v>4548450.4600000083</v>
      </c>
      <c r="H75" s="577">
        <v>0</v>
      </c>
      <c r="I75" s="577">
        <f>SUM(J75:N75)</f>
        <v>593808468.51999998</v>
      </c>
      <c r="J75" s="577">
        <f>'ПФХД 2019 с разбивкой '!T75</f>
        <v>593808468.51999998</v>
      </c>
      <c r="K75" s="577">
        <v>0</v>
      </c>
      <c r="L75" s="577"/>
      <c r="M75" s="577">
        <v>0</v>
      </c>
      <c r="N75" s="577">
        <v>0</v>
      </c>
      <c r="O75" s="577"/>
      <c r="P75" s="577"/>
      <c r="Q75" s="577">
        <v>0</v>
      </c>
      <c r="R75" s="577"/>
      <c r="S75" s="577">
        <f t="shared" si="5"/>
        <v>10179839.434999995</v>
      </c>
      <c r="T75" s="59">
        <f>'ПФХД 2019 с разбивкой '!AP75</f>
        <v>9808185.4449999928</v>
      </c>
      <c r="U75" s="59">
        <f>'ПФХД 2019 с разбивкой '!AS75</f>
        <v>371653.99000000209</v>
      </c>
      <c r="V75" s="59">
        <v>0</v>
      </c>
      <c r="W75" s="566"/>
      <c r="AA75" s="137">
        <f>'ПФХД 2019 с разбивкой '!E75</f>
        <v>625060898.93499994</v>
      </c>
      <c r="AB75" s="135">
        <f t="shared" si="2"/>
        <v>1.3425469398498535E-2</v>
      </c>
    </row>
    <row r="76" spans="1:28" s="115" customFormat="1" ht="15.75" x14ac:dyDescent="0.2">
      <c r="A76" s="130" t="s">
        <v>195</v>
      </c>
      <c r="B76" s="557">
        <v>600</v>
      </c>
      <c r="C76" s="114" t="s">
        <v>149</v>
      </c>
      <c r="D76" s="577">
        <f>D10-D23+D75+D71</f>
        <v>205614792.3552264</v>
      </c>
      <c r="E76" s="974">
        <f>E10+E75-E23</f>
        <v>-1.4773815870285034E-2</v>
      </c>
      <c r="F76" s="974">
        <f>F10+F75-F23</f>
        <v>0</v>
      </c>
      <c r="G76" s="1009">
        <f t="shared" ref="G76:V76" si="17">G10+G75-G23</f>
        <v>-4.7737956047058105E-3</v>
      </c>
      <c r="H76" s="577">
        <f t="shared" si="17"/>
        <v>-9.9999979138374329E-3</v>
      </c>
      <c r="I76" s="577">
        <f>I10-I23+I75+I71</f>
        <v>205614792.37000036</v>
      </c>
      <c r="J76" s="577">
        <f t="shared" si="17"/>
        <v>205614792.37</v>
      </c>
      <c r="K76" s="577">
        <f t="shared" si="17"/>
        <v>-817150.38999986649</v>
      </c>
      <c r="L76" s="577">
        <f t="shared" si="17"/>
        <v>0</v>
      </c>
      <c r="M76" s="577">
        <f t="shared" si="17"/>
        <v>0</v>
      </c>
      <c r="N76" s="577">
        <f t="shared" si="17"/>
        <v>0</v>
      </c>
      <c r="O76" s="577">
        <f t="shared" si="17"/>
        <v>0</v>
      </c>
      <c r="P76" s="577">
        <f t="shared" si="17"/>
        <v>817150.38999999966</v>
      </c>
      <c r="Q76" s="577">
        <f t="shared" si="17"/>
        <v>0</v>
      </c>
      <c r="R76" s="577">
        <f t="shared" si="17"/>
        <v>0</v>
      </c>
      <c r="S76" s="577">
        <f t="shared" si="17"/>
        <v>0</v>
      </c>
      <c r="T76" s="59">
        <f t="shared" si="17"/>
        <v>0</v>
      </c>
      <c r="U76" s="59">
        <f t="shared" si="17"/>
        <v>0</v>
      </c>
      <c r="V76" s="59">
        <f t="shared" si="17"/>
        <v>0</v>
      </c>
      <c r="W76" s="566"/>
    </row>
    <row r="77" spans="1:28" ht="20.25" customHeight="1" x14ac:dyDescent="0.25">
      <c r="D77" s="578"/>
      <c r="E77" s="578"/>
      <c r="F77" s="578"/>
      <c r="G77" s="578"/>
      <c r="H77" s="578"/>
      <c r="I77" s="578"/>
      <c r="J77" s="578"/>
      <c r="K77" s="578"/>
      <c r="L77" s="578"/>
      <c r="M77" s="578"/>
      <c r="N77" s="578"/>
      <c r="O77" s="578"/>
      <c r="P77" s="578"/>
      <c r="Q77" s="578"/>
      <c r="R77" s="579"/>
      <c r="S77" s="579"/>
    </row>
    <row r="78" spans="1:28" hidden="1" x14ac:dyDescent="0.25">
      <c r="E78" s="111"/>
      <c r="F78" s="117"/>
      <c r="G78" s="111"/>
      <c r="H78" s="117"/>
      <c r="I78" s="117">
        <v>716398979.28999996</v>
      </c>
    </row>
    <row r="79" spans="1:28" hidden="1" x14ac:dyDescent="0.25">
      <c r="E79" s="111"/>
      <c r="F79" s="117">
        <v>211</v>
      </c>
      <c r="G79" s="111">
        <v>170582.06</v>
      </c>
      <c r="H79" s="117"/>
      <c r="I79" s="111">
        <f>I78-I75</f>
        <v>122590510.76999998</v>
      </c>
      <c r="Q79" s="117">
        <v>211</v>
      </c>
      <c r="R79" s="137">
        <v>109680.99846390169</v>
      </c>
      <c r="U79" s="137">
        <v>2818.05</v>
      </c>
      <c r="V79" s="151">
        <v>221</v>
      </c>
    </row>
    <row r="80" spans="1:28" hidden="1" x14ac:dyDescent="0.25">
      <c r="E80" s="111"/>
      <c r="F80" s="117">
        <v>213</v>
      </c>
      <c r="G80" s="111">
        <f>G79*30.2%+0.01</f>
        <v>51515.792119999998</v>
      </c>
      <c r="H80" s="117"/>
      <c r="I80" s="111">
        <f>I79+4684.74</f>
        <v>122595195.50999998</v>
      </c>
      <c r="Q80" s="117">
        <v>213</v>
      </c>
      <c r="R80" s="137">
        <v>33123.660000000003</v>
      </c>
      <c r="U80" s="137">
        <v>63920</v>
      </c>
      <c r="V80" s="151">
        <v>310</v>
      </c>
    </row>
    <row r="81" spans="5:22" hidden="1" x14ac:dyDescent="0.25">
      <c r="E81" s="117"/>
      <c r="F81" s="117">
        <v>226</v>
      </c>
      <c r="G81" s="111">
        <v>176906.04</v>
      </c>
      <c r="H81" s="117"/>
      <c r="I81" s="111"/>
      <c r="J81" s="111"/>
      <c r="R81" s="137">
        <f>SUM(R79:R80)</f>
        <v>142804.65846390169</v>
      </c>
      <c r="T81" s="137">
        <f>T75</f>
        <v>9808185.4449999928</v>
      </c>
      <c r="U81" s="137">
        <v>1155747.52</v>
      </c>
      <c r="V81" s="151">
        <v>340</v>
      </c>
    </row>
    <row r="82" spans="5:22" hidden="1" x14ac:dyDescent="0.25">
      <c r="E82" s="117"/>
      <c r="F82" s="117">
        <v>340</v>
      </c>
      <c r="G82" s="111">
        <v>94794</v>
      </c>
      <c r="H82" s="117"/>
    </row>
    <row r="83" spans="5:22" hidden="1" x14ac:dyDescent="0.25">
      <c r="E83" s="117"/>
      <c r="F83" s="117"/>
      <c r="G83" s="111">
        <f>SUM(G79:G82)</f>
        <v>493797.89211999997</v>
      </c>
      <c r="H83" s="117"/>
    </row>
    <row r="84" spans="5:22" x14ac:dyDescent="0.25">
      <c r="E84" s="117"/>
      <c r="F84" s="117"/>
      <c r="G84" s="111"/>
      <c r="H84" s="117"/>
      <c r="J84" s="111">
        <f>I76-J76</f>
        <v>3.5762786865234375E-7</v>
      </c>
    </row>
    <row r="85" spans="5:22" x14ac:dyDescent="0.25">
      <c r="E85" s="117"/>
      <c r="F85" s="117"/>
      <c r="G85" s="111"/>
      <c r="H85" s="117"/>
    </row>
    <row r="86" spans="5:22" x14ac:dyDescent="0.25">
      <c r="E86" s="117"/>
      <c r="F86" s="117"/>
      <c r="G86" s="117"/>
      <c r="H86" s="117"/>
    </row>
    <row r="87" spans="5:22" x14ac:dyDescent="0.25">
      <c r="E87" s="117"/>
      <c r="F87" s="117"/>
      <c r="G87" s="117"/>
      <c r="H87" s="117"/>
    </row>
    <row r="88" spans="5:22" x14ac:dyDescent="0.25">
      <c r="E88" s="117"/>
      <c r="F88" s="117"/>
      <c r="G88" s="117"/>
      <c r="H88" s="117"/>
    </row>
    <row r="89" spans="5:22" x14ac:dyDescent="0.25">
      <c r="E89" s="117"/>
      <c r="F89" s="117"/>
      <c r="G89" s="117"/>
      <c r="H89" s="117"/>
    </row>
    <row r="90" spans="5:22" x14ac:dyDescent="0.25">
      <c r="E90" s="117"/>
      <c r="F90" s="117"/>
      <c r="G90" s="117"/>
      <c r="H90" s="117"/>
    </row>
    <row r="91" spans="5:22" x14ac:dyDescent="0.25">
      <c r="E91" s="117"/>
      <c r="F91" s="117"/>
      <c r="G91" s="117"/>
      <c r="H91" s="117"/>
    </row>
    <row r="92" spans="5:22" x14ac:dyDescent="0.25">
      <c r="E92" s="117"/>
      <c r="F92" s="117"/>
      <c r="G92" s="117"/>
      <c r="H92" s="117"/>
    </row>
    <row r="93" spans="5:22" x14ac:dyDescent="0.25">
      <c r="E93" s="117"/>
      <c r="F93" s="117"/>
      <c r="G93" s="117"/>
      <c r="H93" s="117"/>
    </row>
    <row r="94" spans="5:22" x14ac:dyDescent="0.25">
      <c r="E94" s="117"/>
      <c r="F94" s="117"/>
      <c r="G94" s="117"/>
      <c r="H94" s="117"/>
    </row>
    <row r="95" spans="5:22" x14ac:dyDescent="0.25">
      <c r="E95" s="117"/>
      <c r="F95" s="117"/>
      <c r="G95" s="117"/>
      <c r="H95" s="117"/>
    </row>
    <row r="96" spans="5:22" x14ac:dyDescent="0.25">
      <c r="E96" s="117"/>
      <c r="F96" s="117"/>
      <c r="G96" s="117"/>
      <c r="H96" s="117"/>
    </row>
    <row r="97" spans="5:8" x14ac:dyDescent="0.25">
      <c r="E97" s="117"/>
      <c r="F97" s="117"/>
      <c r="G97" s="117"/>
      <c r="H97" s="117"/>
    </row>
    <row r="98" spans="5:8" x14ac:dyDescent="0.25">
      <c r="E98" s="117"/>
      <c r="F98" s="117"/>
      <c r="G98" s="117"/>
      <c r="H98" s="117"/>
    </row>
    <row r="99" spans="5:8" x14ac:dyDescent="0.25">
      <c r="E99" s="117"/>
      <c r="F99" s="117"/>
      <c r="G99" s="117"/>
      <c r="H99" s="117"/>
    </row>
    <row r="100" spans="5:8" x14ac:dyDescent="0.25">
      <c r="E100" s="117"/>
      <c r="F100" s="117"/>
      <c r="G100" s="117"/>
      <c r="H100" s="117"/>
    </row>
    <row r="101" spans="5:8" x14ac:dyDescent="0.25">
      <c r="E101" s="117"/>
      <c r="F101" s="117"/>
      <c r="G101" s="117"/>
      <c r="H101" s="117"/>
    </row>
    <row r="102" spans="5:8" x14ac:dyDescent="0.25">
      <c r="E102" s="117"/>
      <c r="F102" s="117"/>
      <c r="G102" s="117"/>
      <c r="H102" s="117"/>
    </row>
    <row r="103" spans="5:8" x14ac:dyDescent="0.25">
      <c r="E103" s="117"/>
      <c r="F103" s="117"/>
      <c r="G103" s="117"/>
      <c r="H103" s="117"/>
    </row>
    <row r="104" spans="5:8" x14ac:dyDescent="0.25">
      <c r="E104" s="117"/>
      <c r="F104" s="117"/>
      <c r="G104" s="117"/>
      <c r="H104" s="117"/>
    </row>
    <row r="105" spans="5:8" x14ac:dyDescent="0.25">
      <c r="E105" s="117"/>
      <c r="F105" s="117"/>
      <c r="G105" s="117"/>
      <c r="H105" s="117"/>
    </row>
    <row r="106" spans="5:8" x14ac:dyDescent="0.25">
      <c r="E106" s="117"/>
      <c r="F106" s="117"/>
      <c r="G106" s="117"/>
      <c r="H106" s="117"/>
    </row>
    <row r="107" spans="5:8" x14ac:dyDescent="0.25">
      <c r="E107" s="117"/>
      <c r="F107" s="117"/>
      <c r="G107" s="117"/>
      <c r="H107" s="117"/>
    </row>
    <row r="108" spans="5:8" x14ac:dyDescent="0.25">
      <c r="E108" s="117"/>
      <c r="F108" s="117"/>
      <c r="G108" s="117"/>
      <c r="H108" s="117"/>
    </row>
    <row r="109" spans="5:8" x14ac:dyDescent="0.25">
      <c r="E109" s="117"/>
      <c r="F109" s="117"/>
      <c r="G109" s="117"/>
      <c r="H109" s="117"/>
    </row>
    <row r="110" spans="5:8" x14ac:dyDescent="0.25">
      <c r="E110" s="117"/>
      <c r="F110" s="117"/>
      <c r="G110" s="117"/>
      <c r="H110" s="117"/>
    </row>
    <row r="111" spans="5:8" x14ac:dyDescent="0.25">
      <c r="E111" s="117"/>
      <c r="F111" s="117"/>
      <c r="G111" s="117"/>
      <c r="H111" s="117"/>
    </row>
    <row r="112" spans="5:8" x14ac:dyDescent="0.25">
      <c r="E112" s="117"/>
      <c r="F112" s="117"/>
      <c r="G112" s="117"/>
      <c r="H112" s="117"/>
    </row>
  </sheetData>
  <mergeCells count="34">
    <mergeCell ref="A62:A63"/>
    <mergeCell ref="B62:B63"/>
    <mergeCell ref="A65:A66"/>
    <mergeCell ref="B65:B66"/>
    <mergeCell ref="B45:B46"/>
    <mergeCell ref="A52:A55"/>
    <mergeCell ref="C52:C54"/>
    <mergeCell ref="A56:A59"/>
    <mergeCell ref="C56:C58"/>
    <mergeCell ref="A60:A61"/>
    <mergeCell ref="S7:V7"/>
    <mergeCell ref="B26:B28"/>
    <mergeCell ref="B29:B32"/>
    <mergeCell ref="A31:A32"/>
    <mergeCell ref="B36:B40"/>
    <mergeCell ref="B42:B44"/>
    <mergeCell ref="K7:K8"/>
    <mergeCell ref="L7:L8"/>
    <mergeCell ref="M7:M8"/>
    <mergeCell ref="N7:N8"/>
    <mergeCell ref="Q7:Q8"/>
    <mergeCell ref="R7:R8"/>
    <mergeCell ref="A5:A8"/>
    <mergeCell ref="B5:B8"/>
    <mergeCell ref="C5:C8"/>
    <mergeCell ref="D5:V5"/>
    <mergeCell ref="D6:D8"/>
    <mergeCell ref="E6:V6"/>
    <mergeCell ref="E7:E8"/>
    <mergeCell ref="F7:H7"/>
    <mergeCell ref="I7:I8"/>
    <mergeCell ref="J7:J8"/>
    <mergeCell ref="O7:O8"/>
    <mergeCell ref="P7:P8"/>
  </mergeCells>
  <pageMargins left="0.43307086614173229" right="0.23622047244094491" top="0.35433070866141736" bottom="0.35433070866141736" header="0.31496062992125984" footer="0.31496062992125984"/>
  <pageSetup paperSize="8" fitToHeight="2" orientation="landscape" r:id="rId1"/>
  <rowBreaks count="1" manualBreakCount="1">
    <brk id="35" max="21" man="1"/>
  </rowBreaks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26"/>
  <sheetViews>
    <sheetView showZeros="0" topLeftCell="A4" workbookViewId="0">
      <selection activeCell="L15" sqref="L15"/>
    </sheetView>
  </sheetViews>
  <sheetFormatPr defaultRowHeight="15" x14ac:dyDescent="0.25"/>
  <cols>
    <col min="1" max="1" width="44.5703125" style="56" customWidth="1"/>
    <col min="2" max="3" width="9.140625" style="56"/>
    <col min="4" max="4" width="17.28515625" style="56" bestFit="1" customWidth="1"/>
    <col min="5" max="5" width="16.7109375" style="56" customWidth="1"/>
    <col min="6" max="6" width="16.5703125" style="56" customWidth="1"/>
    <col min="7" max="7" width="17.28515625" style="56" bestFit="1" customWidth="1"/>
    <col min="8" max="8" width="16.42578125" style="56" customWidth="1"/>
    <col min="9" max="9" width="17.140625" style="56" customWidth="1"/>
    <col min="10" max="10" width="14.140625" style="56" customWidth="1"/>
    <col min="11" max="12" width="15.85546875" style="56" customWidth="1"/>
    <col min="13" max="16384" width="9.140625" style="56"/>
  </cols>
  <sheetData>
    <row r="1" spans="1:14" ht="15.75" x14ac:dyDescent="0.25">
      <c r="A1" s="55" t="s">
        <v>198</v>
      </c>
    </row>
    <row r="2" spans="1:14" ht="15.75" x14ac:dyDescent="0.25">
      <c r="A2" s="55" t="s">
        <v>199</v>
      </c>
    </row>
    <row r="3" spans="1:14" ht="15.75" x14ac:dyDescent="0.25">
      <c r="A3" s="58"/>
    </row>
    <row r="4" spans="1:14" ht="45.75" customHeight="1" x14ac:dyDescent="0.25">
      <c r="A4" s="1390" t="s">
        <v>88</v>
      </c>
      <c r="B4" s="1390" t="s">
        <v>133</v>
      </c>
      <c r="C4" s="1390" t="s">
        <v>200</v>
      </c>
      <c r="D4" s="1390" t="s">
        <v>201</v>
      </c>
      <c r="E4" s="1390"/>
      <c r="F4" s="1390"/>
      <c r="G4" s="1390"/>
      <c r="H4" s="1390"/>
      <c r="I4" s="1390"/>
      <c r="J4" s="1390"/>
      <c r="K4" s="1390"/>
      <c r="L4" s="1390"/>
    </row>
    <row r="5" spans="1:14" ht="15.75" x14ac:dyDescent="0.25">
      <c r="A5" s="1390"/>
      <c r="B5" s="1390"/>
      <c r="C5" s="1390"/>
      <c r="D5" s="1390" t="s">
        <v>202</v>
      </c>
      <c r="E5" s="1390"/>
      <c r="F5" s="1390"/>
      <c r="G5" s="1390" t="s">
        <v>137</v>
      </c>
      <c r="H5" s="1390"/>
      <c r="I5" s="1390"/>
      <c r="J5" s="1390"/>
      <c r="K5" s="1390"/>
      <c r="L5" s="1390"/>
    </row>
    <row r="6" spans="1:14" ht="93.75" customHeight="1" x14ac:dyDescent="0.25">
      <c r="A6" s="1390"/>
      <c r="B6" s="1390"/>
      <c r="C6" s="1390"/>
      <c r="D6" s="61"/>
      <c r="E6" s="61"/>
      <c r="F6" s="61"/>
      <c r="G6" s="1390" t="s">
        <v>203</v>
      </c>
      <c r="H6" s="1390"/>
      <c r="I6" s="1390"/>
      <c r="J6" s="1390" t="s">
        <v>204</v>
      </c>
      <c r="K6" s="1390"/>
      <c r="L6" s="1390"/>
    </row>
    <row r="7" spans="1:14" ht="20.25" customHeight="1" x14ac:dyDescent="0.25">
      <c r="A7" s="1390"/>
      <c r="B7" s="1390"/>
      <c r="C7" s="1390"/>
      <c r="D7" s="271" t="s">
        <v>205</v>
      </c>
      <c r="E7" s="271" t="s">
        <v>206</v>
      </c>
      <c r="F7" s="271" t="s">
        <v>362</v>
      </c>
      <c r="G7" s="271" t="s">
        <v>205</v>
      </c>
      <c r="H7" s="271" t="s">
        <v>206</v>
      </c>
      <c r="I7" s="271" t="s">
        <v>362</v>
      </c>
      <c r="J7" s="271" t="s">
        <v>205</v>
      </c>
      <c r="K7" s="271" t="s">
        <v>206</v>
      </c>
      <c r="L7" s="271" t="s">
        <v>362</v>
      </c>
    </row>
    <row r="8" spans="1:14" ht="50.25" customHeight="1" x14ac:dyDescent="0.25">
      <c r="A8" s="1390"/>
      <c r="B8" s="1390"/>
      <c r="C8" s="1390"/>
      <c r="D8" s="72" t="s">
        <v>207</v>
      </c>
      <c r="E8" s="72" t="s">
        <v>208</v>
      </c>
      <c r="F8" s="72" t="s">
        <v>209</v>
      </c>
      <c r="G8" s="72" t="s">
        <v>207</v>
      </c>
      <c r="H8" s="72" t="s">
        <v>210</v>
      </c>
      <c r="I8" s="72" t="s">
        <v>209</v>
      </c>
      <c r="J8" s="72" t="s">
        <v>207</v>
      </c>
      <c r="K8" s="72" t="s">
        <v>208</v>
      </c>
      <c r="L8" s="72" t="s">
        <v>209</v>
      </c>
    </row>
    <row r="9" spans="1:14" ht="15.75" x14ac:dyDescent="0.25">
      <c r="A9" s="72">
        <v>1</v>
      </c>
      <c r="B9" s="72">
        <v>2</v>
      </c>
      <c r="C9" s="72">
        <v>3</v>
      </c>
      <c r="D9" s="72">
        <v>4</v>
      </c>
      <c r="E9" s="72">
        <v>5</v>
      </c>
      <c r="F9" s="72">
        <v>6</v>
      </c>
      <c r="G9" s="72">
        <v>7</v>
      </c>
      <c r="H9" s="72">
        <v>8</v>
      </c>
      <c r="I9" s="72">
        <v>9</v>
      </c>
      <c r="J9" s="72">
        <v>10</v>
      </c>
      <c r="K9" s="72">
        <v>11</v>
      </c>
      <c r="L9" s="72">
        <v>12</v>
      </c>
    </row>
    <row r="10" spans="1:14" ht="33.75" customHeight="1" x14ac:dyDescent="0.25">
      <c r="A10" s="66" t="s">
        <v>211</v>
      </c>
      <c r="B10" s="67">
        <v>1</v>
      </c>
      <c r="C10" s="67" t="s">
        <v>149</v>
      </c>
      <c r="D10" s="68">
        <f>D11+D12</f>
        <v>1188710668.3150001</v>
      </c>
      <c r="E10" s="68">
        <f t="shared" ref="E10:L10" si="0">E12</f>
        <v>780367537.71000004</v>
      </c>
      <c r="F10" s="68">
        <f t="shared" si="0"/>
        <v>780360642.88999999</v>
      </c>
      <c r="G10" s="68">
        <f>SUM(G11:G12)</f>
        <v>1129234016.7650001</v>
      </c>
      <c r="H10" s="68">
        <f t="shared" si="0"/>
        <v>748528542.16999996</v>
      </c>
      <c r="I10" s="68">
        <f t="shared" si="0"/>
        <v>741342610.74000001</v>
      </c>
      <c r="J10" s="68">
        <f>SUM(J11:J12)</f>
        <v>59476651.549999997</v>
      </c>
      <c r="K10" s="68">
        <f t="shared" si="0"/>
        <v>31838995.539999999</v>
      </c>
      <c r="L10" s="68">
        <f t="shared" si="0"/>
        <v>39018032.149999999</v>
      </c>
      <c r="N10" s="57"/>
    </row>
    <row r="11" spans="1:14" ht="48" customHeight="1" x14ac:dyDescent="0.25">
      <c r="A11" s="66" t="s">
        <v>212</v>
      </c>
      <c r="B11" s="67">
        <v>1001</v>
      </c>
      <c r="C11" s="67" t="s">
        <v>149</v>
      </c>
      <c r="D11" s="68">
        <f>G11+J11</f>
        <v>399496047.20499998</v>
      </c>
      <c r="E11" s="68"/>
      <c r="F11" s="68"/>
      <c r="G11" s="68">
        <f>'ПФХД 2019 с разбивкой '!T45+'ПФХД 2019 с разбивкой '!K91+'ПФХД 2019 с разбивкой '!K92+'ПФХД 2019 с разбивкой '!AP75+'ПФХД 2019 с разбивкой '!AR90+'ПФХД 2019 с разбивкой '!AR91+'ПФХД 2019 с разбивкой '!AR89</f>
        <v>399496047.20499998</v>
      </c>
      <c r="H11" s="68"/>
      <c r="I11" s="68"/>
      <c r="J11" s="68"/>
      <c r="K11" s="68"/>
      <c r="L11" s="68"/>
    </row>
    <row r="12" spans="1:14" ht="33" customHeight="1" x14ac:dyDescent="0.25">
      <c r="A12" s="66" t="s">
        <v>213</v>
      </c>
      <c r="B12" s="67">
        <v>2001</v>
      </c>
      <c r="C12" s="73"/>
      <c r="D12" s="68">
        <f>G12+J12</f>
        <v>789214621.11000001</v>
      </c>
      <c r="E12" s="68">
        <f>SUM(E13:E15)</f>
        <v>780367537.71000004</v>
      </c>
      <c r="F12" s="68">
        <f>SUM(F13:F15)</f>
        <v>780360642.88999999</v>
      </c>
      <c r="G12" s="68">
        <f>721513754.19-1076466.1+9685681.47-385000</f>
        <v>729737969.56000006</v>
      </c>
      <c r="H12" s="68">
        <f>SUM(H13:H15)</f>
        <v>748528542.16999996</v>
      </c>
      <c r="I12" s="68">
        <f>SUM(I13:I15)</f>
        <v>741342610.74000001</v>
      </c>
      <c r="J12" s="68">
        <f>59476651.55</f>
        <v>59476651.549999997</v>
      </c>
      <c r="K12" s="68">
        <f>SUM(K13:K15)</f>
        <v>31838995.539999999</v>
      </c>
      <c r="L12" s="68">
        <f>SUM(L13:L15)</f>
        <v>39018032.149999999</v>
      </c>
    </row>
    <row r="13" spans="1:14" ht="33" customHeight="1" x14ac:dyDescent="0.25">
      <c r="A13" s="66" t="s">
        <v>213</v>
      </c>
      <c r="B13" s="67">
        <v>2002</v>
      </c>
      <c r="C13" s="67">
        <v>2018</v>
      </c>
      <c r="D13" s="68">
        <f>D12</f>
        <v>789214621.11000001</v>
      </c>
      <c r="E13" s="68">
        <v>158000000</v>
      </c>
      <c r="F13" s="68">
        <v>105000000</v>
      </c>
      <c r="G13" s="68">
        <f>G12</f>
        <v>729737969.56000006</v>
      </c>
      <c r="H13" s="68">
        <v>158000000</v>
      </c>
      <c r="I13" s="68">
        <v>105000000</v>
      </c>
      <c r="J13" s="68">
        <f t="shared" ref="J13" si="1">59476651.55</f>
        <v>59476651.549999997</v>
      </c>
      <c r="K13" s="68">
        <v>0</v>
      </c>
      <c r="L13" s="68">
        <v>0</v>
      </c>
    </row>
    <row r="14" spans="1:14" ht="33" customHeight="1" x14ac:dyDescent="0.25">
      <c r="A14" s="66" t="s">
        <v>213</v>
      </c>
      <c r="B14" s="67">
        <v>2003</v>
      </c>
      <c r="C14" s="67">
        <v>2019</v>
      </c>
      <c r="D14" s="68"/>
      <c r="E14" s="68">
        <v>622367537.71000004</v>
      </c>
      <c r="F14" s="68">
        <v>0</v>
      </c>
      <c r="G14" s="68"/>
      <c r="H14" s="68">
        <v>590528542.16999996</v>
      </c>
      <c r="I14" s="68">
        <v>0</v>
      </c>
      <c r="J14" s="68"/>
      <c r="K14" s="68">
        <v>31838995.539999999</v>
      </c>
      <c r="L14" s="68">
        <v>0</v>
      </c>
    </row>
    <row r="15" spans="1:14" ht="33" customHeight="1" x14ac:dyDescent="0.25">
      <c r="A15" s="66" t="s">
        <v>213</v>
      </c>
      <c r="B15" s="67">
        <v>2004</v>
      </c>
      <c r="C15" s="67">
        <v>2020</v>
      </c>
      <c r="D15" s="68"/>
      <c r="E15" s="68">
        <v>0</v>
      </c>
      <c r="F15" s="68">
        <v>675360642.88999999</v>
      </c>
      <c r="G15" s="68"/>
      <c r="H15" s="68">
        <v>0</v>
      </c>
      <c r="I15" s="68">
        <v>636342610.74000001</v>
      </c>
      <c r="J15" s="68"/>
      <c r="K15" s="68">
        <v>0</v>
      </c>
      <c r="L15" s="68">
        <v>39018032.149999999</v>
      </c>
    </row>
    <row r="16" spans="1:14" ht="33" customHeight="1" x14ac:dyDescent="0.25">
      <c r="A16" s="514"/>
      <c r="B16" s="515"/>
      <c r="C16" s="516"/>
      <c r="D16" s="517"/>
      <c r="E16" s="517"/>
      <c r="F16" s="517"/>
      <c r="G16" s="517"/>
      <c r="H16" s="517"/>
      <c r="I16" s="517"/>
      <c r="J16" s="517"/>
      <c r="K16" s="517"/>
      <c r="L16" s="517"/>
    </row>
    <row r="17" spans="4:10" x14ac:dyDescent="0.25">
      <c r="D17" s="560">
        <v>1464626817.2900002</v>
      </c>
    </row>
    <row r="18" spans="4:10" x14ac:dyDescent="0.25">
      <c r="D18" s="57"/>
    </row>
    <row r="19" spans="4:10" x14ac:dyDescent="0.25">
      <c r="D19" s="57"/>
      <c r="J19" s="57"/>
    </row>
    <row r="20" spans="4:10" x14ac:dyDescent="0.25">
      <c r="D20" s="57"/>
      <c r="G20" s="57"/>
    </row>
    <row r="21" spans="4:10" x14ac:dyDescent="0.25">
      <c r="D21" s="57"/>
    </row>
    <row r="22" spans="4:10" x14ac:dyDescent="0.25">
      <c r="D22" s="57"/>
    </row>
    <row r="23" spans="4:10" x14ac:dyDescent="0.25">
      <c r="D23" s="57"/>
    </row>
    <row r="26" spans="4:10" x14ac:dyDescent="0.25">
      <c r="D26" s="57"/>
      <c r="E26" s="57"/>
    </row>
  </sheetData>
  <mergeCells count="8">
    <mergeCell ref="A4:A8"/>
    <mergeCell ref="B4:B8"/>
    <mergeCell ref="C4:C8"/>
    <mergeCell ref="D4:L4"/>
    <mergeCell ref="D5:F5"/>
    <mergeCell ref="G5:L5"/>
    <mergeCell ref="G6:I6"/>
    <mergeCell ref="J6:L6"/>
  </mergeCells>
  <pageMargins left="0.19685039370078741" right="0.15748031496062992" top="0.49" bottom="0.51181102362204722" header="0.31496062992125984" footer="0.31496062992125984"/>
  <pageSetup paperSize="9" scale="68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K113"/>
  <sheetViews>
    <sheetView showZeros="0" zoomScale="90" zoomScaleNormal="90" zoomScaleSheetLayoutView="100" workbookViewId="0">
      <pane xSplit="4" ySplit="9" topLeftCell="E10" activePane="bottomRight" state="frozen"/>
      <selection pane="topRight" activeCell="E1" sqref="E1"/>
      <selection pane="bottomLeft" activeCell="A9" sqref="A9"/>
      <selection pane="bottomRight" activeCell="E76" sqref="E76"/>
    </sheetView>
  </sheetViews>
  <sheetFormatPr defaultColWidth="9.140625" defaultRowHeight="15" x14ac:dyDescent="0.25"/>
  <cols>
    <col min="1" max="1" width="45" style="117" customWidth="1"/>
    <col min="2" max="2" width="9" style="117" customWidth="1"/>
    <col min="3" max="3" width="17.85546875" style="124" customWidth="1"/>
    <col min="4" max="4" width="21.5703125" style="117" customWidth="1"/>
    <col min="5" max="5" width="18.85546875" style="155" customWidth="1"/>
    <col min="6" max="6" width="29.140625" style="117" customWidth="1"/>
    <col min="7" max="7" width="16.7109375" style="117" customWidth="1"/>
    <col min="8" max="8" width="16.7109375" style="125" customWidth="1"/>
    <col min="9" max="9" width="20.7109375" style="125" customWidth="1"/>
    <col min="10" max="10" width="18.28515625" style="117" customWidth="1"/>
    <col min="11" max="11" width="9.5703125" style="117" customWidth="1"/>
    <col min="12" max="16384" width="9.140625" style="117"/>
  </cols>
  <sheetData>
    <row r="1" spans="1:11" ht="15.75" x14ac:dyDescent="0.25">
      <c r="A1" s="123" t="s">
        <v>131</v>
      </c>
      <c r="E1" s="117"/>
      <c r="F1" s="111"/>
    </row>
    <row r="2" spans="1:11" ht="15.75" x14ac:dyDescent="0.25">
      <c r="A2" s="126" t="s">
        <v>132</v>
      </c>
      <c r="E2" s="117"/>
      <c r="F2" s="111"/>
    </row>
    <row r="3" spans="1:11" ht="15.75" x14ac:dyDescent="0.25">
      <c r="A3" s="126"/>
      <c r="D3" s="111"/>
      <c r="E3" s="117"/>
      <c r="F3" s="111"/>
    </row>
    <row r="4" spans="1:11" ht="15.75" x14ac:dyDescent="0.25">
      <c r="A4" s="129"/>
      <c r="E4" s="117"/>
    </row>
    <row r="5" spans="1:11" ht="15.75" x14ac:dyDescent="0.25">
      <c r="A5" s="1383" t="s">
        <v>88</v>
      </c>
      <c r="B5" s="1383" t="s">
        <v>133</v>
      </c>
      <c r="C5" s="1383" t="s">
        <v>134</v>
      </c>
      <c r="D5" s="1383" t="s">
        <v>135</v>
      </c>
      <c r="E5" s="1383"/>
      <c r="F5" s="1383"/>
      <c r="G5" s="1383"/>
      <c r="H5" s="1383"/>
      <c r="I5" s="1383"/>
      <c r="J5" s="1383"/>
      <c r="K5" s="461"/>
    </row>
    <row r="6" spans="1:11" ht="15.75" customHeight="1" x14ac:dyDescent="0.25">
      <c r="A6" s="1383"/>
      <c r="B6" s="1383"/>
      <c r="C6" s="1383"/>
      <c r="D6" s="1383" t="s">
        <v>136</v>
      </c>
      <c r="E6" s="1383" t="s">
        <v>137</v>
      </c>
      <c r="F6" s="1383"/>
      <c r="G6" s="1383"/>
      <c r="H6" s="1383"/>
      <c r="I6" s="1383"/>
      <c r="J6" s="1383"/>
      <c r="K6" s="461"/>
    </row>
    <row r="7" spans="1:11" ht="61.5" customHeight="1" x14ac:dyDescent="0.25">
      <c r="A7" s="1383"/>
      <c r="B7" s="1383"/>
      <c r="C7" s="1383"/>
      <c r="D7" s="1383"/>
      <c r="E7" s="1383" t="s">
        <v>138</v>
      </c>
      <c r="F7" s="1383" t="s">
        <v>140</v>
      </c>
      <c r="G7" s="1388" t="s">
        <v>143</v>
      </c>
      <c r="H7" s="1383" t="s">
        <v>144</v>
      </c>
      <c r="I7" s="1383" t="s">
        <v>145</v>
      </c>
      <c r="J7" s="1383"/>
      <c r="K7" s="461"/>
    </row>
    <row r="8" spans="1:11" ht="73.5" customHeight="1" x14ac:dyDescent="0.25">
      <c r="A8" s="1383"/>
      <c r="B8" s="1383"/>
      <c r="C8" s="1383"/>
      <c r="D8" s="1383"/>
      <c r="E8" s="1383"/>
      <c r="F8" s="1383"/>
      <c r="G8" s="1389"/>
      <c r="H8" s="1383"/>
      <c r="I8" s="1002" t="s">
        <v>364</v>
      </c>
      <c r="J8" s="1002" t="s">
        <v>147</v>
      </c>
      <c r="K8" s="461"/>
    </row>
    <row r="9" spans="1:11" ht="15.75" x14ac:dyDescent="0.25">
      <c r="A9" s="1003">
        <v>1</v>
      </c>
      <c r="B9" s="1003">
        <v>2</v>
      </c>
      <c r="C9" s="1002">
        <v>3</v>
      </c>
      <c r="D9" s="1003">
        <v>4</v>
      </c>
      <c r="E9" s="1003">
        <v>5</v>
      </c>
      <c r="F9" s="1003">
        <v>6</v>
      </c>
      <c r="G9" s="1003">
        <v>7</v>
      </c>
      <c r="H9" s="561">
        <v>8</v>
      </c>
      <c r="I9" s="1003">
        <v>9</v>
      </c>
      <c r="J9" s="1003">
        <v>10</v>
      </c>
      <c r="K9" s="461"/>
    </row>
    <row r="10" spans="1:11" s="115" customFormat="1" ht="15.75" x14ac:dyDescent="0.25">
      <c r="A10" s="130" t="s">
        <v>148</v>
      </c>
      <c r="B10" s="1004">
        <v>100</v>
      </c>
      <c r="C10" s="114" t="s">
        <v>149</v>
      </c>
      <c r="D10" s="59">
        <v>2900638730.1100001</v>
      </c>
      <c r="E10" s="59">
        <v>307066100</v>
      </c>
      <c r="F10" s="59">
        <v>2186738500</v>
      </c>
      <c r="G10" s="59">
        <v>0</v>
      </c>
      <c r="H10" s="131">
        <v>1908800</v>
      </c>
      <c r="I10" s="59">
        <v>404925330.11000001</v>
      </c>
      <c r="J10" s="59">
        <v>0</v>
      </c>
      <c r="K10" s="566"/>
    </row>
    <row r="11" spans="1:11" ht="15.75" x14ac:dyDescent="0.25">
      <c r="A11" s="132" t="s">
        <v>137</v>
      </c>
      <c r="B11" s="133"/>
      <c r="C11" s="134"/>
      <c r="D11" s="64"/>
      <c r="E11" s="64" t="s">
        <v>149</v>
      </c>
      <c r="F11" s="64" t="s">
        <v>149</v>
      </c>
      <c r="G11" s="64" t="s">
        <v>149</v>
      </c>
      <c r="H11" s="64" t="s">
        <v>149</v>
      </c>
      <c r="I11" s="266"/>
      <c r="J11" s="64" t="s">
        <v>149</v>
      </c>
      <c r="K11" s="461"/>
    </row>
    <row r="12" spans="1:11" ht="15.75" x14ac:dyDescent="0.25">
      <c r="A12" s="132" t="s">
        <v>585</v>
      </c>
      <c r="B12" s="1003">
        <v>110</v>
      </c>
      <c r="C12" s="134"/>
      <c r="D12" s="64"/>
      <c r="E12" s="64"/>
      <c r="F12" s="118"/>
      <c r="G12" s="268"/>
      <c r="H12" s="62"/>
      <c r="I12" s="268"/>
      <c r="J12" s="267"/>
      <c r="K12" s="461"/>
    </row>
    <row r="13" spans="1:11" ht="15.75" x14ac:dyDescent="0.25">
      <c r="A13" s="1034"/>
      <c r="B13" s="1020"/>
      <c r="C13" s="134"/>
      <c r="D13" s="64"/>
      <c r="E13" s="64" t="s">
        <v>149</v>
      </c>
      <c r="F13" s="64" t="s">
        <v>149</v>
      </c>
      <c r="G13" s="64" t="s">
        <v>149</v>
      </c>
      <c r="H13" s="64" t="s">
        <v>149</v>
      </c>
      <c r="I13" s="266"/>
      <c r="J13" s="64" t="s">
        <v>149</v>
      </c>
      <c r="K13" s="461"/>
    </row>
    <row r="14" spans="1:11" s="124" customFormat="1" ht="15.75" x14ac:dyDescent="0.25">
      <c r="A14" s="437" t="s">
        <v>151</v>
      </c>
      <c r="B14" s="1002">
        <v>120</v>
      </c>
      <c r="C14" s="134"/>
      <c r="D14" s="64">
        <v>678687169.16000009</v>
      </c>
      <c r="E14" s="64">
        <v>307066100</v>
      </c>
      <c r="F14" s="64">
        <v>0</v>
      </c>
      <c r="G14" s="64">
        <v>0</v>
      </c>
      <c r="H14" s="64">
        <v>1908800</v>
      </c>
      <c r="I14" s="64">
        <v>369712269.16000003</v>
      </c>
      <c r="J14" s="64">
        <f t="shared" ref="J14" si="0">J15+J16+J18</f>
        <v>0</v>
      </c>
      <c r="K14" s="971"/>
    </row>
    <row r="15" spans="1:11" ht="15.75" x14ac:dyDescent="0.25">
      <c r="A15" s="132" t="s">
        <v>152</v>
      </c>
      <c r="B15" s="133"/>
      <c r="C15" s="134"/>
      <c r="D15" s="64">
        <v>662483598.86000001</v>
      </c>
      <c r="E15" s="266">
        <v>307066100</v>
      </c>
      <c r="F15" s="266"/>
      <c r="G15" s="266"/>
      <c r="H15" s="266">
        <v>1908800</v>
      </c>
      <c r="I15" s="266">
        <v>353508698.86000001</v>
      </c>
      <c r="J15" s="267"/>
      <c r="K15" s="461"/>
    </row>
    <row r="16" spans="1:11" ht="15.75" x14ac:dyDescent="0.25">
      <c r="A16" s="132" t="s">
        <v>153</v>
      </c>
      <c r="B16" s="133"/>
      <c r="C16" s="134"/>
      <c r="D16" s="64">
        <v>0</v>
      </c>
      <c r="E16" s="266"/>
      <c r="F16" s="266"/>
      <c r="G16" s="266"/>
      <c r="H16" s="266"/>
      <c r="I16" s="266">
        <v>0</v>
      </c>
      <c r="J16" s="267"/>
      <c r="K16" s="461"/>
    </row>
    <row r="17" spans="1:11" ht="15.75" x14ac:dyDescent="0.25">
      <c r="A17" s="132"/>
      <c r="B17" s="133"/>
      <c r="C17" s="134"/>
      <c r="D17" s="64"/>
      <c r="E17" s="266"/>
      <c r="F17" s="64" t="s">
        <v>149</v>
      </c>
      <c r="G17" s="64" t="s">
        <v>149</v>
      </c>
      <c r="H17" s="266"/>
      <c r="I17" s="266"/>
      <c r="J17" s="267"/>
      <c r="K17" s="461"/>
    </row>
    <row r="18" spans="1:11" ht="15.75" x14ac:dyDescent="0.25">
      <c r="A18" s="132" t="s">
        <v>154</v>
      </c>
      <c r="B18" s="133"/>
      <c r="C18" s="134"/>
      <c r="D18" s="64">
        <v>16203570.300000001</v>
      </c>
      <c r="E18" s="266"/>
      <c r="F18" s="266"/>
      <c r="G18" s="266"/>
      <c r="H18" s="62"/>
      <c r="I18" s="266">
        <v>16203570.300000001</v>
      </c>
      <c r="J18" s="267"/>
      <c r="K18" s="461"/>
    </row>
    <row r="19" spans="1:11" ht="31.5" x14ac:dyDescent="0.25">
      <c r="A19" s="437" t="s">
        <v>155</v>
      </c>
      <c r="B19" s="1003">
        <v>130</v>
      </c>
      <c r="C19" s="134"/>
      <c r="D19" s="64"/>
      <c r="E19" s="64" t="s">
        <v>149</v>
      </c>
      <c r="F19" s="64" t="s">
        <v>149</v>
      </c>
      <c r="G19" s="64" t="s">
        <v>149</v>
      </c>
      <c r="H19" s="64" t="s">
        <v>149</v>
      </c>
      <c r="I19" s="266"/>
      <c r="J19" s="64" t="s">
        <v>149</v>
      </c>
      <c r="K19" s="461"/>
    </row>
    <row r="20" spans="1:11" ht="74.25" customHeight="1" x14ac:dyDescent="0.25">
      <c r="A20" s="437" t="s">
        <v>156</v>
      </c>
      <c r="B20" s="1002">
        <v>140</v>
      </c>
      <c r="C20" s="134"/>
      <c r="D20" s="64"/>
      <c r="E20" s="64" t="s">
        <v>149</v>
      </c>
      <c r="F20" s="64" t="s">
        <v>149</v>
      </c>
      <c r="G20" s="64" t="s">
        <v>149</v>
      </c>
      <c r="H20" s="64" t="s">
        <v>149</v>
      </c>
      <c r="I20" s="266"/>
      <c r="J20" s="64" t="s">
        <v>149</v>
      </c>
      <c r="K20" s="461"/>
    </row>
    <row r="21" spans="1:11" ht="18.75" customHeight="1" x14ac:dyDescent="0.25">
      <c r="A21" s="132" t="s">
        <v>157</v>
      </c>
      <c r="B21" s="1003">
        <v>150</v>
      </c>
      <c r="C21" s="134"/>
      <c r="D21" s="64">
        <v>2186738500</v>
      </c>
      <c r="E21" s="64" t="s">
        <v>149</v>
      </c>
      <c r="F21" s="64">
        <v>2186738500</v>
      </c>
      <c r="G21" s="267"/>
      <c r="H21" s="64" t="s">
        <v>924</v>
      </c>
      <c r="I21" s="64" t="s">
        <v>924</v>
      </c>
      <c r="J21" s="64" t="s">
        <v>149</v>
      </c>
      <c r="K21" s="461"/>
    </row>
    <row r="22" spans="1:11" ht="19.5" customHeight="1" x14ac:dyDescent="0.25">
      <c r="A22" s="132" t="s">
        <v>158</v>
      </c>
      <c r="B22" s="1003">
        <v>160</v>
      </c>
      <c r="C22" s="134"/>
      <c r="D22" s="64">
        <v>35213060.950000003</v>
      </c>
      <c r="E22" s="64" t="s">
        <v>924</v>
      </c>
      <c r="F22" s="64" t="s">
        <v>924</v>
      </c>
      <c r="G22" s="64" t="s">
        <v>924</v>
      </c>
      <c r="H22" s="64" t="s">
        <v>924</v>
      </c>
      <c r="I22" s="64">
        <v>35213060.950000003</v>
      </c>
      <c r="J22" s="268"/>
      <c r="K22" s="461"/>
    </row>
    <row r="23" spans="1:11" ht="15.75" x14ac:dyDescent="0.25">
      <c r="A23" s="132" t="s">
        <v>159</v>
      </c>
      <c r="B23" s="1003">
        <v>180</v>
      </c>
      <c r="C23" s="1002" t="s">
        <v>149</v>
      </c>
      <c r="D23" s="64"/>
      <c r="E23" s="266" t="s">
        <v>924</v>
      </c>
      <c r="F23" s="64" t="s">
        <v>924</v>
      </c>
      <c r="G23" s="266" t="s">
        <v>924</v>
      </c>
      <c r="H23" s="62" t="s">
        <v>924</v>
      </c>
      <c r="I23" s="64"/>
      <c r="J23" s="266" t="s">
        <v>149</v>
      </c>
      <c r="K23" s="461"/>
    </row>
    <row r="24" spans="1:11" s="115" customFormat="1" ht="15.75" x14ac:dyDescent="0.2">
      <c r="A24" s="130" t="s">
        <v>160</v>
      </c>
      <c r="B24" s="1004">
        <v>200</v>
      </c>
      <c r="C24" s="114" t="s">
        <v>149</v>
      </c>
      <c r="D24" s="59">
        <v>3320084836.6800003</v>
      </c>
      <c r="E24" s="59">
        <v>328138690.98000002</v>
      </c>
      <c r="F24" s="59">
        <v>2574932176.1500001</v>
      </c>
      <c r="G24" s="59">
        <v>0</v>
      </c>
      <c r="H24" s="59">
        <v>1908800</v>
      </c>
      <c r="I24" s="59">
        <v>415105169.55000001</v>
      </c>
      <c r="J24" s="59">
        <f>J25+J30+J37+J42+J43+J68+J46</f>
        <v>0</v>
      </c>
      <c r="K24" s="566"/>
    </row>
    <row r="25" spans="1:11" s="115" customFormat="1" ht="18.75" customHeight="1" x14ac:dyDescent="0.2">
      <c r="A25" s="130" t="s">
        <v>161</v>
      </c>
      <c r="B25" s="1004">
        <v>210</v>
      </c>
      <c r="C25" s="114">
        <v>110</v>
      </c>
      <c r="D25" s="59">
        <v>503919924.88000041</v>
      </c>
      <c r="E25" s="59">
        <v>258149523.86000001</v>
      </c>
      <c r="F25" s="59">
        <v>24940779.410000358</v>
      </c>
      <c r="G25" s="59">
        <v>0</v>
      </c>
      <c r="H25" s="59">
        <v>1858800</v>
      </c>
      <c r="I25" s="59">
        <v>218970821.61000001</v>
      </c>
      <c r="J25" s="59">
        <f t="shared" ref="J25" si="1">J27+J28+J29</f>
        <v>0</v>
      </c>
      <c r="K25" s="566"/>
    </row>
    <row r="26" spans="1:11" ht="15.75" x14ac:dyDescent="0.25">
      <c r="A26" s="132" t="s">
        <v>92</v>
      </c>
      <c r="B26" s="133"/>
      <c r="C26" s="134"/>
      <c r="D26" s="64">
        <v>0</v>
      </c>
      <c r="E26" s="64"/>
      <c r="F26" s="64"/>
      <c r="G26" s="64"/>
      <c r="H26" s="64"/>
      <c r="I26" s="59"/>
      <c r="J26" s="64"/>
      <c r="K26" s="461"/>
    </row>
    <row r="27" spans="1:11" ht="16.5" customHeight="1" x14ac:dyDescent="0.25">
      <c r="A27" s="132" t="s">
        <v>162</v>
      </c>
      <c r="B27" s="1383">
        <v>211</v>
      </c>
      <c r="C27" s="1002">
        <v>111</v>
      </c>
      <c r="D27" s="64">
        <v>385511131.37000036</v>
      </c>
      <c r="E27" s="64">
        <v>197402779.02000001</v>
      </c>
      <c r="F27" s="64">
        <v>19155752.180000357</v>
      </c>
      <c r="G27" s="64"/>
      <c r="H27" s="64">
        <v>1427649.77</v>
      </c>
      <c r="I27" s="64">
        <v>167524950.40000001</v>
      </c>
      <c r="J27" s="64"/>
      <c r="K27" s="461"/>
    </row>
    <row r="28" spans="1:11" ht="18.75" customHeight="1" x14ac:dyDescent="0.25">
      <c r="A28" s="132" t="s">
        <v>163</v>
      </c>
      <c r="B28" s="1383"/>
      <c r="C28" s="1002">
        <v>119</v>
      </c>
      <c r="D28" s="64">
        <v>116936009.53999999</v>
      </c>
      <c r="E28" s="64">
        <v>60222076.5</v>
      </c>
      <c r="F28" s="64">
        <v>5785027.2300000004</v>
      </c>
      <c r="G28" s="64"/>
      <c r="H28" s="64">
        <v>431150.23</v>
      </c>
      <c r="I28" s="64">
        <v>50497755.579999998</v>
      </c>
      <c r="J28" s="64"/>
      <c r="K28" s="461"/>
    </row>
    <row r="29" spans="1:11" ht="31.5" x14ac:dyDescent="0.25">
      <c r="A29" s="132" t="s">
        <v>164</v>
      </c>
      <c r="B29" s="1383"/>
      <c r="C29" s="1002">
        <v>112</v>
      </c>
      <c r="D29" s="64">
        <v>1472783.97</v>
      </c>
      <c r="E29" s="64">
        <v>524668.34</v>
      </c>
      <c r="F29" s="64">
        <v>0</v>
      </c>
      <c r="G29" s="64"/>
      <c r="H29" s="64"/>
      <c r="I29" s="64">
        <v>948115.63</v>
      </c>
      <c r="J29" s="64"/>
      <c r="K29" s="461"/>
    </row>
    <row r="30" spans="1:11" s="115" customFormat="1" ht="31.5" x14ac:dyDescent="0.2">
      <c r="A30" s="130" t="s">
        <v>165</v>
      </c>
      <c r="B30" s="1383">
        <v>220</v>
      </c>
      <c r="C30" s="114">
        <v>300</v>
      </c>
      <c r="D30" s="59"/>
      <c r="E30" s="59"/>
      <c r="F30" s="59"/>
      <c r="G30" s="59"/>
      <c r="H30" s="59"/>
      <c r="I30" s="59"/>
      <c r="J30" s="59"/>
      <c r="K30" s="566"/>
    </row>
    <row r="31" spans="1:11" ht="15.75" x14ac:dyDescent="0.25">
      <c r="A31" s="132" t="s">
        <v>92</v>
      </c>
      <c r="B31" s="1383"/>
      <c r="C31" s="134"/>
      <c r="D31" s="59"/>
      <c r="E31" s="64"/>
      <c r="F31" s="64"/>
      <c r="G31" s="64"/>
      <c r="H31" s="64"/>
      <c r="I31" s="59"/>
      <c r="J31" s="64"/>
      <c r="K31" s="461"/>
    </row>
    <row r="32" spans="1:11" ht="15.75" x14ac:dyDescent="0.25">
      <c r="A32" s="1386" t="s">
        <v>166</v>
      </c>
      <c r="B32" s="1383"/>
      <c r="C32" s="1002">
        <v>321</v>
      </c>
      <c r="D32" s="59"/>
      <c r="E32" s="64"/>
      <c r="F32" s="64"/>
      <c r="G32" s="64"/>
      <c r="H32" s="64"/>
      <c r="I32" s="59"/>
      <c r="J32" s="64"/>
      <c r="K32" s="461"/>
    </row>
    <row r="33" spans="1:11" ht="15.75" x14ac:dyDescent="0.25">
      <c r="A33" s="1386"/>
      <c r="B33" s="1383"/>
      <c r="C33" s="1002">
        <v>360</v>
      </c>
      <c r="D33" s="59"/>
      <c r="E33" s="64"/>
      <c r="F33" s="64"/>
      <c r="G33" s="64"/>
      <c r="H33" s="64"/>
      <c r="I33" s="59"/>
      <c r="J33" s="64"/>
      <c r="K33" s="461"/>
    </row>
    <row r="34" spans="1:11" s="115" customFormat="1" ht="15.75" x14ac:dyDescent="0.2">
      <c r="A34" s="112" t="s">
        <v>167</v>
      </c>
      <c r="B34" s="1023"/>
      <c r="C34" s="114">
        <v>800</v>
      </c>
      <c r="D34" s="59">
        <v>13906376.73</v>
      </c>
      <c r="E34" s="59">
        <v>5201007.6000000006</v>
      </c>
      <c r="F34" s="59">
        <v>1914231.98</v>
      </c>
      <c r="G34" s="59">
        <v>0</v>
      </c>
      <c r="H34" s="59">
        <v>0</v>
      </c>
      <c r="I34" s="59">
        <v>6791137.1500000004</v>
      </c>
      <c r="J34" s="59">
        <f t="shared" ref="J34" si="2">J35+J37</f>
        <v>0</v>
      </c>
      <c r="K34" s="566"/>
    </row>
    <row r="35" spans="1:11" s="115" customFormat="1" ht="15.75" x14ac:dyDescent="0.2">
      <c r="A35" s="112" t="s">
        <v>168</v>
      </c>
      <c r="B35" s="1023"/>
      <c r="C35" s="114">
        <v>830</v>
      </c>
      <c r="D35" s="59">
        <v>500000</v>
      </c>
      <c r="E35" s="59">
        <v>0</v>
      </c>
      <c r="F35" s="59">
        <v>0</v>
      </c>
      <c r="G35" s="59">
        <v>0</v>
      </c>
      <c r="H35" s="59">
        <v>0</v>
      </c>
      <c r="I35" s="59">
        <v>500000</v>
      </c>
      <c r="J35" s="59">
        <f t="shared" ref="J35" si="3">SUM(J36)</f>
        <v>0</v>
      </c>
      <c r="K35" s="566"/>
    </row>
    <row r="36" spans="1:11" ht="63" x14ac:dyDescent="0.25">
      <c r="A36" s="1022" t="s">
        <v>169</v>
      </c>
      <c r="B36" s="1020"/>
      <c r="C36" s="1021">
        <v>831</v>
      </c>
      <c r="D36" s="64">
        <v>500000</v>
      </c>
      <c r="E36" s="64"/>
      <c r="F36" s="64"/>
      <c r="G36" s="64"/>
      <c r="H36" s="64"/>
      <c r="I36" s="64">
        <v>500000</v>
      </c>
      <c r="J36" s="64"/>
      <c r="K36" s="461"/>
    </row>
    <row r="37" spans="1:11" s="115" customFormat="1" ht="33" customHeight="1" x14ac:dyDescent="0.2">
      <c r="A37" s="130" t="s">
        <v>170</v>
      </c>
      <c r="B37" s="1383">
        <v>230</v>
      </c>
      <c r="C37" s="114">
        <v>850</v>
      </c>
      <c r="D37" s="59">
        <v>13406376.73</v>
      </c>
      <c r="E37" s="59">
        <v>5201007.6000000006</v>
      </c>
      <c r="F37" s="59">
        <v>1914231.98</v>
      </c>
      <c r="G37" s="59">
        <v>0</v>
      </c>
      <c r="H37" s="59">
        <v>0</v>
      </c>
      <c r="I37" s="59">
        <v>6291137.1500000004</v>
      </c>
      <c r="J37" s="59">
        <f>J39+J40+J41</f>
        <v>0</v>
      </c>
      <c r="K37" s="566"/>
    </row>
    <row r="38" spans="1:11" ht="15.75" x14ac:dyDescent="0.25">
      <c r="A38" s="132" t="s">
        <v>92</v>
      </c>
      <c r="B38" s="1383"/>
      <c r="C38" s="134"/>
      <c r="D38" s="64"/>
      <c r="E38" s="64"/>
      <c r="F38" s="64"/>
      <c r="G38" s="64"/>
      <c r="H38" s="64"/>
      <c r="I38" s="59"/>
      <c r="J38" s="64"/>
      <c r="K38" s="461"/>
    </row>
    <row r="39" spans="1:11" ht="31.5" x14ac:dyDescent="0.25">
      <c r="A39" s="132" t="s">
        <v>171</v>
      </c>
      <c r="B39" s="1383"/>
      <c r="C39" s="1002">
        <v>851</v>
      </c>
      <c r="D39" s="64">
        <v>11931466.700000001</v>
      </c>
      <c r="E39" s="64">
        <v>4890097.57</v>
      </c>
      <c r="F39" s="64">
        <v>1914231.98</v>
      </c>
      <c r="G39" s="64"/>
      <c r="H39" s="64"/>
      <c r="I39" s="64">
        <v>5127137.1500000004</v>
      </c>
      <c r="J39" s="64"/>
      <c r="K39" s="461"/>
    </row>
    <row r="40" spans="1:11" ht="15.75" x14ac:dyDescent="0.25">
      <c r="A40" s="132" t="s">
        <v>172</v>
      </c>
      <c r="B40" s="1383"/>
      <c r="C40" s="1002">
        <v>852</v>
      </c>
      <c r="D40" s="64">
        <v>821267.46</v>
      </c>
      <c r="E40" s="64">
        <v>209267.46</v>
      </c>
      <c r="F40" s="64">
        <v>0</v>
      </c>
      <c r="G40" s="64"/>
      <c r="H40" s="64"/>
      <c r="I40" s="64">
        <v>612000</v>
      </c>
      <c r="J40" s="64"/>
      <c r="K40" s="461"/>
    </row>
    <row r="41" spans="1:11" ht="18.75" customHeight="1" x14ac:dyDescent="0.25">
      <c r="A41" s="132" t="s">
        <v>173</v>
      </c>
      <c r="B41" s="1383"/>
      <c r="C41" s="1002">
        <v>853</v>
      </c>
      <c r="D41" s="64">
        <v>653642.57000000007</v>
      </c>
      <c r="E41" s="64">
        <v>101642.57</v>
      </c>
      <c r="F41" s="64">
        <v>0</v>
      </c>
      <c r="G41" s="64"/>
      <c r="H41" s="64"/>
      <c r="I41" s="64">
        <v>552000</v>
      </c>
      <c r="J41" s="64"/>
      <c r="K41" s="461"/>
    </row>
    <row r="42" spans="1:11" ht="15.75" x14ac:dyDescent="0.25">
      <c r="A42" s="132" t="s">
        <v>174</v>
      </c>
      <c r="B42" s="1003">
        <v>240</v>
      </c>
      <c r="C42" s="1002">
        <v>853</v>
      </c>
      <c r="D42" s="64"/>
      <c r="E42" s="64"/>
      <c r="F42" s="64"/>
      <c r="G42" s="64"/>
      <c r="H42" s="64"/>
      <c r="I42" s="59"/>
      <c r="J42" s="64"/>
      <c r="K42" s="461"/>
    </row>
    <row r="43" spans="1:11" s="115" customFormat="1" ht="31.5" x14ac:dyDescent="0.2">
      <c r="A43" s="130" t="s">
        <v>175</v>
      </c>
      <c r="B43" s="1391">
        <v>250</v>
      </c>
      <c r="C43" s="138"/>
      <c r="D43" s="59"/>
      <c r="E43" s="59">
        <v>0</v>
      </c>
      <c r="F43" s="59"/>
      <c r="G43" s="59">
        <v>0</v>
      </c>
      <c r="H43" s="59">
        <v>0</v>
      </c>
      <c r="I43" s="59"/>
      <c r="J43" s="59">
        <f>J45</f>
        <v>0</v>
      </c>
      <c r="K43" s="566"/>
    </row>
    <row r="44" spans="1:11" s="115" customFormat="1" ht="15.75" x14ac:dyDescent="0.2">
      <c r="A44" s="130" t="s">
        <v>92</v>
      </c>
      <c r="B44" s="1391"/>
      <c r="C44" s="138"/>
      <c r="D44" s="59"/>
      <c r="E44" s="59"/>
      <c r="F44" s="59"/>
      <c r="G44" s="59"/>
      <c r="H44" s="59"/>
      <c r="I44" s="59"/>
      <c r="J44" s="59"/>
      <c r="K44" s="566"/>
    </row>
    <row r="45" spans="1:11" s="115" customFormat="1" ht="15.75" x14ac:dyDescent="0.2">
      <c r="A45" s="139"/>
      <c r="B45" s="1391"/>
      <c r="C45" s="138"/>
      <c r="D45" s="59"/>
      <c r="E45" s="59"/>
      <c r="F45" s="59"/>
      <c r="G45" s="59"/>
      <c r="H45" s="59"/>
      <c r="I45" s="59"/>
      <c r="J45" s="59"/>
      <c r="K45" s="566"/>
    </row>
    <row r="46" spans="1:11" s="115" customFormat="1" ht="31.5" x14ac:dyDescent="0.2">
      <c r="A46" s="130" t="s">
        <v>176</v>
      </c>
      <c r="B46" s="1388">
        <v>260</v>
      </c>
      <c r="C46" s="114">
        <v>240</v>
      </c>
      <c r="D46" s="59">
        <v>2802258535.0699997</v>
      </c>
      <c r="E46" s="59">
        <v>64788159.519999996</v>
      </c>
      <c r="F46" s="59">
        <v>2548077164.7599998</v>
      </c>
      <c r="G46" s="59">
        <v>0</v>
      </c>
      <c r="H46" s="59">
        <v>50000</v>
      </c>
      <c r="I46" s="59">
        <v>189343210.78999999</v>
      </c>
      <c r="J46" s="59">
        <f>J48+J49+J50+J51+J52+J53+J57+J62</f>
        <v>0</v>
      </c>
      <c r="K46" s="566"/>
    </row>
    <row r="47" spans="1:11" ht="15.75" x14ac:dyDescent="0.25">
      <c r="A47" s="132" t="s">
        <v>92</v>
      </c>
      <c r="B47" s="1392"/>
      <c r="C47" s="134"/>
      <c r="D47" s="64"/>
      <c r="E47" s="64"/>
      <c r="F47" s="64"/>
      <c r="G47" s="64"/>
      <c r="H47" s="64"/>
      <c r="I47" s="59"/>
      <c r="J47" s="64"/>
      <c r="K47" s="461"/>
    </row>
    <row r="48" spans="1:11" ht="31.5" x14ac:dyDescent="0.25">
      <c r="A48" s="132" t="s">
        <v>177</v>
      </c>
      <c r="B48" s="1392"/>
      <c r="C48" s="1002">
        <v>241</v>
      </c>
      <c r="D48" s="64"/>
      <c r="E48" s="64"/>
      <c r="F48" s="64"/>
      <c r="G48" s="64"/>
      <c r="H48" s="64"/>
      <c r="I48" s="59"/>
      <c r="J48" s="64"/>
      <c r="K48" s="461"/>
    </row>
    <row r="49" spans="1:11" ht="15.75" customHeight="1" x14ac:dyDescent="0.25">
      <c r="A49" s="132" t="s">
        <v>178</v>
      </c>
      <c r="B49" s="1392"/>
      <c r="C49" s="1002">
        <v>244</v>
      </c>
      <c r="D49" s="460">
        <v>2697075.81</v>
      </c>
      <c r="E49" s="64">
        <v>1161798.3400000001</v>
      </c>
      <c r="F49" s="64">
        <v>255973.67</v>
      </c>
      <c r="G49" s="64"/>
      <c r="H49" s="64"/>
      <c r="I49" s="64">
        <v>1279303.8</v>
      </c>
      <c r="J49" s="64"/>
      <c r="K49" s="461"/>
    </row>
    <row r="50" spans="1:11" ht="19.5" customHeight="1" x14ac:dyDescent="0.25">
      <c r="A50" s="132" t="s">
        <v>179</v>
      </c>
      <c r="B50" s="1392"/>
      <c r="C50" s="1002">
        <v>244</v>
      </c>
      <c r="D50" s="460">
        <v>136040</v>
      </c>
      <c r="E50" s="64"/>
      <c r="F50" s="64">
        <v>0</v>
      </c>
      <c r="G50" s="64"/>
      <c r="H50" s="64"/>
      <c r="I50" s="64">
        <v>136040</v>
      </c>
      <c r="J50" s="64"/>
      <c r="K50" s="461"/>
    </row>
    <row r="51" spans="1:11" ht="16.5" customHeight="1" x14ac:dyDescent="0.25">
      <c r="A51" s="132" t="s">
        <v>180</v>
      </c>
      <c r="B51" s="1392"/>
      <c r="C51" s="1002">
        <v>244</v>
      </c>
      <c r="D51" s="460">
        <v>51799686.170000002</v>
      </c>
      <c r="E51" s="64">
        <v>15449285.23</v>
      </c>
      <c r="F51" s="64">
        <v>11762136.630000001</v>
      </c>
      <c r="G51" s="64"/>
      <c r="H51" s="64"/>
      <c r="I51" s="64">
        <v>24588264.309999999</v>
      </c>
      <c r="J51" s="64"/>
      <c r="K51" s="461"/>
    </row>
    <row r="52" spans="1:11" ht="15.75" x14ac:dyDescent="0.25">
      <c r="A52" s="132" t="s">
        <v>181</v>
      </c>
      <c r="B52" s="1392"/>
      <c r="C52" s="1002">
        <v>244</v>
      </c>
      <c r="D52" s="460">
        <v>0</v>
      </c>
      <c r="E52" s="64"/>
      <c r="F52" s="64">
        <v>0</v>
      </c>
      <c r="G52" s="64"/>
      <c r="H52" s="64"/>
      <c r="I52" s="64">
        <v>0</v>
      </c>
      <c r="J52" s="64"/>
      <c r="K52" s="461"/>
    </row>
    <row r="53" spans="1:11" ht="15.75" x14ac:dyDescent="0.25">
      <c r="A53" s="1384" t="s">
        <v>182</v>
      </c>
      <c r="B53" s="1392"/>
      <c r="C53" s="1383">
        <v>243</v>
      </c>
      <c r="D53" s="460">
        <v>1164619408.2</v>
      </c>
      <c r="E53" s="64">
        <v>0</v>
      </c>
      <c r="F53" s="64">
        <v>1164619408.2</v>
      </c>
      <c r="G53" s="64"/>
      <c r="H53" s="122"/>
      <c r="I53" s="64">
        <v>0</v>
      </c>
      <c r="J53" s="64"/>
      <c r="K53" s="461"/>
    </row>
    <row r="54" spans="1:11" s="145" customFormat="1" ht="19.5" hidden="1" customHeight="1" x14ac:dyDescent="0.25">
      <c r="A54" s="1384"/>
      <c r="B54" s="1392"/>
      <c r="C54" s="1383"/>
      <c r="D54" s="460">
        <v>0</v>
      </c>
      <c r="E54" s="64">
        <v>0</v>
      </c>
      <c r="F54" s="64">
        <v>0</v>
      </c>
      <c r="G54" s="144"/>
      <c r="H54" s="270"/>
      <c r="I54" s="64">
        <v>0</v>
      </c>
      <c r="J54" s="144"/>
      <c r="K54" s="567"/>
    </row>
    <row r="55" spans="1:11" s="145" customFormat="1" ht="19.5" hidden="1" customHeight="1" x14ac:dyDescent="0.25">
      <c r="A55" s="1384"/>
      <c r="B55" s="1392"/>
      <c r="C55" s="1383"/>
      <c r="D55" s="460">
        <v>0</v>
      </c>
      <c r="E55" s="64">
        <v>0</v>
      </c>
      <c r="F55" s="64">
        <v>0</v>
      </c>
      <c r="G55" s="144"/>
      <c r="H55" s="270"/>
      <c r="I55" s="64">
        <v>0</v>
      </c>
      <c r="J55" s="144"/>
      <c r="K55" s="567"/>
    </row>
    <row r="56" spans="1:11" ht="19.5" customHeight="1" x14ac:dyDescent="0.25">
      <c r="A56" s="1384"/>
      <c r="B56" s="1392"/>
      <c r="C56" s="1002">
        <v>244</v>
      </c>
      <c r="D56" s="460">
        <v>95253384.229999989</v>
      </c>
      <c r="E56" s="64">
        <v>12216960.369999999</v>
      </c>
      <c r="F56" s="64">
        <v>41677947.25</v>
      </c>
      <c r="G56" s="64"/>
      <c r="H56" s="64"/>
      <c r="I56" s="64">
        <v>41358476.609999999</v>
      </c>
      <c r="J56" s="64"/>
      <c r="K56" s="461"/>
    </row>
    <row r="57" spans="1:11" ht="19.5" customHeight="1" x14ac:dyDescent="0.25">
      <c r="A57" s="1384" t="s">
        <v>183</v>
      </c>
      <c r="B57" s="1392"/>
      <c r="C57" s="1383">
        <v>243</v>
      </c>
      <c r="D57" s="460">
        <v>115847257.70999999</v>
      </c>
      <c r="E57" s="64">
        <v>0</v>
      </c>
      <c r="F57" s="64">
        <v>115847257.70999999</v>
      </c>
      <c r="G57" s="64"/>
      <c r="H57" s="122"/>
      <c r="I57" s="64">
        <v>0</v>
      </c>
      <c r="J57" s="64"/>
      <c r="K57" s="461"/>
    </row>
    <row r="58" spans="1:11" s="145" customFormat="1" ht="15.75" hidden="1" customHeight="1" x14ac:dyDescent="0.25">
      <c r="A58" s="1384"/>
      <c r="B58" s="1392"/>
      <c r="C58" s="1383"/>
      <c r="D58" s="460" t="e">
        <v>#REF!</v>
      </c>
      <c r="E58" s="64">
        <v>0</v>
      </c>
      <c r="F58" s="64" t="e">
        <v>#REF!</v>
      </c>
      <c r="G58" s="144"/>
      <c r="H58" s="270"/>
      <c r="I58" s="64">
        <v>0</v>
      </c>
      <c r="J58" s="144"/>
      <c r="K58" s="567"/>
    </row>
    <row r="59" spans="1:11" s="145" customFormat="1" ht="33.75" hidden="1" customHeight="1" x14ac:dyDescent="0.25">
      <c r="A59" s="1384"/>
      <c r="B59" s="1392"/>
      <c r="C59" s="1383"/>
      <c r="D59" s="460" t="e">
        <v>#REF!</v>
      </c>
      <c r="E59" s="64">
        <v>0</v>
      </c>
      <c r="F59" s="64" t="e">
        <v>#REF!</v>
      </c>
      <c r="G59" s="144"/>
      <c r="H59" s="270"/>
      <c r="I59" s="64">
        <v>0</v>
      </c>
      <c r="J59" s="144"/>
      <c r="K59" s="567"/>
    </row>
    <row r="60" spans="1:11" ht="19.5" customHeight="1" x14ac:dyDescent="0.25">
      <c r="A60" s="1384"/>
      <c r="B60" s="1392"/>
      <c r="C60" s="1002">
        <v>244</v>
      </c>
      <c r="D60" s="460">
        <v>866566557.60000014</v>
      </c>
      <c r="E60" s="64">
        <v>4058449.94</v>
      </c>
      <c r="F60" s="64">
        <v>841838424.33000004</v>
      </c>
      <c r="G60" s="64"/>
      <c r="H60" s="64">
        <v>50000</v>
      </c>
      <c r="I60" s="64">
        <v>20619683.329999998</v>
      </c>
      <c r="J60" s="64"/>
      <c r="K60" s="461"/>
    </row>
    <row r="61" spans="1:11" ht="19.5" customHeight="1" x14ac:dyDescent="0.25">
      <c r="A61" s="1384" t="s">
        <v>184</v>
      </c>
      <c r="B61" s="1392"/>
      <c r="C61" s="1002">
        <v>243</v>
      </c>
      <c r="D61" s="460">
        <v>0</v>
      </c>
      <c r="E61" s="64">
        <v>0</v>
      </c>
      <c r="F61" s="64">
        <v>0</v>
      </c>
      <c r="G61" s="64">
        <v>0</v>
      </c>
      <c r="H61" s="64">
        <v>0</v>
      </c>
      <c r="I61" s="64">
        <v>0</v>
      </c>
      <c r="J61" s="64">
        <v>0</v>
      </c>
      <c r="K61" s="461"/>
    </row>
    <row r="62" spans="1:11" ht="16.5" customHeight="1" x14ac:dyDescent="0.25">
      <c r="A62" s="1384"/>
      <c r="B62" s="1392"/>
      <c r="C62" s="1002">
        <v>244</v>
      </c>
      <c r="D62" s="460">
        <v>1034</v>
      </c>
      <c r="E62" s="64">
        <v>1034</v>
      </c>
      <c r="F62" s="64"/>
      <c r="G62" s="64">
        <v>0</v>
      </c>
      <c r="H62" s="64">
        <v>0</v>
      </c>
      <c r="I62" s="64">
        <v>0</v>
      </c>
      <c r="J62" s="64">
        <f t="shared" ref="J62" si="4">SUM(J63:J67)</f>
        <v>0</v>
      </c>
      <c r="K62" s="461"/>
    </row>
    <row r="63" spans="1:11" ht="15.75" x14ac:dyDescent="0.25">
      <c r="A63" s="1384" t="s">
        <v>185</v>
      </c>
      <c r="B63" s="1392"/>
      <c r="C63" s="1002">
        <v>243</v>
      </c>
      <c r="D63" s="460">
        <v>860103.18</v>
      </c>
      <c r="E63" s="64"/>
      <c r="F63" s="64">
        <v>860103.18</v>
      </c>
      <c r="G63" s="64"/>
      <c r="H63" s="64"/>
      <c r="I63" s="64">
        <v>0</v>
      </c>
      <c r="J63" s="64"/>
      <c r="K63" s="461"/>
    </row>
    <row r="64" spans="1:11" ht="15.75" x14ac:dyDescent="0.25">
      <c r="A64" s="1384"/>
      <c r="B64" s="1392"/>
      <c r="C64" s="1002">
        <v>244</v>
      </c>
      <c r="D64" s="460">
        <v>278219738.77999997</v>
      </c>
      <c r="E64" s="64">
        <v>2653160.7799999998</v>
      </c>
      <c r="F64" s="64">
        <v>272556358.69999999</v>
      </c>
      <c r="G64" s="64"/>
      <c r="H64" s="64"/>
      <c r="I64" s="64">
        <v>3010219.3</v>
      </c>
      <c r="J64" s="64"/>
      <c r="K64" s="461"/>
    </row>
    <row r="65" spans="1:11" ht="31.5" x14ac:dyDescent="0.25">
      <c r="A65" s="132" t="s">
        <v>186</v>
      </c>
      <c r="B65" s="1392"/>
      <c r="C65" s="1002">
        <v>244</v>
      </c>
      <c r="D65" s="460">
        <v>0</v>
      </c>
      <c r="E65" s="64"/>
      <c r="F65" s="64">
        <v>0</v>
      </c>
      <c r="G65" s="64"/>
      <c r="H65" s="64"/>
      <c r="I65" s="64">
        <v>0</v>
      </c>
      <c r="J65" s="64"/>
      <c r="K65" s="461"/>
    </row>
    <row r="66" spans="1:11" ht="15.75" x14ac:dyDescent="0.25">
      <c r="A66" s="1384" t="s">
        <v>187</v>
      </c>
      <c r="B66" s="1392"/>
      <c r="C66" s="1002">
        <v>243</v>
      </c>
      <c r="D66" s="460">
        <v>0</v>
      </c>
      <c r="E66" s="64"/>
      <c r="F66" s="64">
        <v>0</v>
      </c>
      <c r="G66" s="64"/>
      <c r="H66" s="64"/>
      <c r="I66" s="64">
        <v>0</v>
      </c>
      <c r="J66" s="64"/>
      <c r="K66" s="461"/>
    </row>
    <row r="67" spans="1:11" ht="15.75" x14ac:dyDescent="0.25">
      <c r="A67" s="1384"/>
      <c r="B67" s="1389"/>
      <c r="C67" s="1002">
        <v>244</v>
      </c>
      <c r="D67" s="460">
        <v>226258249.38999999</v>
      </c>
      <c r="E67" s="64">
        <v>29247470.859999999</v>
      </c>
      <c r="F67" s="64">
        <v>98659555.090000004</v>
      </c>
      <c r="G67" s="64"/>
      <c r="H67" s="64"/>
      <c r="I67" s="64">
        <v>98351223.439999998</v>
      </c>
      <c r="J67" s="64"/>
      <c r="K67" s="461"/>
    </row>
    <row r="68" spans="1:11" s="115" customFormat="1" ht="21.75" customHeight="1" x14ac:dyDescent="0.2">
      <c r="A68" s="130" t="s">
        <v>188</v>
      </c>
      <c r="B68" s="1004">
        <v>300</v>
      </c>
      <c r="C68" s="114" t="s">
        <v>149</v>
      </c>
      <c r="D68" s="59"/>
      <c r="E68" s="59">
        <v>0</v>
      </c>
      <c r="F68" s="59"/>
      <c r="G68" s="59">
        <v>0</v>
      </c>
      <c r="H68" s="59">
        <v>0</v>
      </c>
      <c r="I68" s="64"/>
      <c r="J68" s="59">
        <f>SUM(J70:J71)</f>
        <v>0</v>
      </c>
      <c r="K68" s="566"/>
    </row>
    <row r="69" spans="1:11" ht="15.75" x14ac:dyDescent="0.25">
      <c r="A69" s="132" t="s">
        <v>92</v>
      </c>
      <c r="B69" s="133"/>
      <c r="C69" s="134"/>
      <c r="D69" s="64"/>
      <c r="E69" s="64"/>
      <c r="F69" s="64"/>
      <c r="G69" s="64"/>
      <c r="H69" s="64"/>
      <c r="I69" s="59"/>
      <c r="J69" s="64"/>
      <c r="K69" s="461"/>
    </row>
    <row r="70" spans="1:11" ht="15.75" x14ac:dyDescent="0.25">
      <c r="A70" s="132" t="s">
        <v>189</v>
      </c>
      <c r="B70" s="1003">
        <v>310</v>
      </c>
      <c r="C70" s="134"/>
      <c r="D70" s="64"/>
      <c r="E70" s="64"/>
      <c r="F70" s="64"/>
      <c r="G70" s="64"/>
      <c r="H70" s="64"/>
      <c r="I70" s="59"/>
      <c r="J70" s="64"/>
      <c r="K70" s="461"/>
    </row>
    <row r="71" spans="1:11" ht="15.75" x14ac:dyDescent="0.25">
      <c r="A71" s="132" t="s">
        <v>190</v>
      </c>
      <c r="B71" s="1003">
        <v>320</v>
      </c>
      <c r="C71" s="134"/>
      <c r="D71" s="64"/>
      <c r="E71" s="64"/>
      <c r="F71" s="64"/>
      <c r="G71" s="64"/>
      <c r="H71" s="64"/>
      <c r="I71" s="59"/>
      <c r="J71" s="64"/>
      <c r="K71" s="461"/>
    </row>
    <row r="72" spans="1:11" s="115" customFormat="1" ht="15.75" x14ac:dyDescent="0.2">
      <c r="A72" s="130" t="s">
        <v>191</v>
      </c>
      <c r="B72" s="1004">
        <v>400</v>
      </c>
      <c r="C72" s="138"/>
      <c r="D72" s="59">
        <v>-205614792.37</v>
      </c>
      <c r="E72" s="59">
        <v>0</v>
      </c>
      <c r="F72" s="59">
        <v>-205614792.37</v>
      </c>
      <c r="G72" s="59">
        <v>0</v>
      </c>
      <c r="H72" s="59">
        <v>0</v>
      </c>
      <c r="I72" s="59"/>
      <c r="J72" s="59">
        <f>J74+J75</f>
        <v>0</v>
      </c>
      <c r="K72" s="566"/>
    </row>
    <row r="73" spans="1:11" ht="15.75" x14ac:dyDescent="0.25">
      <c r="A73" s="132" t="s">
        <v>92</v>
      </c>
      <c r="B73" s="133"/>
      <c r="C73" s="134"/>
      <c r="D73" s="64"/>
      <c r="E73" s="64"/>
      <c r="F73" s="64"/>
      <c r="G73" s="64"/>
      <c r="H73" s="64"/>
      <c r="I73" s="59"/>
      <c r="J73" s="64"/>
      <c r="K73" s="461"/>
    </row>
    <row r="74" spans="1:11" ht="15.75" x14ac:dyDescent="0.25">
      <c r="A74" s="132" t="s">
        <v>192</v>
      </c>
      <c r="B74" s="1003">
        <v>410</v>
      </c>
      <c r="C74" s="134"/>
      <c r="D74" s="64">
        <v>-205614792.37</v>
      </c>
      <c r="E74" s="64"/>
      <c r="F74" s="64">
        <v>-205614792.37</v>
      </c>
      <c r="G74" s="64"/>
      <c r="H74" s="64"/>
      <c r="I74" s="59"/>
      <c r="J74" s="64"/>
      <c r="K74" s="461"/>
    </row>
    <row r="75" spans="1:11" ht="15.75" x14ac:dyDescent="0.25">
      <c r="A75" s="132" t="s">
        <v>193</v>
      </c>
      <c r="B75" s="1003">
        <v>420</v>
      </c>
      <c r="C75" s="134"/>
      <c r="D75" s="64">
        <v>0</v>
      </c>
      <c r="E75" s="64"/>
      <c r="F75" s="64"/>
      <c r="G75" s="64"/>
      <c r="H75" s="64"/>
      <c r="I75" s="59"/>
      <c r="J75" s="64"/>
      <c r="K75" s="461"/>
    </row>
    <row r="76" spans="1:11" s="115" customFormat="1" ht="17.25" customHeight="1" x14ac:dyDescent="0.2">
      <c r="A76" s="130" t="s">
        <v>194</v>
      </c>
      <c r="B76" s="1004">
        <v>500</v>
      </c>
      <c r="C76" s="114" t="s">
        <v>149</v>
      </c>
      <c r="D76" s="577">
        <v>625060898.94000006</v>
      </c>
      <c r="E76" s="577">
        <v>21072590.98</v>
      </c>
      <c r="F76" s="577">
        <v>593808468.51999998</v>
      </c>
      <c r="G76" s="577">
        <v>0</v>
      </c>
      <c r="H76" s="577"/>
      <c r="I76" s="577">
        <v>10179839.439999999</v>
      </c>
      <c r="J76" s="59">
        <v>0</v>
      </c>
      <c r="K76" s="566"/>
    </row>
    <row r="77" spans="1:11" s="115" customFormat="1" ht="15.75" x14ac:dyDescent="0.2">
      <c r="A77" s="130" t="s">
        <v>195</v>
      </c>
      <c r="B77" s="1004">
        <v>600</v>
      </c>
      <c r="C77" s="114" t="s">
        <v>149</v>
      </c>
      <c r="D77" s="1051">
        <v>0</v>
      </c>
      <c r="E77" s="577">
        <v>0</v>
      </c>
      <c r="F77" s="1051">
        <v>0</v>
      </c>
      <c r="G77" s="577">
        <v>0</v>
      </c>
      <c r="H77" s="577">
        <v>0</v>
      </c>
      <c r="I77" s="1050">
        <v>0</v>
      </c>
      <c r="J77" s="59">
        <f t="shared" ref="J77" si="5">J10+J76-J24</f>
        <v>0</v>
      </c>
      <c r="K77" s="566"/>
    </row>
    <row r="78" spans="1:11" ht="20.25" customHeight="1" x14ac:dyDescent="0.25">
      <c r="D78" s="578"/>
      <c r="E78" s="578"/>
      <c r="F78" s="578"/>
      <c r="G78" s="578"/>
      <c r="H78" s="579"/>
      <c r="I78" s="579"/>
    </row>
    <row r="79" spans="1:11" x14ac:dyDescent="0.25">
      <c r="E79" s="111"/>
    </row>
    <row r="80" spans="1:11" x14ac:dyDescent="0.25">
      <c r="E80" s="111"/>
      <c r="F80" s="111"/>
      <c r="H80" s="137"/>
      <c r="J80" s="151"/>
    </row>
    <row r="81" spans="4:10" x14ac:dyDescent="0.25">
      <c r="E81" s="111"/>
      <c r="F81" s="111"/>
      <c r="H81" s="137"/>
      <c r="J81" s="151"/>
    </row>
    <row r="82" spans="4:10" x14ac:dyDescent="0.25">
      <c r="E82" s="117"/>
      <c r="F82" s="111"/>
      <c r="H82" s="137"/>
      <c r="J82" s="151"/>
    </row>
    <row r="83" spans="4:10" x14ac:dyDescent="0.25">
      <c r="E83" s="117"/>
    </row>
    <row r="84" spans="4:10" x14ac:dyDescent="0.25">
      <c r="E84" s="117"/>
    </row>
    <row r="85" spans="4:10" x14ac:dyDescent="0.25">
      <c r="D85" s="111"/>
      <c r="E85" s="117"/>
    </row>
    <row r="86" spans="4:10" x14ac:dyDescent="0.25">
      <c r="D86" s="111"/>
      <c r="E86" s="117"/>
      <c r="F86" s="111"/>
    </row>
    <row r="87" spans="4:10" x14ac:dyDescent="0.25">
      <c r="E87" s="117"/>
    </row>
    <row r="88" spans="4:10" x14ac:dyDescent="0.25">
      <c r="E88" s="117"/>
    </row>
    <row r="89" spans="4:10" x14ac:dyDescent="0.25">
      <c r="E89" s="117"/>
    </row>
    <row r="90" spans="4:10" x14ac:dyDescent="0.25">
      <c r="E90" s="117"/>
    </row>
    <row r="91" spans="4:10" x14ac:dyDescent="0.25">
      <c r="E91" s="117"/>
    </row>
    <row r="92" spans="4:10" x14ac:dyDescent="0.25">
      <c r="E92" s="117"/>
    </row>
    <row r="93" spans="4:10" x14ac:dyDescent="0.25">
      <c r="E93" s="117"/>
    </row>
    <row r="94" spans="4:10" x14ac:dyDescent="0.25">
      <c r="E94" s="117"/>
    </row>
    <row r="95" spans="4:10" x14ac:dyDescent="0.25">
      <c r="E95" s="117"/>
    </row>
    <row r="96" spans="4:10" x14ac:dyDescent="0.25">
      <c r="E96" s="117"/>
    </row>
    <row r="97" spans="5:5" x14ac:dyDescent="0.25">
      <c r="E97" s="117"/>
    </row>
    <row r="98" spans="5:5" x14ac:dyDescent="0.25">
      <c r="E98" s="117"/>
    </row>
    <row r="99" spans="5:5" x14ac:dyDescent="0.25">
      <c r="E99" s="117"/>
    </row>
    <row r="100" spans="5:5" x14ac:dyDescent="0.25">
      <c r="E100" s="117"/>
    </row>
    <row r="101" spans="5:5" x14ac:dyDescent="0.25">
      <c r="E101" s="117"/>
    </row>
    <row r="102" spans="5:5" x14ac:dyDescent="0.25">
      <c r="E102" s="117"/>
    </row>
    <row r="103" spans="5:5" x14ac:dyDescent="0.25">
      <c r="E103" s="117"/>
    </row>
    <row r="104" spans="5:5" x14ac:dyDescent="0.25">
      <c r="E104" s="117"/>
    </row>
    <row r="105" spans="5:5" x14ac:dyDescent="0.25">
      <c r="E105" s="117"/>
    </row>
    <row r="106" spans="5:5" x14ac:dyDescent="0.25">
      <c r="E106" s="117"/>
    </row>
    <row r="107" spans="5:5" x14ac:dyDescent="0.25">
      <c r="E107" s="117"/>
    </row>
    <row r="108" spans="5:5" x14ac:dyDescent="0.25">
      <c r="E108" s="117"/>
    </row>
    <row r="109" spans="5:5" x14ac:dyDescent="0.25">
      <c r="E109" s="117"/>
    </row>
    <row r="110" spans="5:5" x14ac:dyDescent="0.25">
      <c r="E110" s="117"/>
    </row>
    <row r="111" spans="5:5" x14ac:dyDescent="0.25">
      <c r="E111" s="117"/>
    </row>
    <row r="112" spans="5:5" x14ac:dyDescent="0.25">
      <c r="E112" s="117"/>
    </row>
    <row r="113" spans="5:5" x14ac:dyDescent="0.25">
      <c r="E113" s="117"/>
    </row>
  </sheetData>
  <mergeCells count="24">
    <mergeCell ref="A32:A33"/>
    <mergeCell ref="A5:A8"/>
    <mergeCell ref="B5:B8"/>
    <mergeCell ref="C5:C8"/>
    <mergeCell ref="D5:J5"/>
    <mergeCell ref="D6:D8"/>
    <mergeCell ref="E6:J6"/>
    <mergeCell ref="E7:E8"/>
    <mergeCell ref="F7:F8"/>
    <mergeCell ref="G7:G8"/>
    <mergeCell ref="H7:H8"/>
    <mergeCell ref="I7:J7"/>
    <mergeCell ref="B27:B29"/>
    <mergeCell ref="B30:B33"/>
    <mergeCell ref="B37:B41"/>
    <mergeCell ref="B43:B45"/>
    <mergeCell ref="A53:A56"/>
    <mergeCell ref="C53:C55"/>
    <mergeCell ref="B46:B67"/>
    <mergeCell ref="A61:A62"/>
    <mergeCell ref="A63:A64"/>
    <mergeCell ref="A66:A67"/>
    <mergeCell ref="A57:A60"/>
    <mergeCell ref="C57:C59"/>
  </mergeCells>
  <pageMargins left="0.43307086614173229" right="0.23622047244094491" top="0.35433070866141736" bottom="0.35433070866141736" header="0.31496062992125984" footer="0.31496062992125984"/>
  <pageSetup paperSize="9" scale="65" fitToHeight="0" orientation="landscape" r:id="rId1"/>
  <rowBreaks count="1" manualBreakCount="1">
    <brk id="36" max="21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N46"/>
  <sheetViews>
    <sheetView showZeros="0" workbookViewId="0">
      <selection activeCell="G20" sqref="G20"/>
    </sheetView>
  </sheetViews>
  <sheetFormatPr defaultRowHeight="15" x14ac:dyDescent="0.25"/>
  <cols>
    <col min="1" max="1" width="44.5703125" style="56" customWidth="1"/>
    <col min="2" max="3" width="9.140625" style="56"/>
    <col min="4" max="4" width="17.28515625" style="56" bestFit="1" customWidth="1"/>
    <col min="5" max="5" width="16.7109375" style="56" customWidth="1"/>
    <col min="6" max="6" width="18.85546875" style="56" customWidth="1"/>
    <col min="7" max="7" width="17.28515625" style="56" bestFit="1" customWidth="1"/>
    <col min="8" max="8" width="18.42578125" style="56" customWidth="1"/>
    <col min="9" max="9" width="17.140625" style="56" customWidth="1"/>
    <col min="10" max="12" width="15.85546875" style="56" customWidth="1"/>
    <col min="13" max="16384" width="9.140625" style="56"/>
  </cols>
  <sheetData>
    <row r="1" spans="1:14" ht="15.75" x14ac:dyDescent="0.25">
      <c r="A1" s="55" t="s">
        <v>198</v>
      </c>
    </row>
    <row r="2" spans="1:14" ht="15.75" x14ac:dyDescent="0.25">
      <c r="A2" s="55" t="s">
        <v>199</v>
      </c>
    </row>
    <row r="3" spans="1:14" ht="15.75" x14ac:dyDescent="0.25">
      <c r="A3" s="58"/>
    </row>
    <row r="4" spans="1:14" ht="45.75" customHeight="1" x14ac:dyDescent="0.25">
      <c r="A4" s="1390" t="s">
        <v>88</v>
      </c>
      <c r="B4" s="1390" t="s">
        <v>133</v>
      </c>
      <c r="C4" s="1390" t="s">
        <v>200</v>
      </c>
      <c r="D4" s="1390" t="s">
        <v>201</v>
      </c>
      <c r="E4" s="1390"/>
      <c r="F4" s="1390"/>
      <c r="G4" s="1390"/>
      <c r="H4" s="1390"/>
      <c r="I4" s="1390"/>
      <c r="J4" s="1390"/>
      <c r="K4" s="1390"/>
      <c r="L4" s="1390"/>
    </row>
    <row r="5" spans="1:14" ht="15.75" x14ac:dyDescent="0.25">
      <c r="A5" s="1390"/>
      <c r="B5" s="1390"/>
      <c r="C5" s="1390"/>
      <c r="D5" s="1390" t="s">
        <v>202</v>
      </c>
      <c r="E5" s="1390"/>
      <c r="F5" s="1390"/>
      <c r="G5" s="1390" t="s">
        <v>137</v>
      </c>
      <c r="H5" s="1390"/>
      <c r="I5" s="1390"/>
      <c r="J5" s="1390"/>
      <c r="K5" s="1390"/>
      <c r="L5" s="1390"/>
    </row>
    <row r="6" spans="1:14" ht="93.75" customHeight="1" x14ac:dyDescent="0.25">
      <c r="A6" s="1390"/>
      <c r="B6" s="1390"/>
      <c r="C6" s="1390"/>
      <c r="D6" s="61"/>
      <c r="E6" s="61"/>
      <c r="F6" s="61"/>
      <c r="G6" s="1390" t="s">
        <v>203</v>
      </c>
      <c r="H6" s="1390"/>
      <c r="I6" s="1390"/>
      <c r="J6" s="1390" t="s">
        <v>204</v>
      </c>
      <c r="K6" s="1390"/>
      <c r="L6" s="1390"/>
    </row>
    <row r="7" spans="1:14" ht="20.25" customHeight="1" x14ac:dyDescent="0.25">
      <c r="A7" s="1390"/>
      <c r="B7" s="1390"/>
      <c r="C7" s="1390"/>
      <c r="D7" s="558" t="s">
        <v>206</v>
      </c>
      <c r="E7" s="558" t="s">
        <v>362</v>
      </c>
      <c r="F7" s="558" t="s">
        <v>646</v>
      </c>
      <c r="G7" s="558" t="s">
        <v>206</v>
      </c>
      <c r="H7" s="558" t="s">
        <v>362</v>
      </c>
      <c r="I7" s="558" t="s">
        <v>646</v>
      </c>
      <c r="J7" s="558" t="s">
        <v>206</v>
      </c>
      <c r="K7" s="558" t="s">
        <v>362</v>
      </c>
      <c r="L7" s="558" t="s">
        <v>646</v>
      </c>
    </row>
    <row r="8" spans="1:14" ht="50.25" customHeight="1" x14ac:dyDescent="0.25">
      <c r="A8" s="1390"/>
      <c r="B8" s="1390"/>
      <c r="C8" s="1390"/>
      <c r="D8" s="558" t="s">
        <v>207</v>
      </c>
      <c r="E8" s="558" t="s">
        <v>208</v>
      </c>
      <c r="F8" s="558" t="s">
        <v>209</v>
      </c>
      <c r="G8" s="558" t="s">
        <v>207</v>
      </c>
      <c r="H8" s="558" t="s">
        <v>210</v>
      </c>
      <c r="I8" s="558" t="s">
        <v>209</v>
      </c>
      <c r="J8" s="558" t="s">
        <v>207</v>
      </c>
      <c r="K8" s="558" t="s">
        <v>208</v>
      </c>
      <c r="L8" s="558" t="s">
        <v>209</v>
      </c>
    </row>
    <row r="9" spans="1:14" ht="15.75" x14ac:dyDescent="0.25">
      <c r="A9" s="558">
        <v>1</v>
      </c>
      <c r="B9" s="558">
        <v>2</v>
      </c>
      <c r="C9" s="558">
        <v>3</v>
      </c>
      <c r="D9" s="558">
        <v>4</v>
      </c>
      <c r="E9" s="558">
        <v>5</v>
      </c>
      <c r="F9" s="558">
        <v>6</v>
      </c>
      <c r="G9" s="558">
        <v>7</v>
      </c>
      <c r="H9" s="558">
        <v>8</v>
      </c>
      <c r="I9" s="558">
        <v>9</v>
      </c>
      <c r="J9" s="558">
        <v>10</v>
      </c>
      <c r="K9" s="558">
        <v>11</v>
      </c>
      <c r="L9" s="558">
        <v>12</v>
      </c>
    </row>
    <row r="10" spans="1:14" ht="33.75" customHeight="1" x14ac:dyDescent="0.25">
      <c r="A10" s="66" t="s">
        <v>211</v>
      </c>
      <c r="B10" s="575" t="s">
        <v>479</v>
      </c>
      <c r="C10" s="67" t="s">
        <v>149</v>
      </c>
      <c r="D10" s="573">
        <v>2802258535.0699997</v>
      </c>
      <c r="E10" s="573">
        <v>1335375955.0899999</v>
      </c>
      <c r="F10" s="573">
        <v>1402698754.45</v>
      </c>
      <c r="G10" s="573">
        <v>2612915324.2799997</v>
      </c>
      <c r="H10" s="573">
        <v>1162826808.1099999</v>
      </c>
      <c r="I10" s="573">
        <v>1230149607.47</v>
      </c>
      <c r="J10" s="573">
        <v>189343210.78999999</v>
      </c>
      <c r="K10" s="573">
        <v>172549146.97999999</v>
      </c>
      <c r="L10" s="573">
        <v>172549146.97999999</v>
      </c>
      <c r="N10" s="57"/>
    </row>
    <row r="11" spans="1:14" ht="48" customHeight="1" x14ac:dyDescent="0.25">
      <c r="A11" s="66" t="s">
        <v>212</v>
      </c>
      <c r="B11" s="67">
        <v>1001</v>
      </c>
      <c r="C11" s="67" t="s">
        <v>149</v>
      </c>
      <c r="D11" s="573">
        <v>388193676.14999998</v>
      </c>
      <c r="E11" s="573">
        <v>0</v>
      </c>
      <c r="F11" s="573">
        <v>0</v>
      </c>
      <c r="G11" s="573">
        <v>388193676.14999998</v>
      </c>
      <c r="H11" s="573"/>
      <c r="I11" s="573"/>
      <c r="J11" s="573"/>
      <c r="K11" s="573"/>
      <c r="L11" s="573"/>
    </row>
    <row r="12" spans="1:14" ht="33" customHeight="1" x14ac:dyDescent="0.25">
      <c r="A12" s="66" t="s">
        <v>213</v>
      </c>
      <c r="B12" s="67">
        <v>2001</v>
      </c>
      <c r="C12" s="67">
        <v>2019</v>
      </c>
      <c r="D12" s="573">
        <v>2414064858.9199996</v>
      </c>
      <c r="E12" s="573">
        <v>1335375955.0899999</v>
      </c>
      <c r="F12" s="573">
        <v>1402698754.45</v>
      </c>
      <c r="G12" s="573">
        <v>2224721648.1299996</v>
      </c>
      <c r="H12" s="573">
        <v>1162826808.1099999</v>
      </c>
      <c r="I12" s="573">
        <v>1230149607.47</v>
      </c>
      <c r="J12" s="573">
        <v>189343210.78999999</v>
      </c>
      <c r="K12" s="573">
        <v>172549146.97999999</v>
      </c>
      <c r="L12" s="573">
        <v>172549146.97999999</v>
      </c>
    </row>
    <row r="13" spans="1:14" ht="33" hidden="1" customHeight="1" x14ac:dyDescent="0.25">
      <c r="A13" s="66" t="s">
        <v>213</v>
      </c>
      <c r="B13" s="67">
        <v>2002</v>
      </c>
      <c r="C13" s="67">
        <v>2018</v>
      </c>
      <c r="D13" s="573">
        <f>D12</f>
        <v>2414064858.9199996</v>
      </c>
      <c r="E13" s="573">
        <v>158000000</v>
      </c>
      <c r="F13" s="573">
        <v>105000000</v>
      </c>
      <c r="G13" s="573">
        <f>G12</f>
        <v>2224721648.1299996</v>
      </c>
      <c r="H13" s="573">
        <v>158000000</v>
      </c>
      <c r="I13" s="573">
        <v>105000000</v>
      </c>
      <c r="J13" s="573">
        <v>122453481.59</v>
      </c>
      <c r="K13" s="573">
        <v>0</v>
      </c>
      <c r="L13" s="573">
        <v>0</v>
      </c>
    </row>
    <row r="14" spans="1:14" ht="33" hidden="1" customHeight="1" x14ac:dyDescent="0.25">
      <c r="A14" s="66" t="s">
        <v>213</v>
      </c>
      <c r="B14" s="67">
        <v>2003</v>
      </c>
      <c r="C14" s="67">
        <v>2019</v>
      </c>
      <c r="D14" s="573"/>
      <c r="E14" s="573">
        <v>622367537.71000004</v>
      </c>
      <c r="F14" s="573">
        <v>0</v>
      </c>
      <c r="G14" s="573"/>
      <c r="H14" s="573">
        <f>H12-H13</f>
        <v>1004826808.1099999</v>
      </c>
      <c r="I14" s="573">
        <v>0</v>
      </c>
      <c r="J14" s="573"/>
      <c r="K14" s="573">
        <f>K12</f>
        <v>172549146.97999999</v>
      </c>
      <c r="L14" s="573">
        <v>0</v>
      </c>
    </row>
    <row r="15" spans="1:14" ht="33" hidden="1" customHeight="1" x14ac:dyDescent="0.25">
      <c r="A15" s="66" t="s">
        <v>213</v>
      </c>
      <c r="B15" s="67">
        <v>2004</v>
      </c>
      <c r="C15" s="67">
        <v>2020</v>
      </c>
      <c r="D15" s="573"/>
      <c r="E15" s="573">
        <v>0</v>
      </c>
      <c r="F15" s="573">
        <v>675360642.88999999</v>
      </c>
      <c r="G15" s="573"/>
      <c r="H15" s="573">
        <v>0</v>
      </c>
      <c r="I15" s="573">
        <f>I12-I13</f>
        <v>1125149607.47</v>
      </c>
      <c r="J15" s="573"/>
      <c r="K15" s="573">
        <v>0</v>
      </c>
      <c r="L15" s="573">
        <f>L12</f>
        <v>172549146.97999999</v>
      </c>
    </row>
    <row r="16" spans="1:14" ht="33" customHeight="1" x14ac:dyDescent="0.25">
      <c r="A16" s="514"/>
      <c r="B16" s="515"/>
      <c r="C16" s="515"/>
      <c r="D16" s="574"/>
      <c r="E16" s="574"/>
      <c r="F16" s="574"/>
      <c r="G16" s="574"/>
      <c r="H16" s="574"/>
      <c r="I16" s="574"/>
      <c r="J16" s="574"/>
      <c r="K16" s="574"/>
      <c r="L16" s="574"/>
    </row>
    <row r="17" spans="1:12" ht="33" customHeight="1" x14ac:dyDescent="0.25">
      <c r="A17" s="514"/>
      <c r="B17" s="515"/>
      <c r="C17" s="515"/>
      <c r="D17" s="574"/>
      <c r="E17" s="574"/>
      <c r="F17" s="574"/>
      <c r="G17" s="574"/>
      <c r="H17" s="574"/>
      <c r="I17" s="574"/>
      <c r="J17" s="574"/>
      <c r="K17" s="574"/>
      <c r="L17" s="574"/>
    </row>
    <row r="18" spans="1:12" ht="33" customHeight="1" x14ac:dyDescent="0.25">
      <c r="A18" s="514"/>
      <c r="B18" s="515"/>
      <c r="C18" s="515"/>
      <c r="D18" s="574"/>
      <c r="E18" s="574"/>
      <c r="F18" s="574"/>
      <c r="G18" s="574"/>
      <c r="H18" s="574"/>
      <c r="I18" s="574"/>
      <c r="J18" s="574"/>
      <c r="K18" s="574"/>
      <c r="L18" s="574"/>
    </row>
    <row r="19" spans="1:12" ht="33" customHeight="1" x14ac:dyDescent="0.25">
      <c r="A19" s="514"/>
      <c r="B19" s="515"/>
      <c r="C19" s="515"/>
      <c r="D19" s="574"/>
      <c r="E19" s="574"/>
      <c r="F19" s="574"/>
      <c r="G19" s="574"/>
      <c r="H19" s="574"/>
      <c r="I19" s="574"/>
      <c r="J19" s="574"/>
      <c r="K19" s="574"/>
      <c r="L19" s="574"/>
    </row>
    <row r="20" spans="1:12" ht="33" customHeight="1" x14ac:dyDescent="0.25">
      <c r="A20" s="514"/>
      <c r="B20" s="515"/>
      <c r="C20" s="515"/>
      <c r="D20" s="574"/>
      <c r="E20" s="574"/>
      <c r="F20" s="574"/>
      <c r="G20" s="574"/>
      <c r="H20" s="574"/>
      <c r="I20" s="574"/>
      <c r="J20" s="574"/>
      <c r="K20" s="574"/>
      <c r="L20" s="574"/>
    </row>
    <row r="21" spans="1:12" ht="33" customHeight="1" x14ac:dyDescent="0.25">
      <c r="A21" s="514"/>
      <c r="B21" s="515"/>
      <c r="C21" s="515"/>
      <c r="D21" s="574">
        <v>1473125611.8199999</v>
      </c>
      <c r="E21" s="574"/>
      <c r="F21" s="574"/>
      <c r="G21" s="574">
        <f>G10-G11-G12</f>
        <v>0</v>
      </c>
      <c r="H21" s="574"/>
      <c r="I21" s="574"/>
      <c r="J21" s="574"/>
      <c r="K21" s="574"/>
      <c r="L21" s="574"/>
    </row>
    <row r="22" spans="1:12" ht="33" customHeight="1" x14ac:dyDescent="0.25">
      <c r="A22" s="514"/>
      <c r="B22" s="515"/>
      <c r="C22" s="516"/>
      <c r="D22" s="517">
        <f>D12-D21</f>
        <v>940939247.09999967</v>
      </c>
      <c r="E22" s="517"/>
      <c r="F22" s="517"/>
      <c r="G22" s="517"/>
      <c r="H22" s="517"/>
      <c r="I22" s="517"/>
      <c r="J22" s="517"/>
      <c r="K22" s="517"/>
      <c r="L22" s="517"/>
    </row>
    <row r="23" spans="1:12" hidden="1" x14ac:dyDescent="0.25">
      <c r="D23" s="560"/>
    </row>
    <row r="24" spans="1:12" hidden="1" x14ac:dyDescent="0.25">
      <c r="D24" s="57"/>
    </row>
    <row r="25" spans="1:12" hidden="1" x14ac:dyDescent="0.25">
      <c r="D25" s="57"/>
      <c r="J25" s="57"/>
    </row>
    <row r="26" spans="1:12" hidden="1" x14ac:dyDescent="0.25">
      <c r="D26" s="57"/>
      <c r="E26" s="56" t="b">
        <f>E10='Часть 3 2019'!D44</f>
        <v>0</v>
      </c>
      <c r="F26" s="57">
        <f>'Часть 3 2020'!D44</f>
        <v>780360642.88820004</v>
      </c>
      <c r="G26" s="57"/>
    </row>
    <row r="27" spans="1:12" hidden="1" x14ac:dyDescent="0.25">
      <c r="D27" s="57"/>
    </row>
    <row r="28" spans="1:12" hidden="1" x14ac:dyDescent="0.25">
      <c r="D28" s="57"/>
    </row>
    <row r="29" spans="1:12" hidden="1" x14ac:dyDescent="0.25">
      <c r="D29" s="57"/>
      <c r="E29" s="56">
        <v>780367537.70819998</v>
      </c>
      <c r="F29" s="56">
        <v>780360642.88999999</v>
      </c>
      <c r="G29" s="56">
        <v>1380541609.1500003</v>
      </c>
      <c r="H29" s="56">
        <v>644570974.64820004</v>
      </c>
      <c r="I29" s="56">
        <v>644564079.82819998</v>
      </c>
      <c r="J29" s="56">
        <v>122453481.59</v>
      </c>
      <c r="K29" s="56">
        <v>135796563.06</v>
      </c>
      <c r="L29" s="56">
        <v>135796563.06</v>
      </c>
    </row>
    <row r="30" spans="1:12" hidden="1" x14ac:dyDescent="0.25">
      <c r="G30" s="56">
        <v>667265050.67999995</v>
      </c>
    </row>
    <row r="31" spans="1:12" hidden="1" x14ac:dyDescent="0.25">
      <c r="E31" s="56">
        <v>780367537.71000004</v>
      </c>
      <c r="F31" s="56">
        <v>780360642.88999999</v>
      </c>
      <c r="G31" s="56">
        <v>713276558.47000039</v>
      </c>
      <c r="H31" s="56">
        <v>644570974.64820004</v>
      </c>
      <c r="I31" s="56">
        <v>644564079.82819998</v>
      </c>
      <c r="J31" s="56">
        <v>122453481.59</v>
      </c>
      <c r="K31" s="56">
        <v>135796563.06</v>
      </c>
      <c r="L31" s="56">
        <v>135796563.06</v>
      </c>
    </row>
    <row r="32" spans="1:12" hidden="1" x14ac:dyDescent="0.25">
      <c r="D32" s="57"/>
      <c r="E32" s="57"/>
    </row>
    <row r="33" spans="4:7" hidden="1" x14ac:dyDescent="0.25"/>
    <row r="34" spans="4:7" hidden="1" x14ac:dyDescent="0.25">
      <c r="D34" s="57"/>
    </row>
    <row r="35" spans="4:7" ht="15.75" hidden="1" x14ac:dyDescent="0.25">
      <c r="D35" s="57"/>
      <c r="G35" s="573">
        <f>713276558.47-8147145.5</f>
        <v>705129412.97000003</v>
      </c>
    </row>
    <row r="36" spans="4:7" hidden="1" x14ac:dyDescent="0.25">
      <c r="D36" s="57"/>
      <c r="G36" s="57">
        <f>G12-G35</f>
        <v>1519592235.1599996</v>
      </c>
    </row>
    <row r="37" spans="4:7" hidden="1" x14ac:dyDescent="0.25">
      <c r="G37" s="57">
        <v>152000000</v>
      </c>
    </row>
    <row r="38" spans="4:7" hidden="1" x14ac:dyDescent="0.25">
      <c r="D38" s="57"/>
      <c r="G38" s="57">
        <f>G37-G36</f>
        <v>-1367592235.1599996</v>
      </c>
    </row>
    <row r="39" spans="4:7" hidden="1" x14ac:dyDescent="0.25">
      <c r="D39" s="57"/>
    </row>
    <row r="40" spans="4:7" hidden="1" x14ac:dyDescent="0.25">
      <c r="D40" s="57"/>
    </row>
    <row r="41" spans="4:7" hidden="1" x14ac:dyDescent="0.25">
      <c r="D41" s="57"/>
    </row>
    <row r="42" spans="4:7" hidden="1" x14ac:dyDescent="0.25"/>
    <row r="43" spans="4:7" hidden="1" x14ac:dyDescent="0.25"/>
    <row r="45" spans="4:7" x14ac:dyDescent="0.25">
      <c r="D45" s="57">
        <v>1863932719.1300001</v>
      </c>
    </row>
    <row r="46" spans="4:7" x14ac:dyDescent="0.25">
      <c r="D46" s="57">
        <f>D10-D45</f>
        <v>938325815.93999958</v>
      </c>
    </row>
  </sheetData>
  <mergeCells count="8">
    <mergeCell ref="A4:A8"/>
    <mergeCell ref="B4:B8"/>
    <mergeCell ref="C4:C8"/>
    <mergeCell ref="D4:L4"/>
    <mergeCell ref="D5:F5"/>
    <mergeCell ref="G5:L5"/>
    <mergeCell ref="G6:I6"/>
    <mergeCell ref="J6:L6"/>
  </mergeCells>
  <pageMargins left="0.19685039370078741" right="0.15748031496062992" top="0.49" bottom="0.51181102362204722" header="0.31496062992125984" footer="0.31496062992125984"/>
  <pageSetup paperSize="9" scale="66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37</vt:i4>
      </vt:variant>
      <vt:variant>
        <vt:lpstr>Именованные диапазоны</vt:lpstr>
      </vt:variant>
      <vt:variant>
        <vt:i4>53</vt:i4>
      </vt:variant>
    </vt:vector>
  </HeadingPairs>
  <TitlesOfParts>
    <vt:vector size="90" baseType="lpstr">
      <vt:lpstr>Титул</vt:lpstr>
      <vt:lpstr>часть (1)</vt:lpstr>
      <vt:lpstr>показатели 1.4., 1.5.</vt:lpstr>
      <vt:lpstr>часть (2)</vt:lpstr>
      <vt:lpstr>показатели II </vt:lpstr>
      <vt:lpstr>Часть 3</vt:lpstr>
      <vt:lpstr>Часть 4</vt:lpstr>
      <vt:lpstr>часть (3)</vt:lpstr>
      <vt:lpstr>часть (4)</vt:lpstr>
      <vt:lpstr>часть (5, 6)</vt:lpstr>
      <vt:lpstr>Часть 6</vt:lpstr>
      <vt:lpstr>ПФХД 2019 с разбивкой </vt:lpstr>
      <vt:lpstr>ПФХД 2019 с разбивкой  (2)</vt:lpstr>
      <vt:lpstr>часть 3 вып южного</vt:lpstr>
      <vt:lpstr>ПФХД 2019 с разбивкой  (4)</vt:lpstr>
      <vt:lpstr>НЗ на ГЗ база 55150</vt:lpstr>
      <vt:lpstr>НЗ на ГЗ база 39074</vt:lpstr>
      <vt:lpstr>ПФХД 2019 с разб 9 мес</vt:lpstr>
      <vt:lpstr>ПФХД 2019 с разб 9 мес (2)</vt:lpstr>
      <vt:lpstr>ПФХД 2019 с разбивк55150 под со</vt:lpstr>
      <vt:lpstr>НЗ на ГЗ база 55150 (2)</vt:lpstr>
      <vt:lpstr>анализ</vt:lpstr>
      <vt:lpstr>ПФХД 2019 с разбивкой  (3)</vt:lpstr>
      <vt:lpstr>Лист1</vt:lpstr>
      <vt:lpstr>пояснительная</vt:lpstr>
      <vt:lpstr>пояснительная (2)</vt:lpstr>
      <vt:lpstr>выписка Южный</vt:lpstr>
      <vt:lpstr>Санкционирование</vt:lpstr>
      <vt:lpstr>Лист2 (2)</vt:lpstr>
      <vt:lpstr>расчет норматив</vt:lpstr>
      <vt:lpstr>Доходы Проживание (2)</vt:lpstr>
      <vt:lpstr>НЗ на ГЗ база с деньгами Минздр</vt:lpstr>
      <vt:lpstr>СВОД ОСТАТКОВ 2018</vt:lpstr>
      <vt:lpstr>Часть 3 2019</vt:lpstr>
      <vt:lpstr>Часть 3 2020</vt:lpstr>
      <vt:lpstr>ПФХД с разбивкой  (2)</vt:lpstr>
      <vt:lpstr>НЗ на ГЗ с дорожкой</vt:lpstr>
      <vt:lpstr>анализ!sub_100300</vt:lpstr>
      <vt:lpstr>'выписка Южный'!sub_100300</vt:lpstr>
      <vt:lpstr>'ПФХД 2019 с разб 9 мес'!sub_100300</vt:lpstr>
      <vt:lpstr>'ПФХД 2019 с разб 9 мес (2)'!sub_100300</vt:lpstr>
      <vt:lpstr>'ПФХД 2019 с разбивк55150 под со'!sub_100300</vt:lpstr>
      <vt:lpstr>'ПФХД 2019 с разбивкой '!sub_100300</vt:lpstr>
      <vt:lpstr>'ПФХД 2019 с разбивкой  (2)'!sub_100300</vt:lpstr>
      <vt:lpstr>'ПФХД 2019 с разбивкой  (3)'!sub_100300</vt:lpstr>
      <vt:lpstr>'ПФХД 2019 с разбивкой  (4)'!sub_100300</vt:lpstr>
      <vt:lpstr>'ПФХД с разбивкой  (2)'!sub_100300</vt:lpstr>
      <vt:lpstr>Санкционирование!sub_100300</vt:lpstr>
      <vt:lpstr>'часть (3)'!sub_100300</vt:lpstr>
      <vt:lpstr>'Часть 3'!sub_100300</vt:lpstr>
      <vt:lpstr>'Часть 3 2019'!sub_100300</vt:lpstr>
      <vt:lpstr>'Часть 3 2020'!sub_100300</vt:lpstr>
      <vt:lpstr>'часть 3 вып южного'!sub_100300</vt:lpstr>
      <vt:lpstr>'часть (4)'!sub_1004</vt:lpstr>
      <vt:lpstr>'Часть 4'!sub_1004</vt:lpstr>
      <vt:lpstr>'Часть 6'!sub_1006</vt:lpstr>
      <vt:lpstr>анализ!Заголовки_для_печати</vt:lpstr>
      <vt:lpstr>'выписка Южный'!Заголовки_для_печати</vt:lpstr>
      <vt:lpstr>'ПФХД 2019 с разб 9 мес'!Заголовки_для_печати</vt:lpstr>
      <vt:lpstr>'ПФХД 2019 с разб 9 мес (2)'!Заголовки_для_печати</vt:lpstr>
      <vt:lpstr>'ПФХД 2019 с разбивк55150 под со'!Заголовки_для_печати</vt:lpstr>
      <vt:lpstr>'ПФХД 2019 с разбивкой '!Заголовки_для_печати</vt:lpstr>
      <vt:lpstr>'ПФХД 2019 с разбивкой  (2)'!Заголовки_для_печати</vt:lpstr>
      <vt:lpstr>'ПФХД 2019 с разбивкой  (3)'!Заголовки_для_печати</vt:lpstr>
      <vt:lpstr>'ПФХД 2019 с разбивкой  (4)'!Заголовки_для_печати</vt:lpstr>
      <vt:lpstr>Санкционирование!Заголовки_для_печати</vt:lpstr>
      <vt:lpstr>анализ!Область_печати</vt:lpstr>
      <vt:lpstr>'выписка Южный'!Область_печати</vt:lpstr>
      <vt:lpstr>'НЗ на ГЗ база 39074'!Область_печати</vt:lpstr>
      <vt:lpstr>'НЗ на ГЗ база 55150'!Область_печати</vt:lpstr>
      <vt:lpstr>'НЗ на ГЗ база 55150 (2)'!Область_печати</vt:lpstr>
      <vt:lpstr>'НЗ на ГЗ база с деньгами Минздр'!Область_печати</vt:lpstr>
      <vt:lpstr>'НЗ на ГЗ с дорожкой'!Область_печати</vt:lpstr>
      <vt:lpstr>'показатели 1.4., 1.5.'!Область_печати</vt:lpstr>
      <vt:lpstr>'показатели II '!Область_печати</vt:lpstr>
      <vt:lpstr>'ПФХД 2019 с разб 9 мес'!Область_печати</vt:lpstr>
      <vt:lpstr>'ПФХД 2019 с разб 9 мес (2)'!Область_печати</vt:lpstr>
      <vt:lpstr>'ПФХД 2019 с разбивк55150 под со'!Область_печати</vt:lpstr>
      <vt:lpstr>'ПФХД 2019 с разбивкой '!Область_печати</vt:lpstr>
      <vt:lpstr>'ПФХД 2019 с разбивкой  (2)'!Область_печати</vt:lpstr>
      <vt:lpstr>'ПФХД 2019 с разбивкой  (3)'!Область_печати</vt:lpstr>
      <vt:lpstr>'ПФХД 2019 с разбивкой  (4)'!Область_печати</vt:lpstr>
      <vt:lpstr>'ПФХД с разбивкой  (2)'!Область_печати</vt:lpstr>
      <vt:lpstr>Санкционирование!Область_печати</vt:lpstr>
      <vt:lpstr>'часть (3)'!Область_печати</vt:lpstr>
      <vt:lpstr>'часть (5, 6)'!Область_печати</vt:lpstr>
      <vt:lpstr>'Часть 3'!Область_печати</vt:lpstr>
      <vt:lpstr>'Часть 3 2019'!Область_печати</vt:lpstr>
      <vt:lpstr>'Часть 3 2020'!Область_печати</vt:lpstr>
      <vt:lpstr>'часть 3 вып южного'!Область_печати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Mashkovceva</dc:creator>
  <cp:lastModifiedBy>Onufrienko</cp:lastModifiedBy>
  <cp:lastPrinted>2019-10-11T12:52:10Z</cp:lastPrinted>
  <dcterms:created xsi:type="dcterms:W3CDTF">2017-05-03T12:35:25Z</dcterms:created>
  <dcterms:modified xsi:type="dcterms:W3CDTF">2019-10-15T07:17:11Z</dcterms:modified>
</cp:coreProperties>
</file>