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23250" windowHeight="11805" activeTab="1"/>
  </bookViews>
  <sheets>
    <sheet name="СВЕДЕНИЯ" sheetId="11" r:id="rId1"/>
    <sheet name="ФГБУ за 1-е пол. 2017 года" sheetId="7" r:id="rId2"/>
    <sheet name="ФКУ за 1-е пол. 2017 года" sheetId="6" r:id="rId3"/>
    <sheet name="Показатели ФГБУ - 1-е пол. 2017" sheetId="8" r:id="rId4"/>
    <sheet name="Показатели ФКУ - 1-е пол. 2017 " sheetId="1" r:id="rId5"/>
    <sheet name="Рейтинг ФГБУ" sheetId="9" r:id="rId6"/>
    <sheet name="Рейтинг ФКУ" sheetId="2" r:id="rId7"/>
  </sheets>
  <definedNames>
    <definedName name="_xlnm.Print_Titles" localSheetId="3">'Показатели ФГБУ - 1-е пол. 2017'!$4:$6</definedName>
    <definedName name="_xlnm.Print_Titles" localSheetId="4">'Показатели ФКУ - 1-е пол. 2017 '!$3:$5</definedName>
    <definedName name="_xlnm.Print_Titles" localSheetId="5">'Рейтинг ФГБУ'!$6:$8</definedName>
    <definedName name="_xlnm.Print_Titles" localSheetId="6">'Рейтинг ФКУ'!$4:$6</definedName>
    <definedName name="_xlnm.Print_Titles" localSheetId="1">'ФГБУ за 1-е пол. 2017 года'!$5:$6</definedName>
    <definedName name="_xlnm.Print_Titles" localSheetId="2">'ФКУ за 1-е пол. 2017 года'!$4:$5</definedName>
  </definedNames>
  <calcPr calcId="145621"/>
</workbook>
</file>

<file path=xl/calcChain.xml><?xml version="1.0" encoding="utf-8"?>
<calcChain xmlns="http://schemas.openxmlformats.org/spreadsheetml/2006/main">
  <c r="E31" i="6" l="1"/>
  <c r="E30" i="6"/>
  <c r="G39" i="6"/>
  <c r="H34" i="6" l="1"/>
  <c r="F20" i="7" l="1"/>
  <c r="I10" i="9" l="1"/>
  <c r="H10" i="9"/>
  <c r="G10" i="9"/>
  <c r="F10" i="9"/>
  <c r="E10" i="9"/>
  <c r="D10" i="9"/>
  <c r="C10" i="9"/>
  <c r="I9" i="9"/>
  <c r="H9" i="9"/>
  <c r="G9" i="9"/>
  <c r="F9" i="9"/>
  <c r="E9" i="9"/>
  <c r="D9" i="9"/>
  <c r="C9" i="9"/>
  <c r="F14" i="7"/>
  <c r="F34" i="7"/>
  <c r="F33" i="7" l="1"/>
  <c r="F26" i="7"/>
  <c r="F25" i="7"/>
  <c r="E33" i="7"/>
  <c r="F39" i="6" l="1"/>
  <c r="F30" i="6"/>
  <c r="F34" i="6"/>
  <c r="F31" i="6"/>
  <c r="E20" i="6"/>
  <c r="E19" i="6"/>
  <c r="H39" i="6" l="1"/>
  <c r="H30" i="6"/>
  <c r="H25" i="6"/>
  <c r="H24" i="6"/>
  <c r="H31" i="6"/>
  <c r="E39" i="6" l="1"/>
  <c r="E25" i="6"/>
  <c r="E24" i="6"/>
  <c r="E20" i="7" l="1"/>
  <c r="E14" i="7"/>
  <c r="E34" i="7"/>
  <c r="G31" i="6" l="1"/>
  <c r="G30" i="6"/>
  <c r="G34" i="6"/>
  <c r="G25" i="6"/>
  <c r="G24" i="6" l="1"/>
  <c r="F25" i="6" l="1"/>
  <c r="F24" i="6"/>
  <c r="E20" i="8" l="1"/>
  <c r="E18" i="8"/>
  <c r="E16" i="8"/>
  <c r="C20" i="8"/>
  <c r="C16" i="8"/>
  <c r="C18" i="8"/>
  <c r="E8" i="8"/>
  <c r="C8" i="8"/>
  <c r="D21" i="1" l="1"/>
  <c r="F21" i="7" l="1"/>
  <c r="F20" i="6" l="1"/>
  <c r="F19" i="6"/>
  <c r="E23" i="6"/>
  <c r="H20" i="6"/>
  <c r="H19" i="6"/>
  <c r="G20" i="6" l="1"/>
  <c r="G19" i="6"/>
  <c r="E21" i="6"/>
  <c r="D20" i="8" l="1"/>
  <c r="E11" i="6" l="1"/>
  <c r="E18" i="6"/>
  <c r="E16" i="6" s="1"/>
  <c r="E29" i="6"/>
  <c r="E33" i="6"/>
  <c r="E40" i="6"/>
  <c r="F11" i="6"/>
  <c r="F21" i="6"/>
  <c r="F29" i="6"/>
  <c r="F33" i="6"/>
  <c r="F40" i="6"/>
  <c r="G11" i="6"/>
  <c r="G21" i="6"/>
  <c r="G23" i="6"/>
  <c r="G33" i="6"/>
  <c r="G40" i="6"/>
  <c r="E12" i="7"/>
  <c r="C10" i="8" s="1"/>
  <c r="E19" i="7"/>
  <c r="E17" i="7" s="1"/>
  <c r="C12" i="8" s="1"/>
  <c r="D12" i="8" s="1"/>
  <c r="E24" i="7"/>
  <c r="C14" i="8" s="1"/>
  <c r="D14" i="8" s="1"/>
  <c r="E32" i="7"/>
  <c r="C22" i="8" s="1"/>
  <c r="E38" i="6" l="1"/>
  <c r="G29" i="6"/>
  <c r="F38" i="6"/>
  <c r="F18" i="6"/>
  <c r="F16" i="6" s="1"/>
  <c r="G38" i="6"/>
  <c r="G18" i="6"/>
  <c r="G16" i="6" s="1"/>
  <c r="G11" i="1" s="1"/>
  <c r="H11" i="1" s="1"/>
  <c r="F23" i="6"/>
  <c r="H40" i="6" l="1"/>
  <c r="H21" i="6"/>
  <c r="H18" i="6" l="1"/>
  <c r="F12" i="7"/>
  <c r="E10" i="8" s="1"/>
  <c r="F19" i="7"/>
  <c r="F17" i="7" s="1"/>
  <c r="E12" i="8" s="1"/>
  <c r="F12" i="8" s="1"/>
  <c r="F24" i="7"/>
  <c r="E14" i="8" s="1"/>
  <c r="F14" i="8" s="1"/>
  <c r="F32" i="7"/>
  <c r="E22" i="8" s="1"/>
  <c r="I21" i="1" l="1"/>
  <c r="G21" i="1"/>
  <c r="E21" i="1"/>
  <c r="C21" i="1"/>
  <c r="D18" i="8" l="1"/>
  <c r="D16" i="8"/>
  <c r="F8" i="8"/>
  <c r="D8" i="8"/>
  <c r="I7" i="1"/>
  <c r="J7" i="1" s="1"/>
  <c r="C7" i="1"/>
  <c r="D7" i="1" s="1"/>
  <c r="F20" i="8"/>
  <c r="F16" i="8"/>
  <c r="F18" i="8"/>
  <c r="D10" i="8" l="1"/>
  <c r="H23" i="6" l="1"/>
  <c r="C9" i="1" l="1"/>
  <c r="D9" i="1" s="1"/>
  <c r="H11" i="6"/>
  <c r="C13" i="1" l="1"/>
  <c r="D13" i="1" s="1"/>
  <c r="B10" i="2" l="1"/>
  <c r="B7" i="2"/>
  <c r="B10" i="9"/>
  <c r="B9" i="9"/>
  <c r="G7" i="1"/>
  <c r="H7" i="1" s="1"/>
  <c r="B9" i="2" s="1"/>
  <c r="E7" i="1"/>
  <c r="F7" i="1" s="1"/>
  <c r="B8" i="2" s="1"/>
  <c r="F10" i="8" l="1"/>
  <c r="F22" i="8" l="1"/>
  <c r="D22" i="8" l="1"/>
  <c r="J9" i="9"/>
  <c r="J10" i="9" l="1"/>
  <c r="K10" i="9" s="1"/>
  <c r="F23" i="8"/>
  <c r="K9" i="9"/>
  <c r="D23" i="8"/>
  <c r="G13" i="1"/>
  <c r="H13" i="1" s="1"/>
  <c r="E9" i="2" l="1"/>
  <c r="I13" i="1"/>
  <c r="J13" i="1" s="1"/>
  <c r="H29" i="6"/>
  <c r="I15" i="1" s="1"/>
  <c r="G15" i="1"/>
  <c r="H15" i="1" s="1"/>
  <c r="F9" i="2" s="1"/>
  <c r="E15" i="1"/>
  <c r="H33" i="6"/>
  <c r="I17" i="1" s="1"/>
  <c r="G17" i="1"/>
  <c r="E17" i="1"/>
  <c r="C15" i="1"/>
  <c r="D15" i="1" s="1"/>
  <c r="E13" i="1"/>
  <c r="F13" i="1" s="1"/>
  <c r="H21" i="1"/>
  <c r="I9" i="2" s="1"/>
  <c r="F21" i="1"/>
  <c r="I8" i="2" s="1"/>
  <c r="H38" i="6"/>
  <c r="I19" i="1" s="1"/>
  <c r="G19" i="1"/>
  <c r="E19" i="1"/>
  <c r="C19" i="1"/>
  <c r="D19" i="1" s="1"/>
  <c r="H16" i="6"/>
  <c r="I11" i="1" s="1"/>
  <c r="J11" i="1" s="1"/>
  <c r="E11" i="1"/>
  <c r="F11" i="1" s="1"/>
  <c r="C17" i="1" l="1"/>
  <c r="D17" i="1" s="1"/>
  <c r="G7" i="2" s="1"/>
  <c r="F15" i="1"/>
  <c r="F8" i="2" s="1"/>
  <c r="F17" i="1"/>
  <c r="G8" i="2" s="1"/>
  <c r="H17" i="1"/>
  <c r="G9" i="2" s="1"/>
  <c r="H19" i="1"/>
  <c r="H9" i="2" s="1"/>
  <c r="F19" i="1"/>
  <c r="H8" i="2" s="1"/>
  <c r="J17" i="1"/>
  <c r="G10" i="2" s="1"/>
  <c r="J15" i="1"/>
  <c r="F10" i="2" s="1"/>
  <c r="J19" i="1"/>
  <c r="H10" i="2" s="1"/>
  <c r="E8" i="2"/>
  <c r="E10" i="2"/>
  <c r="E7" i="2"/>
  <c r="H7" i="2"/>
  <c r="I7" i="2"/>
  <c r="D8" i="2"/>
  <c r="D10" i="2"/>
  <c r="J21" i="1"/>
  <c r="I10" i="2" s="1"/>
  <c r="F7" i="2" l="1"/>
  <c r="C11" i="1"/>
  <c r="D11" i="1" s="1"/>
  <c r="D9" i="2" l="1"/>
  <c r="D7" i="2"/>
  <c r="I9" i="1"/>
  <c r="J9" i="1" s="1"/>
  <c r="G9" i="1"/>
  <c r="H9" i="1" s="1"/>
  <c r="C9" i="2" s="1"/>
  <c r="E9" i="1"/>
  <c r="F9" i="1" s="1"/>
  <c r="D22" i="1"/>
  <c r="C7" i="2"/>
  <c r="J9" i="2" l="1"/>
  <c r="J7" i="2"/>
  <c r="C10" i="2"/>
  <c r="J10" i="2" s="1"/>
  <c r="J22" i="1"/>
  <c r="H22" i="1"/>
  <c r="C8" i="2"/>
  <c r="J8" i="2" s="1"/>
  <c r="F22" i="1"/>
  <c r="K8" i="2" l="1"/>
  <c r="K10" i="2"/>
  <c r="K9" i="2"/>
  <c r="K7" i="2"/>
</calcChain>
</file>

<file path=xl/sharedStrings.xml><?xml version="1.0" encoding="utf-8"?>
<sst xmlns="http://schemas.openxmlformats.org/spreadsheetml/2006/main" count="281" uniqueCount="188">
  <si>
    <t xml:space="preserve">Федеральное казенное учреждение "Государственное учреждение "Ведомственная охрана Министерства финансов Российской Федерации" </t>
  </si>
  <si>
    <t xml:space="preserve">Федеральное казенное учреждение "Государственное учреждение по эксплуатации административных зданий и дачного хозяйства Министерства финансов Российской Федерации" </t>
  </si>
  <si>
    <t xml:space="preserve"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  </t>
  </si>
  <si>
    <t xml:space="preserve">Федеральное казенное учреждение "Российская государственная пробирная палата Министерства финансов Российской Федерации" </t>
  </si>
  <si>
    <t xml:space="preserve">Федеральное казенное учреждение Гохран России  </t>
  </si>
  <si>
    <t xml:space="preserve">Федеральное казенное учреждение "Ведомственная охрана Министерства финансов Российской Федерации" </t>
  </si>
  <si>
    <t>Наименование показателя</t>
  </si>
  <si>
    <t>значение показателя</t>
  </si>
  <si>
    <t>Задолженность по начисленным выплатам по оплате труда перед работниками (сотрудниками) ФГБУ (за исключением депонированных сумм)</t>
  </si>
  <si>
    <t>Наименование федерального государственного учреждения</t>
  </si>
  <si>
    <t>А</t>
  </si>
  <si>
    <t>Оценка  Е(Рххх) значений Рххх в баллах</t>
  </si>
  <si>
    <t>Документы (формы бюджетной отчетности), используемые для расчета показателя</t>
  </si>
  <si>
    <t>Сведения о внесенных изменениях в бюджетную смету, план финансово-хозяйственной деятельности на конец отчетного периода, по установленной форме</t>
  </si>
  <si>
    <t>оценка в баллах (Е)</t>
  </si>
  <si>
    <t>Федеральное казенное учреждение ГУ АЗ Министерства финансов Российской Федерации</t>
  </si>
  <si>
    <t>Показатель, ед. измерения</t>
  </si>
  <si>
    <t xml:space="preserve">         по счетам 0 303 00 000</t>
  </si>
  <si>
    <t>Ед. изм.</t>
  </si>
  <si>
    <t>шт.</t>
  </si>
  <si>
    <t>%</t>
  </si>
  <si>
    <t>руб.</t>
  </si>
  <si>
    <t xml:space="preserve">          по счетам 0 302 00 000 (за исключением задолженности по социальной помощи населению);</t>
  </si>
  <si>
    <t>Показа-тель</t>
  </si>
  <si>
    <t xml:space="preserve">Федеральное государственное бюджетное учреждение "Научно-исследовательский финансовый институт" </t>
  </si>
  <si>
    <t>Качество планирования расходов:</t>
  </si>
  <si>
    <t>1. Финансовое планирование</t>
  </si>
  <si>
    <t>Сумма изменений в бюджетную смету  (план финансово-хозяйственной деятельности), связанных с экономией, образовавшейся в ходе исполнения бюджетной сметы (плана финансово-хозяйственной деятельности)</t>
  </si>
  <si>
    <t>Отчет о бюджетных обязательствах по форме 0503128, утвержденной приказом  Минфина России от 28.12.2010  № 191н (составляется за отчетный период)</t>
  </si>
  <si>
    <t>3. Управление задолженностью</t>
  </si>
  <si>
    <t>Эффективность управления дебиторской задолженностью</t>
  </si>
  <si>
    <t>Сведения по дебиторской и кредиторской задолженности по форме 0503169 и Отчет по форме 0503127, утвержденные приказом Минфина России № 191н</t>
  </si>
  <si>
    <t>Объем дебиторской задолженности по доходам</t>
  </si>
  <si>
    <t>Количество внесенных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</t>
  </si>
  <si>
    <t>Сведения о внесенных изменениях в план финансово-хозяйственной деятельности на конец отчетного периода, представляемые структурными подразделениями Минфина России</t>
  </si>
  <si>
    <r>
      <t xml:space="preserve">1) Сумма положительных изменений в план финансово-хозяйственной деятельности в связи с экономией, образовавшейся в ходе исполнения плана финансово-хозяйственной деятельности в отчетном периоде </t>
    </r>
    <r>
      <rPr>
        <b/>
        <sz val="12"/>
        <rFont val="Times New Roman"/>
        <family val="1"/>
        <charset val="204"/>
      </rPr>
      <t>(S)</t>
    </r>
  </si>
  <si>
    <r>
      <t xml:space="preserve">2) Объем принятых обязательств по всем видам финансового обеспечения (деятельности) в отчетном периоде с учетом внесенных в них изменений </t>
    </r>
    <r>
      <rPr>
        <b/>
        <sz val="12"/>
        <rFont val="Times New Roman"/>
        <family val="1"/>
        <charset val="204"/>
      </rPr>
      <t>(L)</t>
    </r>
  </si>
  <si>
    <r>
      <t xml:space="preserve">3) Объем принятых обязательств  на выполнение государственного задания в отчетном периоде с учетом внесенных в них изменений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гз</t>
    </r>
    <r>
      <rPr>
        <b/>
        <sz val="12"/>
        <rFont val="Times New Roman"/>
        <family val="1"/>
        <charset val="204"/>
      </rPr>
      <t>)</t>
    </r>
  </si>
  <si>
    <t xml:space="preserve">Отчет об обязательствах учреждения по форме 0503738, утвержденной приказом Минфина России
№ 33н (составляется за отчетный период)
</t>
  </si>
  <si>
    <t>3. Управление кредиторской задолженностью:</t>
  </si>
  <si>
    <t>1. Финансовое планирование:</t>
  </si>
  <si>
    <t>2. Исполнение плана финансово-хозяйственной деятельности:</t>
  </si>
  <si>
    <t>мес.</t>
  </si>
  <si>
    <t>Задолженность по оплате налогов, сборов, взносов и иных обязательных платежей в соответствующий бюджет бюджетной системы Российской Федерации, административных штрафов и штрафов, установленных уголовным законодательством Российской Федерации</t>
  </si>
  <si>
    <t>Превышение кредиторской задолженности над активами баланса ФГБУ, за исключением балансовой стоимости особо ценного движимого имущества, недвижимого имущества, а также имущества, находящегося в обременении (в залоге)</t>
  </si>
  <si>
    <t>Сведения по дебиторской и кредиторской задолженности учреждения по форме 0503769, утвержденной приказом Минфина России № 33н (составляется за отчетный период).
Сведения, представляемые ФГБУ в соответствии с приказом Минфина России № 98н</t>
  </si>
  <si>
    <t>Количество внесенных изменений в бюджетную смету, связанных с экономией, образовавшейся в ходе исполнения  бюджетной сметы</t>
  </si>
  <si>
    <t xml:space="preserve">          по счетам 0 302 00 000 «Расчеты по принятым обязательствам»</t>
  </si>
  <si>
    <t xml:space="preserve">         по счетам 0 303 00 000 «Расчеты по платежам в бюджет»</t>
  </si>
  <si>
    <t>Сумма изменений в бюджетную смету, связанных с экономией, образовавшейся в ходе исполнения бюджетной сметы</t>
  </si>
  <si>
    <t>Исполнение назначений по расходам по виду  финансового обеспечения (деятельности) «Субсидии на выполнение государственного муниципального) задания» в отчетном периоде</t>
  </si>
  <si>
    <t>Эффективность управления кредиторской задолженностью</t>
  </si>
  <si>
    <r>
      <t xml:space="preserve">1) Данные итоговой суммы исполненных назначений по расходам по виду  финансового обеспечения (деятельности) «Субсидии на выполнение государственного (муниципального) задания» в отчетном периоде  </t>
    </r>
    <r>
      <rPr>
        <b/>
        <sz val="12"/>
        <rFont val="Times New Roman"/>
        <family val="1"/>
        <charset val="204"/>
      </rPr>
      <t>(К</t>
    </r>
    <r>
      <rPr>
        <b/>
        <sz val="8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</t>
    </r>
  </si>
  <si>
    <r>
      <t xml:space="preserve">2) Кредиторская задолженность на начало года </t>
    </r>
    <r>
      <rPr>
        <b/>
        <sz val="12"/>
        <rFont val="Times New Roman"/>
        <family val="1"/>
        <charset val="204"/>
      </rPr>
      <t>(Z)</t>
    </r>
    <r>
      <rPr>
        <sz val="12"/>
        <rFont val="Times New Roman"/>
        <family val="1"/>
        <charset val="204"/>
      </rPr>
      <t xml:space="preserve"> </t>
    </r>
  </si>
  <si>
    <r>
      <t xml:space="preserve">2) Данные по итоговой сумме исполненных плановых назначений по расходам по всем видам  финансового обеспечения (деятельности) в отчетном периоде </t>
    </r>
    <r>
      <rPr>
        <b/>
        <sz val="12"/>
        <rFont val="Times New Roman"/>
        <family val="1"/>
        <charset val="204"/>
      </rPr>
      <t>(K) (по видам деятельности "2", "4", "5", "7")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</si>
  <si>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1.1.1.   </t>
    </r>
    <r>
      <rPr>
        <sz val="12"/>
        <color theme="1"/>
        <rFont val="Times New Roman"/>
        <family val="1"/>
        <charset val="204"/>
      </rPr>
      <t>шт.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</si>
  <si>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3.1.    </t>
    </r>
    <r>
      <rPr>
        <sz val="12"/>
        <color theme="1"/>
        <rFont val="Times New Roman"/>
        <family val="1"/>
        <charset val="204"/>
      </rPr>
      <t>мес.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</si>
  <si>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3.2.    </t>
    </r>
    <r>
      <rPr>
        <sz val="12"/>
        <color theme="1"/>
        <rFont val="Times New Roman"/>
        <family val="1"/>
        <charset val="204"/>
      </rPr>
      <t>мес.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</si>
  <si>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3.3.    </t>
    </r>
    <r>
      <rPr>
        <sz val="12"/>
        <color theme="1"/>
        <rFont val="Times New Roman"/>
        <family val="1"/>
        <charset val="204"/>
      </rPr>
      <t>мес.</t>
    </r>
  </si>
  <si>
    <r>
      <t>Сумма оценок Е (РБ</t>
    </r>
    <r>
      <rPr>
        <b/>
        <vertAlign val="subscript"/>
        <sz val="12"/>
        <color theme="1"/>
        <rFont val="Times New Roman"/>
        <family val="2"/>
        <charset val="204"/>
      </rPr>
      <t>ххх</t>
    </r>
    <r>
      <rPr>
        <b/>
        <sz val="12"/>
        <color theme="1"/>
        <rFont val="Times New Roman"/>
        <family val="2"/>
        <charset val="204"/>
      </rPr>
      <t xml:space="preserve">) в баллах </t>
    </r>
  </si>
  <si>
    <t>Сумма оценок Е(РКххх) в баллах ) (сумма граф 1-8)</t>
  </si>
  <si>
    <t>Сумма оценок Е(РБххх) в баллах ) (сумма граф 1-8)</t>
  </si>
  <si>
    <t>Рейтинг федеральных государственных учреждений в отчетном периоде (место от 1 до 2)</t>
  </si>
  <si>
    <t>Рейтинг федеральных государственных учреждений в отчетном периоде (место от 1 до 4)</t>
  </si>
  <si>
    <t>Наименование федерального казенного учреждения</t>
  </si>
  <si>
    <t>Показатель</t>
  </si>
  <si>
    <t xml:space="preserve"> Федеральное государственное бюджетное учреждение "Научно-исследовательский финансовый институт" </t>
  </si>
  <si>
    <t>Полнота, своевременность принятия обязательств по расходам на закупку товаров, работ, услуг для обеспечения государственных нужд</t>
  </si>
  <si>
    <t>Отчет об исполнении учреждением плана его финансово - хозяйственной деятельности по форме 0503737 (по виду финансового обеспечения (деятельности) «Субсидии на выполнение государственного (муниципального) задания», Сведения по дебиторской и кредиторской задолженности учреждения по форме 0503769,Отчет об обязательствах учреждения по форме 0503738,  утвержденные приказом Минфина России № 33н</t>
  </si>
  <si>
    <t>Объем просроченной кредиторской задолженности  по оплате труда и начислениям на выплаты по оплате труда</t>
  </si>
  <si>
    <r>
      <t xml:space="preserve">1) Объем принятых бюджетных обязательств в отчетном периоде текущего финансового года по расходам на закупку товаров, работ, услуг для обеспечения государственных нужд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) (по видам деятельности "4" и "5")</t>
    </r>
  </si>
  <si>
    <r>
      <t xml:space="preserve">1) Объем кредиторской задолженности по расчетам с поставщиками, исполнителями и подрядчиками (за исключением задолженности по социальной помощи) по состоянию на 1 число периода, следующего за отчетным годом, по всем видам 
финансового обеспечения (деятельности) </t>
    </r>
    <r>
      <rPr>
        <b/>
        <sz val="12"/>
        <rFont val="Times New Roman"/>
        <family val="1"/>
        <charset val="204"/>
      </rPr>
      <t>(Z</t>
    </r>
    <r>
      <rPr>
        <b/>
        <sz val="8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 (по видам деятельности "2", "4", "5", "7")</t>
    </r>
  </si>
  <si>
    <t xml:space="preserve">Кассовое исполнение расходов федерального бюджета в отчетном периоде </t>
  </si>
  <si>
    <t>Объем дебитрской задолженности по расчетам с поставщиками, исполнителями и подрядчиками</t>
  </si>
  <si>
    <t>Полнота и своевременность принятия бюджетных обязательств на закупку товаров, работ, услуг для обеспечения государственных нужд исполнения лимитов бюджетных обязательств на конец отчетного финансового года</t>
  </si>
  <si>
    <t>Объем кредиторской задолженности по расчетам с поставщиками, исполнителями и подрядчиками</t>
  </si>
  <si>
    <t>Объем кредиторской задолженности по расчетам с поставщиками, исполнителями и подрядчиками по всем видам финансового обеспечения (деятельности)  (за исключением задолженности по социальной помощи)</t>
  </si>
  <si>
    <t>2. Исполнение бюджетной сметы</t>
  </si>
  <si>
    <t>Сведения по дебиторской и кредиторской задолженности по форме 0503169 утвержденной приказом Минфина России             № 191н</t>
  </si>
  <si>
    <t>Сведения по дебиторской и кредиторской задолженности учреждения по форме 0503769, утвержденной приказом Минфина России  № 33н (составляется за отчетный период)
Сведения, представляемые ФГБУ в соответствии с приказом Минфина России № 98н</t>
  </si>
  <si>
    <t>Сведения по дебиторской и кредиторской задолженности учреждения по форме 0503769, утвержденной приказом Минфина России № 33н (составляется за отчетный период). 
Сведения, представляемые ФГБУ в соответствии с приказом Минфина России от 30.08.2010 № 98н
«О предельно допустимом значении просроченной кредиторской задолженности федерального бюджетного учреждения, подведомственного Министерству финансов Российской Федерации, превышение которого влечет расторжение трудового договора с руководителем федерального бюджетного учреждения по инициативе работодателя в соответствии с Трудовым кодексом Российской Федерации» (далее – приказ Минфина России № 98н)</t>
  </si>
  <si>
    <t xml:space="preserve">Федеральное государственное бюджетное учреждение "Многофункциональный комплекс Министерства Финансов Российской Федерации" </t>
  </si>
  <si>
    <t>Сведения о внесенных изменениях в план финансово-хозяйственной деятельности на конец отчетного периода, представляемые структурными подразделениями Минфина России  Отчет об обязательствах учреждения по форме 0503738, утвержденной приказом Минфина России от 25.03.2011  № 33н
«Об утверждении Инструкции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учреждений» (далее – приказ Минфина России № 33н)</t>
  </si>
  <si>
    <t>Сведения по дебиторской и кредиторской задолженности учреждения по форме 0503769 и Отчет об исполнении учреждением плана его финансово - хозяйственной деятельности по форме 0503737, утвержденные приказом Минфина России  № 33н</t>
  </si>
  <si>
    <r>
      <t xml:space="preserve">2) Объем утвержденных плановых назначений на текучий финансовый год  по расходам на закупку товаров, работ, услуг для обеспечения государственных нужд </t>
    </r>
    <r>
      <rPr>
        <b/>
        <sz val="12"/>
        <rFont val="Times New Roman"/>
        <family val="1"/>
        <charset val="204"/>
      </rPr>
      <t>(V</t>
    </r>
    <r>
      <rPr>
        <b/>
        <sz val="8"/>
        <rFont val="Times New Roman"/>
        <family val="1"/>
        <charset val="204"/>
      </rPr>
      <t>план</t>
    </r>
    <r>
      <rPr>
        <b/>
        <sz val="12"/>
        <rFont val="Times New Roman"/>
        <family val="1"/>
        <charset val="204"/>
      </rPr>
      <t>) (по видам деятельности "4" и "5")</t>
    </r>
  </si>
  <si>
    <t xml:space="preserve">Федеральное государственное бюджетное учреждение "Многофункциональный комплекс Министерства финансов Российской Федерации" </t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</si>
  <si>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2.1   </t>
    </r>
    <r>
      <rPr>
        <sz val="12"/>
        <color theme="1"/>
        <rFont val="Times New Roman"/>
        <family val="1"/>
        <charset val="204"/>
      </rPr>
      <t>%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</si>
  <si>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1.1.2    </t>
    </r>
    <r>
      <rPr>
        <sz val="12"/>
        <color theme="1"/>
        <rFont val="Times New Roman"/>
        <family val="1"/>
        <charset val="204"/>
      </rPr>
      <t>%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</si>
  <si>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2.2   </t>
    </r>
    <r>
      <rPr>
        <sz val="12"/>
        <color theme="1"/>
        <rFont val="Times New Roman"/>
        <family val="1"/>
        <charset val="204"/>
      </rPr>
      <t>%</t>
    </r>
  </si>
  <si>
    <r>
      <t>РБ</t>
    </r>
    <r>
      <rPr>
        <b/>
        <vertAlign val="subscript"/>
        <sz val="10"/>
        <rFont val="Times New Roman"/>
        <family val="1"/>
        <charset val="204"/>
      </rPr>
      <t>1.1.1</t>
    </r>
  </si>
  <si>
    <r>
      <t>РБ</t>
    </r>
    <r>
      <rPr>
        <b/>
        <vertAlign val="subscript"/>
        <sz val="10"/>
        <rFont val="Times New Roman"/>
        <family val="1"/>
        <charset val="204"/>
      </rPr>
      <t>1.1.2</t>
    </r>
  </si>
  <si>
    <r>
      <t>РБ</t>
    </r>
    <r>
      <rPr>
        <b/>
        <vertAlign val="subscript"/>
        <sz val="10"/>
        <rFont val="Times New Roman"/>
        <family val="1"/>
        <charset val="204"/>
      </rPr>
      <t>2.1</t>
    </r>
  </si>
  <si>
    <r>
      <t>РБ</t>
    </r>
    <r>
      <rPr>
        <b/>
        <vertAlign val="subscript"/>
        <sz val="10"/>
        <rFont val="Times New Roman"/>
        <family val="1"/>
        <charset val="204"/>
      </rPr>
      <t>2.2</t>
    </r>
  </si>
  <si>
    <r>
      <t>РБ</t>
    </r>
    <r>
      <rPr>
        <b/>
        <vertAlign val="subscript"/>
        <sz val="10"/>
        <rFont val="Times New Roman"/>
        <family val="1"/>
        <charset val="204"/>
      </rPr>
      <t>3.1</t>
    </r>
  </si>
  <si>
    <r>
      <t>РБ</t>
    </r>
    <r>
      <rPr>
        <b/>
        <vertAlign val="subscript"/>
        <sz val="10"/>
        <rFont val="Times New Roman"/>
        <family val="1"/>
        <charset val="204"/>
      </rPr>
      <t>3.2</t>
    </r>
  </si>
  <si>
    <r>
      <t>РБ</t>
    </r>
    <r>
      <rPr>
        <b/>
        <vertAlign val="subscript"/>
        <sz val="10"/>
        <rFont val="Times New Roman"/>
        <family val="1"/>
        <charset val="204"/>
      </rPr>
      <t>3.3</t>
    </r>
  </si>
  <si>
    <r>
      <t>РБ</t>
    </r>
    <r>
      <rPr>
        <b/>
        <vertAlign val="subscript"/>
        <sz val="10"/>
        <rFont val="Times New Roman"/>
        <family val="1"/>
        <charset val="204"/>
      </rPr>
      <t>3.4</t>
    </r>
  </si>
  <si>
    <r>
      <t>РК</t>
    </r>
    <r>
      <rPr>
        <b/>
        <vertAlign val="subscript"/>
        <sz val="10"/>
        <rFont val="Times New Roman"/>
        <family val="1"/>
        <charset val="204"/>
      </rPr>
      <t>1.1.1</t>
    </r>
  </si>
  <si>
    <r>
      <t>РК</t>
    </r>
    <r>
      <rPr>
        <b/>
        <vertAlign val="subscript"/>
        <sz val="10"/>
        <rFont val="Times New Roman"/>
        <family val="1"/>
        <charset val="204"/>
      </rPr>
      <t>1.1.2</t>
    </r>
  </si>
  <si>
    <r>
      <t>РК</t>
    </r>
    <r>
      <rPr>
        <b/>
        <vertAlign val="subscript"/>
        <sz val="10"/>
        <rFont val="Times New Roman"/>
        <family val="1"/>
        <charset val="204"/>
      </rPr>
      <t>2.1</t>
    </r>
  </si>
  <si>
    <r>
      <t>РК</t>
    </r>
    <r>
      <rPr>
        <b/>
        <vertAlign val="subscript"/>
        <sz val="10"/>
        <rFont val="Times New Roman"/>
        <family val="1"/>
        <charset val="204"/>
      </rPr>
      <t>2.2</t>
    </r>
  </si>
  <si>
    <r>
      <t>РК</t>
    </r>
    <r>
      <rPr>
        <b/>
        <vertAlign val="subscript"/>
        <sz val="10"/>
        <rFont val="Times New Roman"/>
        <family val="1"/>
        <charset val="204"/>
      </rPr>
      <t>3.1.1</t>
    </r>
  </si>
  <si>
    <r>
      <t>РК</t>
    </r>
    <r>
      <rPr>
        <b/>
        <vertAlign val="subscript"/>
        <sz val="10"/>
        <rFont val="Times New Roman"/>
        <family val="1"/>
        <charset val="204"/>
      </rPr>
      <t>3.1.2</t>
    </r>
  </si>
  <si>
    <r>
      <t>РК</t>
    </r>
    <r>
      <rPr>
        <b/>
        <vertAlign val="subscript"/>
        <sz val="10"/>
        <rFont val="Times New Roman"/>
        <family val="1"/>
        <charset val="204"/>
      </rPr>
      <t>3.2.1.</t>
    </r>
  </si>
  <si>
    <r>
      <t>РК</t>
    </r>
    <r>
      <rPr>
        <b/>
        <vertAlign val="subscript"/>
        <sz val="10"/>
        <rFont val="Times New Roman"/>
        <family val="1"/>
        <charset val="204"/>
      </rPr>
      <t>3.2.2.</t>
    </r>
  </si>
  <si>
    <r>
      <t xml:space="preserve">Сумма положительных изменений в бюджетную смету в связи с экономией, образовавшейся в ходе исполнения бюджетной сметы в отчетном периоде </t>
    </r>
    <r>
      <rPr>
        <b/>
        <sz val="12"/>
        <rFont val="Times New Roman"/>
        <family val="2"/>
        <charset val="204"/>
      </rPr>
      <t>(S)</t>
    </r>
  </si>
  <si>
    <r>
      <t xml:space="preserve">Объем лимитов бюджетных обязательств согласно бюджетной смете в отчетном финансовом году с учетом внесенных изменений </t>
    </r>
    <r>
      <rPr>
        <b/>
        <sz val="12"/>
        <rFont val="Times New Roman"/>
        <family val="2"/>
        <charset val="204"/>
      </rPr>
      <t>(L)</t>
    </r>
  </si>
  <si>
    <r>
      <t xml:space="preserve">1) Кассовое исполнение расходов федерального бюджета по бюджетной смете </t>
    </r>
    <r>
      <rPr>
        <b/>
        <sz val="12"/>
        <rFont val="Times New Roman"/>
        <family val="2"/>
        <charset val="204"/>
      </rPr>
      <t>(К)</t>
    </r>
  </si>
  <si>
    <r>
      <t xml:space="preserve">2) Кредиторская задолженность на начало года </t>
    </r>
    <r>
      <rPr>
        <b/>
        <sz val="12"/>
        <rFont val="Times New Roman"/>
        <family val="2"/>
        <charset val="204"/>
      </rPr>
      <t>(Z)</t>
    </r>
  </si>
  <si>
    <r>
      <t xml:space="preserve">3) Объем лимитов бюджетных обязательств согласно бюджетной смете (плану финансово-хозяйственной деятельности) в отчетном периоде с учетом внесенных в них изменений </t>
    </r>
    <r>
      <rPr>
        <b/>
        <sz val="12"/>
        <rFont val="Times New Roman"/>
        <family val="2"/>
        <charset val="204"/>
      </rPr>
      <t>(L)</t>
    </r>
  </si>
  <si>
    <r>
      <t xml:space="preserve">1) Объем принятых бюджетных обязательств в отчетном периоде текущего финансового года на закупку товаров, работ, услуг для обеспечения государственных нужд   </t>
    </r>
    <r>
      <rPr>
        <b/>
        <sz val="12"/>
        <rFont val="Times New Roman"/>
        <family val="2"/>
        <charset val="204"/>
      </rPr>
      <t>(L</t>
    </r>
    <r>
      <rPr>
        <b/>
        <sz val="8"/>
        <rFont val="Times New Roman"/>
        <family val="2"/>
        <charset val="204"/>
      </rPr>
      <t>об</t>
    </r>
    <r>
      <rPr>
        <b/>
        <sz val="12"/>
        <rFont val="Times New Roman"/>
        <family val="2"/>
        <charset val="204"/>
      </rPr>
      <t>)</t>
    </r>
  </si>
  <si>
    <r>
      <t xml:space="preserve">2) Объем доведенных лимитов бюджетных обязательств в отчетном периоде текучего финансового года на закупку товаров, работ, услуг для обеспечения государственных нужд (далее контрактуемые лимиты бюджетных обязательств)   </t>
    </r>
    <r>
      <rPr>
        <b/>
        <sz val="12"/>
        <rFont val="Times New Roman"/>
        <family val="2"/>
        <charset val="204"/>
      </rPr>
      <t>(L</t>
    </r>
    <r>
      <rPr>
        <b/>
        <sz val="8"/>
        <rFont val="Times New Roman"/>
        <family val="2"/>
        <charset val="204"/>
      </rPr>
      <t>довед</t>
    </r>
    <r>
      <rPr>
        <b/>
        <sz val="12"/>
        <rFont val="Times New Roman"/>
        <family val="2"/>
        <charset val="204"/>
      </rPr>
      <t>)</t>
    </r>
  </si>
  <si>
    <r>
      <t xml:space="preserve">1) Объем дебиторской задолженности по расчетам с поставщиками, исполнителями и подрядчиками по состоянию на 1 число периода, следующего за отчетным   </t>
    </r>
    <r>
      <rPr>
        <b/>
        <sz val="12"/>
        <rFont val="Times New Roman"/>
        <family val="2"/>
        <charset val="204"/>
      </rPr>
      <t>(V</t>
    </r>
    <r>
      <rPr>
        <b/>
        <sz val="8"/>
        <rFont val="Times New Roman"/>
        <family val="2"/>
        <charset val="204"/>
      </rPr>
      <t>постК</t>
    </r>
    <r>
      <rPr>
        <b/>
        <sz val="12"/>
        <rFont val="Times New Roman"/>
        <family val="2"/>
        <charset val="204"/>
      </rPr>
      <t>)</t>
    </r>
  </si>
  <si>
    <r>
      <t xml:space="preserve">2) Кассовое исполнение расходов по расчетам с поставщиками, исполнителями и подрядчиками в отчетном периоде   </t>
    </r>
    <r>
      <rPr>
        <b/>
        <sz val="12"/>
        <rFont val="Times New Roman"/>
        <family val="2"/>
        <charset val="204"/>
      </rPr>
      <t>(К</t>
    </r>
    <r>
      <rPr>
        <b/>
        <sz val="8"/>
        <rFont val="Times New Roman"/>
        <family val="2"/>
        <charset val="204"/>
      </rPr>
      <t>пост</t>
    </r>
    <r>
      <rPr>
        <b/>
        <sz val="12"/>
        <rFont val="Times New Roman"/>
        <family val="2"/>
        <charset val="204"/>
      </rPr>
      <t>)</t>
    </r>
  </si>
  <si>
    <r>
      <t xml:space="preserve">1) Объем дебиторской задолженности по доходам по состоянию на 1 число периода, следующего за отчетным  </t>
    </r>
    <r>
      <rPr>
        <b/>
        <sz val="12"/>
        <rFont val="Times New Roman"/>
        <family val="2"/>
        <charset val="204"/>
      </rPr>
      <t>(V</t>
    </r>
    <r>
      <rPr>
        <b/>
        <sz val="8"/>
        <rFont val="Times New Roman"/>
        <family val="2"/>
        <charset val="204"/>
      </rPr>
      <t>дох</t>
    </r>
    <r>
      <rPr>
        <b/>
        <sz val="12"/>
        <rFont val="Times New Roman"/>
        <family val="2"/>
        <charset val="204"/>
      </rPr>
      <t>)</t>
    </r>
  </si>
  <si>
    <r>
      <t xml:space="preserve">2) Кассовое исполнение по доходам в отчетном периоде  </t>
    </r>
    <r>
      <rPr>
        <b/>
        <sz val="12"/>
        <rFont val="Times New Roman"/>
        <family val="2"/>
        <charset val="204"/>
      </rPr>
      <t>(К</t>
    </r>
    <r>
      <rPr>
        <b/>
        <sz val="8"/>
        <rFont val="Times New Roman"/>
        <family val="2"/>
        <charset val="204"/>
      </rPr>
      <t>д</t>
    </r>
    <r>
      <rPr>
        <b/>
        <sz val="12"/>
        <rFont val="Times New Roman"/>
        <family val="2"/>
        <charset val="204"/>
      </rPr>
      <t>)</t>
    </r>
  </si>
  <si>
    <r>
      <t xml:space="preserve">1) Объем кредиторской задолженности по расчетам с поставщиками, исполнителями и подрядчиками по состоянию на 1 число периода, следующего за отчетным   </t>
    </r>
    <r>
      <rPr>
        <b/>
        <sz val="12"/>
        <rFont val="Times New Roman"/>
        <family val="2"/>
        <charset val="204"/>
      </rPr>
      <t>(ZпостК)</t>
    </r>
  </si>
  <si>
    <r>
      <t xml:space="preserve">2) Кассовое исполнение расходов в отчетном периоде </t>
    </r>
    <r>
      <rPr>
        <b/>
        <sz val="12"/>
        <rFont val="Times New Roman"/>
        <family val="2"/>
        <charset val="204"/>
      </rPr>
      <t>(К)</t>
    </r>
  </si>
  <si>
    <r>
      <t xml:space="preserve">Сумма просроченной кредиторской задолженности по оплате труда и начислениям на выплаты по оплате труда на конец отчетного периода </t>
    </r>
    <r>
      <rPr>
        <b/>
        <sz val="12"/>
        <rFont val="Times New Roman"/>
        <family val="2"/>
        <charset val="204"/>
      </rPr>
      <t>(РК3.2.2.)</t>
    </r>
  </si>
  <si>
    <t>Отчет по форме 0503127, утвержденной приказом  Минфина России от 28.12.2010 № 191н; Сведения по дебиторской и кредиторской задолженности по форме  0503169, утвержденной приказом Минфина России от 28.12.2010 № 191н (составляется за отчетный период)</t>
  </si>
  <si>
    <t>Наименование показателя / расчет показателя</t>
  </si>
  <si>
    <r>
      <t xml:space="preserve">Объем дебиторской задолженности по расчетам с поставщиками, исполнителями и подрядчиками  </t>
    </r>
    <r>
      <rPr>
        <b/>
        <sz val="12"/>
        <rFont val="Times New Roman"/>
        <family val="2"/>
        <charset val="204"/>
      </rPr>
      <t/>
    </r>
  </si>
  <si>
    <r>
      <t>Расчет показателя   РК</t>
    </r>
    <r>
      <rPr>
        <b/>
        <vertAlign val="subscript"/>
        <sz val="12"/>
        <rFont val="Times New Roman"/>
        <family val="1"/>
        <charset val="204"/>
      </rPr>
      <t>1.1.2</t>
    </r>
    <r>
      <rPr>
        <b/>
        <sz val="12"/>
        <rFont val="Times New Roman"/>
        <family val="1"/>
        <charset val="204"/>
      </rPr>
      <t xml:space="preserve"> = 100 х S / L</t>
    </r>
  </si>
  <si>
    <r>
      <t>Расчет показателля  РК</t>
    </r>
    <r>
      <rPr>
        <b/>
        <sz val="8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= 100 х (K-Z) / L</t>
    </r>
  </si>
  <si>
    <r>
      <t>Расчет показателя РК</t>
    </r>
    <r>
      <rPr>
        <b/>
        <sz val="8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 xml:space="preserve"> =(L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/L</t>
    </r>
    <r>
      <rPr>
        <b/>
        <sz val="8"/>
        <rFont val="Times New Roman"/>
        <family val="1"/>
        <charset val="204"/>
      </rPr>
      <t>довед</t>
    </r>
    <r>
      <rPr>
        <b/>
        <sz val="12"/>
        <rFont val="Times New Roman"/>
        <family val="1"/>
        <charset val="204"/>
      </rPr>
      <t>*100</t>
    </r>
  </si>
  <si>
    <t>Расчет показателя PK3.1.1.=100*VпостК/Kпост</t>
  </si>
  <si>
    <r>
      <t>Расчет показателя РК</t>
    </r>
    <r>
      <rPr>
        <b/>
        <sz val="8"/>
        <rFont val="Times New Roman"/>
        <family val="2"/>
        <charset val="204"/>
      </rPr>
      <t>3.1.2.</t>
    </r>
    <r>
      <rPr>
        <b/>
        <sz val="12"/>
        <rFont val="Times New Roman"/>
        <family val="2"/>
        <charset val="204"/>
      </rPr>
      <t>=100*V</t>
    </r>
    <r>
      <rPr>
        <b/>
        <sz val="8"/>
        <rFont val="Times New Roman"/>
        <family val="2"/>
        <charset val="204"/>
      </rPr>
      <t>дох</t>
    </r>
    <r>
      <rPr>
        <b/>
        <sz val="12"/>
        <rFont val="Times New Roman"/>
        <family val="2"/>
        <charset val="204"/>
      </rPr>
      <t>/К</t>
    </r>
    <r>
      <rPr>
        <b/>
        <sz val="8"/>
        <rFont val="Times New Roman"/>
        <family val="2"/>
        <charset val="204"/>
      </rPr>
      <t>д</t>
    </r>
  </si>
  <si>
    <t>Расчет показателя РК3.2.1.=100xZпост/K</t>
  </si>
  <si>
    <t>Сумма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</t>
  </si>
  <si>
    <r>
      <t>Расчет показателя РБ</t>
    </r>
    <r>
      <rPr>
        <b/>
        <sz val="8"/>
        <rFont val="Times New Roman"/>
        <family val="1"/>
        <charset val="204"/>
      </rPr>
      <t>1.1.2.</t>
    </r>
    <r>
      <rPr>
        <b/>
        <sz val="12"/>
        <rFont val="Times New Roman"/>
        <family val="1"/>
        <charset val="204"/>
      </rPr>
      <t>=100*S/L</t>
    </r>
  </si>
  <si>
    <r>
      <t>Расчет показателя РБ</t>
    </r>
    <r>
      <rPr>
        <b/>
        <sz val="8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= 100 х (K</t>
    </r>
    <r>
      <rPr>
        <b/>
        <sz val="8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-Z) / Lгз</t>
    </r>
  </si>
  <si>
    <r>
      <t>Расчет показателя РБ</t>
    </r>
    <r>
      <rPr>
        <b/>
        <sz val="8"/>
        <rFont val="Times New Roman"/>
        <family val="1"/>
        <charset val="204"/>
      </rPr>
      <t>3.4.</t>
    </r>
    <r>
      <rPr>
        <b/>
        <sz val="12"/>
        <rFont val="Times New Roman"/>
        <family val="1"/>
        <charset val="204"/>
      </rPr>
      <t>=100*Z</t>
    </r>
    <r>
      <rPr>
        <b/>
        <sz val="8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/K</t>
    </r>
  </si>
  <si>
    <r>
      <t>Расчет показателя РБ</t>
    </r>
    <r>
      <rPr>
        <b/>
        <sz val="8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 xml:space="preserve"> = 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/V</t>
    </r>
    <r>
      <rPr>
        <b/>
        <sz val="8"/>
        <rFont val="Times New Roman"/>
        <family val="1"/>
        <charset val="204"/>
      </rPr>
      <t>план</t>
    </r>
    <r>
      <rPr>
        <b/>
        <sz val="12"/>
        <rFont val="Times New Roman"/>
        <family val="1"/>
        <charset val="204"/>
      </rPr>
      <t>*100)</t>
    </r>
  </si>
  <si>
    <t>1.1</t>
  </si>
  <si>
    <t xml:space="preserve">1.1.1.  </t>
  </si>
  <si>
    <t>1.1.2.</t>
  </si>
  <si>
    <t xml:space="preserve">2.1   </t>
  </si>
  <si>
    <t>2.2</t>
  </si>
  <si>
    <t xml:space="preserve">3.1.  </t>
  </si>
  <si>
    <t>3.2.</t>
  </si>
  <si>
    <t>3.3.</t>
  </si>
  <si>
    <t>3.4.</t>
  </si>
  <si>
    <t>1.1.</t>
  </si>
  <si>
    <t>3.1.1.</t>
  </si>
  <si>
    <t>3.1.2.</t>
  </si>
  <si>
    <t xml:space="preserve">3.2.1  </t>
  </si>
  <si>
    <t xml:space="preserve">3.2.2 </t>
  </si>
  <si>
    <t xml:space="preserve">Кассовое исполнение расходов в отчетном периоде   </t>
  </si>
  <si>
    <t>Объем просроченной кредиторской задолженности  по оплате труда и начислениям на выплаты по оплате труда   (РК3.2.2)</t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</si>
  <si>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3.4.   </t>
    </r>
    <r>
      <rPr>
        <sz val="12"/>
        <color theme="1"/>
        <rFont val="Times New Roman"/>
        <family val="1"/>
        <charset val="204"/>
      </rPr>
      <t>руб</t>
    </r>
  </si>
  <si>
    <r>
      <t>Расчет показателя РБ</t>
    </r>
    <r>
      <rPr>
        <b/>
        <sz val="8"/>
        <rFont val="Times New Roman"/>
        <family val="1"/>
        <charset val="204"/>
      </rPr>
      <t>1.1.1.</t>
    </r>
  </si>
  <si>
    <r>
      <t>Расчет показателя   РК</t>
    </r>
    <r>
      <rPr>
        <b/>
        <vertAlign val="subscript"/>
        <sz val="12"/>
        <rFont val="Times New Roman"/>
        <family val="1"/>
        <charset val="204"/>
      </rPr>
      <t>1.1.1.</t>
    </r>
  </si>
  <si>
    <t xml:space="preserve">Сумма изменений в бюджетную смету, связанных с экономией, образовавшейся в ходе исполнения  бюджетной сметы  </t>
  </si>
  <si>
    <r>
      <t>Е(РБ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>) = 5,  если РБ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 xml:space="preserve"> &lt;= 3;   Е(РБ</t>
    </r>
    <r>
      <rPr>
        <vertAlign val="subscript"/>
        <sz val="12"/>
        <color rgb="FF007033"/>
        <rFont val="Times New Roman"/>
        <family val="2"/>
        <charset val="204"/>
      </rPr>
      <t>1.1.1</t>
    </r>
    <r>
      <rPr>
        <sz val="12"/>
        <color rgb="FF007033"/>
        <rFont val="Times New Roman"/>
        <family val="2"/>
        <charset val="204"/>
      </rPr>
      <t>) = 0,  если РБ</t>
    </r>
    <r>
      <rPr>
        <vertAlign val="subscript"/>
        <sz val="12"/>
        <color rgb="FF007033"/>
        <rFont val="Times New Roman"/>
        <family val="2"/>
        <charset val="204"/>
      </rPr>
      <t>1.1.1</t>
    </r>
    <r>
      <rPr>
        <sz val="12"/>
        <color rgb="FF007033"/>
        <rFont val="Times New Roman"/>
        <family val="2"/>
        <charset val="204"/>
      </rPr>
      <t xml:space="preserve"> &gt; 3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</si>
  <si>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 xml:space="preserve"> &lt;= 15%;  Е(РБ</t>
    </r>
    <r>
      <rPr>
        <vertAlign val="subscript"/>
        <sz val="12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 xml:space="preserve"> &gt; 15%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</si>
  <si>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 xml:space="preserve">3.4. </t>
    </r>
    <r>
      <rPr>
        <sz val="12"/>
        <color rgb="FF007033"/>
        <rFont val="Times New Roman"/>
        <family val="1"/>
        <charset val="204"/>
      </rPr>
      <t>&lt;= 1,5%;  Е(РБ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>) = 3, если 1,5% &lt; 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 xml:space="preserve"> &lt;= 2,0%;                                                Е(РБ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 xml:space="preserve"> &gt; 2,0%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</si>
  <si>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1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 xml:space="preserve">3.1. </t>
    </r>
    <r>
      <rPr>
        <sz val="12"/>
        <color rgb="FF007033"/>
        <rFont val="Times New Roman"/>
        <family val="1"/>
        <charset val="204"/>
      </rPr>
      <t>&lt;= 2;  Е(РБ</t>
    </r>
    <r>
      <rPr>
        <vertAlign val="subscript"/>
        <sz val="12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1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1"/>
        <charset val="204"/>
      </rPr>
      <t xml:space="preserve"> &gt; 2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</si>
  <si>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1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 xml:space="preserve">3.2. </t>
    </r>
    <r>
      <rPr>
        <sz val="12"/>
        <color rgb="FF007033"/>
        <rFont val="Times New Roman"/>
        <family val="1"/>
        <charset val="204"/>
      </rPr>
      <t>&lt;= 3;  Е(РБ</t>
    </r>
    <r>
      <rPr>
        <vertAlign val="subscript"/>
        <sz val="12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1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1"/>
        <charset val="204"/>
      </rPr>
      <t xml:space="preserve"> &gt; 3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</si>
  <si>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1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 xml:space="preserve">3.3. </t>
    </r>
    <r>
      <rPr>
        <sz val="12"/>
        <color rgb="FF007033"/>
        <rFont val="Times New Roman"/>
        <family val="1"/>
        <charset val="204"/>
      </rPr>
      <t>&lt;= 3;  Е(РБ</t>
    </r>
    <r>
      <rPr>
        <vertAlign val="subscript"/>
        <sz val="12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1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1"/>
        <charset val="204"/>
      </rPr>
      <t xml:space="preserve"> &gt; 3</t>
    </r>
  </si>
  <si>
    <t xml:space="preserve">Сведения о результатах ежеквартального мониторинга качества финансового менеджмента, осуществляемого подведомственными Министерству финансов Российской Федерации  федеральными государственными учреждениями         </t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</si>
  <si>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1.1.1.  </t>
    </r>
    <r>
      <rPr>
        <sz val="14"/>
        <color theme="1"/>
        <rFont val="Times New Roman"/>
        <family val="1"/>
        <charset val="204"/>
      </rPr>
      <t>шт.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</si>
  <si>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1.1.1.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>1.1.1.</t>
    </r>
    <r>
      <rPr>
        <sz val="14"/>
        <color rgb="FF007033"/>
        <rFont val="Times New Roman"/>
        <family val="1"/>
        <charset val="204"/>
      </rPr>
      <t xml:space="preserve"> &lt;= 3;  Е(</t>
    </r>
    <r>
      <rPr>
        <vertAlign val="subscript"/>
        <sz val="14"/>
        <color rgb="FF007033"/>
        <rFont val="Times New Roman"/>
        <family val="1"/>
        <charset val="204"/>
      </rPr>
      <t>РК1.1.1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1.1.1</t>
    </r>
    <r>
      <rPr>
        <sz val="14"/>
        <color rgb="FF007033"/>
        <rFont val="Times New Roman"/>
        <family val="1"/>
        <charset val="204"/>
      </rPr>
      <t xml:space="preserve">  &gt; 3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</si>
  <si>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1.1.2   </t>
    </r>
    <r>
      <rPr>
        <sz val="14"/>
        <color theme="1"/>
        <rFont val="Times New Roman"/>
        <family val="1"/>
        <charset val="204"/>
      </rPr>
      <t>%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</si>
  <si>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1.1.2.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>1.1.2.</t>
    </r>
    <r>
      <rPr>
        <sz val="14"/>
        <color rgb="FF007033"/>
        <rFont val="Times New Roman"/>
        <family val="1"/>
        <charset val="204"/>
      </rPr>
      <t xml:space="preserve"> &lt;= 15%;  Е(РК</t>
    </r>
    <r>
      <rPr>
        <vertAlign val="subscript"/>
        <sz val="14"/>
        <color rgb="FF007033"/>
        <rFont val="Times New Roman"/>
        <family val="1"/>
        <charset val="204"/>
      </rPr>
      <t>1.1.2.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1.1.2.</t>
    </r>
    <r>
      <rPr>
        <sz val="14"/>
        <color rgb="FF007033"/>
        <rFont val="Times New Roman"/>
        <family val="1"/>
        <charset val="204"/>
      </rPr>
      <t xml:space="preserve"> &gt; 15%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</si>
  <si>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2.1      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</si>
  <si>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2.2      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</si>
  <si>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3.1.1. 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</si>
  <si>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3.1.2.  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</si>
  <si>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3.2.1.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</si>
  <si>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3.2.2  </t>
    </r>
    <r>
      <rPr>
        <sz val="14"/>
        <color theme="1"/>
        <rFont val="Times New Roman"/>
        <family val="1"/>
        <charset val="204"/>
      </rPr>
      <t>%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</si>
  <si>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3.2.2.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>3.2.2.</t>
    </r>
    <r>
      <rPr>
        <sz val="14"/>
        <color rgb="FF007033"/>
        <rFont val="Times New Roman"/>
        <family val="1"/>
        <charset val="204"/>
      </rPr>
      <t xml:space="preserve"> = 0;   Е(РК</t>
    </r>
    <r>
      <rPr>
        <vertAlign val="subscript"/>
        <sz val="14"/>
        <color rgb="FF007033"/>
        <rFont val="Times New Roman"/>
        <family val="1"/>
        <charset val="204"/>
      </rPr>
      <t>3.2.2.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3.2.2.</t>
    </r>
    <r>
      <rPr>
        <sz val="14"/>
        <color rgb="FF007033"/>
        <rFont val="Times New Roman"/>
        <family val="1"/>
        <charset val="204"/>
      </rPr>
      <t xml:space="preserve"> &gt; 0</t>
    </r>
  </si>
  <si>
    <r>
      <t>Сумма оценок Е (РК</t>
    </r>
    <r>
      <rPr>
        <b/>
        <vertAlign val="subscript"/>
        <sz val="14"/>
        <color theme="1"/>
        <rFont val="Times New Roman"/>
        <family val="1"/>
        <charset val="204"/>
      </rPr>
      <t>ххх</t>
    </r>
    <r>
      <rPr>
        <b/>
        <sz val="14"/>
        <color theme="1"/>
        <rFont val="Times New Roman"/>
        <family val="1"/>
        <charset val="204"/>
      </rPr>
      <t xml:space="preserve">) в баллах 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</si>
  <si>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3.1.1.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 xml:space="preserve">3.1.1. </t>
    </r>
    <r>
      <rPr>
        <sz val="14"/>
        <color rgb="FF007033"/>
        <rFont val="Times New Roman"/>
        <family val="1"/>
        <charset val="204"/>
      </rPr>
      <t>&lt;=  1,0%;   Е(РК</t>
    </r>
    <r>
      <rPr>
        <vertAlign val="subscript"/>
        <sz val="14"/>
        <color rgb="FF007033"/>
        <rFont val="Times New Roman"/>
        <family val="1"/>
        <charset val="204"/>
      </rPr>
      <t>3.1.1.</t>
    </r>
    <r>
      <rPr>
        <sz val="14"/>
        <color rgb="FF007033"/>
        <rFont val="Times New Roman"/>
        <family val="1"/>
        <charset val="204"/>
      </rPr>
      <t>) = 3,  если 1% &lt; РК</t>
    </r>
    <r>
      <rPr>
        <vertAlign val="subscript"/>
        <sz val="14"/>
        <color rgb="FF007033"/>
        <rFont val="Times New Roman"/>
        <family val="1"/>
        <charset val="204"/>
      </rPr>
      <t xml:space="preserve">3.1.1. </t>
    </r>
    <r>
      <rPr>
        <sz val="14"/>
        <color rgb="FF007033"/>
        <rFont val="Times New Roman"/>
        <family val="1"/>
        <charset val="204"/>
      </rPr>
      <t>&lt;=  1,5%;     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3.1.1.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3.1.1.</t>
    </r>
    <r>
      <rPr>
        <sz val="14"/>
        <color rgb="FF007033"/>
        <rFont val="Times New Roman"/>
        <family val="1"/>
        <charset val="204"/>
      </rPr>
      <t xml:space="preserve"> &gt; 1,5%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</si>
  <si>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 xml:space="preserve">3.1.2. </t>
    </r>
    <r>
      <rPr>
        <sz val="14"/>
        <color rgb="FF007033"/>
        <rFont val="Times New Roman"/>
        <family val="1"/>
        <charset val="204"/>
      </rPr>
      <t>&lt;= 0,0%;   Е(РК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>) = 3,  если 0,0% &lt; 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 xml:space="preserve"> &lt;= 0,5%;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 xml:space="preserve"> &gt; 0,5%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</si>
  <si>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 xml:space="preserve">3.2.1. </t>
    </r>
    <r>
      <rPr>
        <sz val="14"/>
        <color rgb="FF007033"/>
        <rFont val="Times New Roman"/>
        <family val="1"/>
        <charset val="204"/>
      </rPr>
      <t>&lt;= 1,5%;   Е(РК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>) = 3,  если 1,5% &lt; 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 xml:space="preserve"> &lt;= 2,0%;     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 xml:space="preserve"> &gt; 2,0%</t>
    </r>
  </si>
  <si>
    <t>за 1-е полугодие 2017 года</t>
  </si>
  <si>
    <t xml:space="preserve">2.Данные для расчета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1-е полугодие 2017 года </t>
  </si>
  <si>
    <t>1. Данные для расчета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казенных учреждений  за 1-е полугодие 2017 года</t>
  </si>
  <si>
    <t xml:space="preserve">1.Данные для оценки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казенных учреждений за 1-е полугодие 2017 года </t>
  </si>
  <si>
    <t>2. Сведения о результатах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1-е полугодие 2017 года</t>
  </si>
  <si>
    <t>1.Сведения о результатах годового мониторинга качества финансового менеджмента подведомственных Министерству финансов Российской Федерации федеральных казенных учреждений за 1-е полугодие 2017 года</t>
  </si>
  <si>
    <t>М.В. Клевцов</t>
  </si>
  <si>
    <r>
      <rPr>
        <sz val="11"/>
        <rFont val="Wingdings"/>
        <charset val="2"/>
      </rPr>
      <t>(</t>
    </r>
    <r>
      <rPr>
        <sz val="11"/>
        <rFont val="Times New Roman"/>
        <family val="2"/>
        <charset val="204"/>
      </rPr>
      <t xml:space="preserve">  8(495)987-99-85 внутр. 99-85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</si>
  <si>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1"/>
        <charset val="204"/>
      </rPr>
      <t>) = 5, если РБ</t>
    </r>
    <r>
      <rPr>
        <vertAlign val="subscript"/>
        <sz val="12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1"/>
        <charset val="204"/>
      </rPr>
      <t xml:space="preserve"> =&gt; 50%, Е(РБ</t>
    </r>
    <r>
      <rPr>
        <vertAlign val="subscript"/>
        <sz val="12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1"/>
        <charset val="204"/>
      </rPr>
      <t>) = 0, если РБ</t>
    </r>
    <r>
      <rPr>
        <vertAlign val="subscript"/>
        <sz val="12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1"/>
        <charset val="204"/>
      </rPr>
      <t xml:space="preserve"> &lt; 50%</t>
    </r>
  </si>
  <si>
    <r>
      <t>Е(РБ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>) = 5, если 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 xml:space="preserve"> =&gt; 50%; Е(РБ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>) = 4, если 45% &lt;= 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 xml:space="preserve"> &lt; 50%;                   Е(РБ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>) = 3, если 40% &lt;= 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 xml:space="preserve"> &lt; 45%; Е(РБ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>) = 0, если 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 xml:space="preserve"> &lt; 40% </t>
    </r>
  </si>
  <si>
    <r>
      <t>За I полугодие:  Е(РК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) = 5, если 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=&gt; 50%;   Е(РК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) = 4, если 45% &lt;= 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 xml:space="preserve"> &lt; 50%;                          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) = 3, если 40% &lt;= 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 xml:space="preserve"> &lt; 45%;  Е(РК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) = 0, если 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 xml:space="preserve"> &lt; 40%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</si>
  <si>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За I полугодие:     Е(РК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>) = 5, если 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 xml:space="preserve"> =&gt; 50%,  Е(РК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>) = 4, если 45% &lt;= 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 xml:space="preserve"> &lt; 50%;                                            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>) = 3, если 40% &lt;= 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 xml:space="preserve"> &lt; 45%;  Е(РК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>) = 0, если 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 xml:space="preserve"> &lt; 40% </t>
    </r>
  </si>
  <si>
    <t>2.Данные для оценки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                             за 1-е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</si>
</sst>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 ;\-#,##0.00\ "/>
  </numFmts>
  <fonts count="51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rgb="FF007033"/>
      <name val="Times New Roman"/>
      <family val="2"/>
      <charset val="204"/>
    </font>
    <font>
      <vertAlign val="subscript"/>
      <sz val="12"/>
      <color rgb="FF007033"/>
      <name val="Times New Roman"/>
      <family val="2"/>
      <charset val="204"/>
    </font>
    <font>
      <b/>
      <vertAlign val="subscript"/>
      <sz val="12"/>
      <color theme="1"/>
      <name val="Times New Roman"/>
      <family val="2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6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sz val="12"/>
      <color rgb="FF007033"/>
      <name val="Times New Roman"/>
      <family val="1"/>
      <charset val="204"/>
    </font>
    <font>
      <vertAlign val="subscript"/>
      <sz val="12"/>
      <color rgb="FF00703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4"/>
      <name val="Times New Roman"/>
      <family val="2"/>
      <charset val="204"/>
    </font>
    <font>
      <b/>
      <sz val="10"/>
      <name val="Times New Roman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2"/>
      <charset val="204"/>
    </font>
    <font>
      <b/>
      <sz val="8"/>
      <name val="Times New Roman"/>
      <family val="2"/>
      <charset val="204"/>
    </font>
    <font>
      <b/>
      <vertAlign val="subscript"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Wingdings"/>
      <charset val="2"/>
    </font>
    <font>
      <sz val="11"/>
      <name val="Wingdings 2"/>
      <family val="1"/>
      <charset val="2"/>
    </font>
    <font>
      <sz val="11"/>
      <color rgb="FF007033"/>
      <name val="Times New Roman"/>
      <family val="1"/>
      <charset val="204"/>
    </font>
    <font>
      <vertAlign val="subscript"/>
      <sz val="11"/>
      <color rgb="FF007033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4"/>
      <color rgb="FF007033"/>
      <name val="Times New Roman"/>
      <family val="1"/>
      <charset val="204"/>
    </font>
    <font>
      <vertAlign val="subscript"/>
      <sz val="14"/>
      <color rgb="FF007033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1"/>
      <color rgb="FFC00000"/>
      <name val="Times New Roman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43" fontId="39" fillId="0" borderId="0" applyFont="0" applyFill="0" applyBorder="0" applyAlignment="0" applyProtection="0"/>
  </cellStyleXfs>
  <cellXfs count="270">
    <xf numFmtId="0" fontId="0" fillId="0" borderId="0" xfId="0"/>
    <xf numFmtId="0" fontId="9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1" fillId="3" borderId="14" xfId="0" applyFont="1" applyFill="1" applyBorder="1" applyAlignment="1">
      <alignment horizontal="center" vertical="center"/>
    </xf>
    <xf numFmtId="0" fontId="16" fillId="0" borderId="0" xfId="0" applyFont="1" applyFill="1"/>
    <xf numFmtId="0" fontId="10" fillId="0" borderId="0" xfId="0" applyFont="1" applyFill="1"/>
    <xf numFmtId="0" fontId="0" fillId="0" borderId="0" xfId="0" applyFill="1"/>
    <xf numFmtId="0" fontId="4" fillId="0" borderId="0" xfId="0" applyFont="1" applyFill="1"/>
    <xf numFmtId="0" fontId="11" fillId="0" borderId="12" xfId="0" applyFont="1" applyFill="1" applyBorder="1" applyAlignment="1">
      <alignment horizontal="center" vertical="center"/>
    </xf>
    <xf numFmtId="1" fontId="10" fillId="0" borderId="0" xfId="0" applyNumberFormat="1" applyFont="1" applyFill="1"/>
    <xf numFmtId="0" fontId="6" fillId="0" borderId="0" xfId="0" applyFont="1" applyFill="1"/>
    <xf numFmtId="4" fontId="10" fillId="0" borderId="12" xfId="0" quotePrefix="1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9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2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9" fillId="0" borderId="0" xfId="0" applyFont="1" applyFill="1"/>
    <xf numFmtId="0" fontId="0" fillId="0" borderId="0" xfId="0" applyFill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ill="1" applyAlignment="1">
      <alignment horizontal="left" indent="1"/>
    </xf>
    <xf numFmtId="0" fontId="3" fillId="0" borderId="1" xfId="1" applyFont="1" applyFill="1" applyBorder="1" applyAlignment="1">
      <alignment horizontal="left" vertical="center" wrapText="1" indent="1"/>
    </xf>
    <xf numFmtId="2" fontId="3" fillId="0" borderId="1" xfId="1" applyNumberFormat="1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vertical="center"/>
    </xf>
    <xf numFmtId="0" fontId="8" fillId="0" borderId="1" xfId="1" applyFont="1" applyFill="1" applyBorder="1" applyAlignment="1">
      <alignment horizontal="left" vertical="center" wrapText="1" indent="1"/>
    </xf>
    <xf numFmtId="0" fontId="8" fillId="0" borderId="2" xfId="1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horizontal="left" indent="1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indent="1"/>
    </xf>
    <xf numFmtId="0" fontId="11" fillId="3" borderId="1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28" fillId="0" borderId="0" xfId="0" applyFont="1"/>
    <xf numFmtId="0" fontId="29" fillId="0" borderId="0" xfId="0" applyFont="1" applyFill="1" applyAlignment="1">
      <alignment vertical="center"/>
    </xf>
    <xf numFmtId="0" fontId="29" fillId="0" borderId="0" xfId="0" applyFont="1" applyFill="1"/>
    <xf numFmtId="0" fontId="29" fillId="0" borderId="0" xfId="0" applyFont="1" applyFill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4" fontId="32" fillId="0" borderId="1" xfId="1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indent="1"/>
    </xf>
    <xf numFmtId="0" fontId="33" fillId="0" borderId="0" xfId="0" applyFont="1" applyFill="1"/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wrapText="1" indent="1"/>
    </xf>
    <xf numFmtId="0" fontId="29" fillId="0" borderId="0" xfId="0" applyFont="1" applyFill="1" applyAlignment="1">
      <alignment horizontal="left" wrapText="1"/>
    </xf>
    <xf numFmtId="0" fontId="29" fillId="0" borderId="0" xfId="0" applyFont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11" fillId="0" borderId="0" xfId="0" applyFont="1" applyFill="1"/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2" xfId="0" quotePrefix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10" fillId="0" borderId="12" xfId="0" quotePrefix="1" applyNumberFormat="1" applyFont="1" applyFill="1" applyBorder="1" applyAlignment="1">
      <alignment horizontal="center" vertical="center" wrapText="1"/>
    </xf>
    <xf numFmtId="0" fontId="5" fillId="0" borderId="14" xfId="0" quotePrefix="1" applyNumberFormat="1" applyFont="1" applyFill="1" applyBorder="1" applyAlignment="1">
      <alignment horizontal="center" vertical="center" wrapText="1"/>
    </xf>
    <xf numFmtId="0" fontId="1" fillId="0" borderId="12" xfId="0" quotePrefix="1" applyNumberFormat="1" applyFont="1" applyFill="1" applyBorder="1" applyAlignment="1">
      <alignment horizontal="center" vertical="center" wrapText="1"/>
    </xf>
    <xf numFmtId="0" fontId="5" fillId="0" borderId="12" xfId="0" quotePrefix="1" applyNumberFormat="1" applyFont="1" applyFill="1" applyBorder="1" applyAlignment="1">
      <alignment horizontal="center" vertical="center" wrapText="1"/>
    </xf>
    <xf numFmtId="4" fontId="1" fillId="0" borderId="12" xfId="0" quotePrefix="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left" vertical="center" wrapText="1" indent="1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10" fillId="5" borderId="1" xfId="0" applyNumberFormat="1" applyFont="1" applyFill="1" applyBorder="1" applyAlignment="1">
      <alignment horizontal="center" vertical="center"/>
    </xf>
    <xf numFmtId="0" fontId="10" fillId="5" borderId="1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indent="1"/>
    </xf>
    <xf numFmtId="4" fontId="9" fillId="0" borderId="23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left" vertical="center" wrapText="1" indent="1"/>
    </xf>
    <xf numFmtId="0" fontId="34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7" fillId="0" borderId="0" xfId="0" applyFont="1"/>
    <xf numFmtId="0" fontId="36" fillId="0" borderId="0" xfId="0" applyFont="1"/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left" vertical="center" wrapText="1" indent="1"/>
    </xf>
    <xf numFmtId="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4" fontId="8" fillId="0" borderId="23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indent="1"/>
    </xf>
    <xf numFmtId="2" fontId="8" fillId="0" borderId="1" xfId="1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9" fillId="0" borderId="17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43" fontId="0" fillId="0" borderId="0" xfId="2" applyFont="1" applyFill="1"/>
    <xf numFmtId="43" fontId="0" fillId="0" borderId="0" xfId="2" applyFont="1" applyFill="1" applyAlignment="1">
      <alignment horizontal="center" vertical="center"/>
    </xf>
    <xf numFmtId="43" fontId="36" fillId="0" borderId="0" xfId="2" applyFont="1" applyFill="1" applyAlignment="1">
      <alignment horizontal="center" vertical="center"/>
    </xf>
    <xf numFmtId="43" fontId="16" fillId="0" borderId="0" xfId="2" applyFont="1" applyFill="1"/>
    <xf numFmtId="0" fontId="41" fillId="0" borderId="0" xfId="0" quotePrefix="1" applyNumberFormat="1" applyFont="1" applyAlignment="1">
      <alignment horizontal="left" inden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41" fillId="0" borderId="0" xfId="0" quotePrefix="1" applyNumberFormat="1" applyFont="1" applyFill="1" applyAlignment="1">
      <alignment horizontal="left" inden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0" fillId="0" borderId="0" xfId="0" applyFont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2" fontId="45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 indent="1"/>
    </xf>
    <xf numFmtId="0" fontId="45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50" fillId="0" borderId="0" xfId="0" applyFont="1"/>
    <xf numFmtId="0" fontId="0" fillId="0" borderId="0" xfId="0" applyAlignment="1">
      <alignment horizontal="center" vertical="center"/>
    </xf>
    <xf numFmtId="3" fontId="1" fillId="0" borderId="12" xfId="0" quotePrefix="1" applyNumberFormat="1" applyFont="1" applyFill="1" applyBorder="1" applyAlignment="1">
      <alignment horizontal="center" vertical="center" wrapText="1"/>
    </xf>
    <xf numFmtId="1" fontId="1" fillId="0" borderId="12" xfId="0" quotePrefix="1" applyNumberFormat="1" applyFont="1" applyFill="1" applyBorder="1" applyAlignment="1">
      <alignment horizontal="center" vertical="center" wrapText="1"/>
    </xf>
    <xf numFmtId="43" fontId="29" fillId="0" borderId="0" xfId="2" applyFont="1" applyFill="1"/>
    <xf numFmtId="4" fontId="9" fillId="6" borderId="1" xfId="1" applyNumberFormat="1" applyFont="1" applyFill="1" applyBorder="1" applyAlignment="1">
      <alignment horizontal="center" vertical="center"/>
    </xf>
    <xf numFmtId="0" fontId="33" fillId="6" borderId="1" xfId="1" applyFont="1" applyFill="1" applyBorder="1" applyAlignment="1">
      <alignment horizontal="center" vertical="center" wrapText="1"/>
    </xf>
    <xf numFmtId="4" fontId="9" fillId="6" borderId="26" xfId="1" applyNumberFormat="1" applyFont="1" applyFill="1" applyBorder="1" applyAlignment="1">
      <alignment horizontal="center" vertical="center"/>
    </xf>
    <xf numFmtId="4" fontId="9" fillId="6" borderId="1" xfId="1" applyNumberFormat="1" applyFont="1" applyFill="1" applyBorder="1" applyAlignment="1">
      <alignment horizontal="center" vertical="center" wrapText="1"/>
    </xf>
    <xf numFmtId="4" fontId="9" fillId="6" borderId="2" xfId="1" applyNumberFormat="1" applyFont="1" applyFill="1" applyBorder="1" applyAlignment="1">
      <alignment horizontal="center" vertical="center" wrapText="1"/>
    </xf>
    <xf numFmtId="0" fontId="44" fillId="6" borderId="36" xfId="0" applyFont="1" applyFill="1" applyBorder="1" applyAlignment="1">
      <alignment horizontal="center" vertical="center" wrapText="1"/>
    </xf>
    <xf numFmtId="0" fontId="44" fillId="6" borderId="15" xfId="0" applyFont="1" applyFill="1" applyBorder="1" applyAlignment="1">
      <alignment horizontal="center" vertical="center" wrapText="1"/>
    </xf>
    <xf numFmtId="0" fontId="44" fillId="6" borderId="37" xfId="0" applyFont="1" applyFill="1" applyBorder="1" applyAlignment="1">
      <alignment horizontal="center" vertical="center" wrapText="1"/>
    </xf>
    <xf numFmtId="0" fontId="20" fillId="6" borderId="38" xfId="0" applyFont="1" applyFill="1" applyBorder="1" applyAlignment="1">
      <alignment horizontal="center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/>
    <xf numFmtId="49" fontId="16" fillId="0" borderId="17" xfId="0" applyNumberFormat="1" applyFont="1" applyFill="1" applyBorder="1"/>
    <xf numFmtId="49" fontId="19" fillId="0" borderId="3" xfId="0" applyNumberFormat="1" applyFont="1" applyFill="1" applyBorder="1"/>
    <xf numFmtId="49" fontId="19" fillId="0" borderId="17" xfId="0" applyNumberFormat="1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left" vertical="center" indent="1"/>
    </xf>
    <xf numFmtId="0" fontId="8" fillId="0" borderId="26" xfId="0" applyFont="1" applyFill="1" applyBorder="1" applyAlignment="1">
      <alignment horizontal="left" vertical="center" indent="1"/>
    </xf>
    <xf numFmtId="49" fontId="19" fillId="0" borderId="34" xfId="0" applyNumberFormat="1" applyFont="1" applyFill="1" applyBorder="1"/>
    <xf numFmtId="0" fontId="30" fillId="0" borderId="0" xfId="0" applyFont="1" applyFill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 indent="1"/>
    </xf>
    <xf numFmtId="0" fontId="8" fillId="0" borderId="25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24" xfId="1" applyFont="1" applyFill="1" applyBorder="1" applyAlignment="1">
      <alignment horizontal="left" vertical="center" wrapText="1" indent="1"/>
    </xf>
    <xf numFmtId="0" fontId="8" fillId="0" borderId="25" xfId="1" applyFont="1" applyFill="1" applyBorder="1" applyAlignment="1">
      <alignment horizontal="left" vertical="center" wrapText="1" indent="1"/>
    </xf>
    <xf numFmtId="0" fontId="8" fillId="0" borderId="26" xfId="1" applyFont="1" applyFill="1" applyBorder="1" applyAlignment="1">
      <alignment horizontal="left" vertical="center" wrapText="1" indent="1"/>
    </xf>
    <xf numFmtId="0" fontId="32" fillId="0" borderId="30" xfId="0" applyFont="1" applyFill="1" applyBorder="1" applyAlignment="1">
      <alignment horizontal="left" vertical="center"/>
    </xf>
    <xf numFmtId="49" fontId="29" fillId="0" borderId="3" xfId="0" applyNumberFormat="1" applyFont="1" applyFill="1" applyBorder="1"/>
    <xf numFmtId="49" fontId="29" fillId="0" borderId="17" xfId="0" applyNumberFormat="1" applyFont="1" applyFill="1" applyBorder="1"/>
    <xf numFmtId="0" fontId="33" fillId="0" borderId="2" xfId="1" applyFont="1" applyFill="1" applyBorder="1" applyAlignment="1">
      <alignment horizontal="center" vertical="center" wrapText="1"/>
    </xf>
    <xf numFmtId="0" fontId="33" fillId="0" borderId="3" xfId="1" applyFont="1" applyFill="1" applyBorder="1" applyAlignment="1">
      <alignment horizontal="center" vertical="center" wrapText="1"/>
    </xf>
    <xf numFmtId="0" fontId="33" fillId="0" borderId="17" xfId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/>
    <xf numFmtId="0" fontId="0" fillId="0" borderId="0" xfId="0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left" vertical="top" wrapText="1" indent="1"/>
    </xf>
    <xf numFmtId="0" fontId="45" fillId="0" borderId="12" xfId="0" applyFont="1" applyFill="1" applyBorder="1" applyAlignment="1">
      <alignment horizontal="left" vertical="top" wrapText="1" inden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5" fillId="0" borderId="18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3" fillId="6" borderId="1" xfId="1" applyNumberFormat="1" applyFont="1" applyFill="1" applyBorder="1" applyAlignment="1">
      <alignment horizontal="center" vertical="center" wrapText="1"/>
    </xf>
    <xf numFmtId="4" fontId="3" fillId="6" borderId="1" xfId="1" applyNumberFormat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8" fillId="6" borderId="1" xfId="1" applyNumberFormat="1" applyFont="1" applyFill="1" applyBorder="1" applyAlignment="1">
      <alignment horizontal="center" vertical="center" wrapText="1"/>
    </xf>
    <xf numFmtId="0" fontId="8" fillId="6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лохой" xfId="1" builtinId="27"/>
    <cellStyle name="Финансовый" xfId="2" builtinId="3"/>
  </cellStyles>
  <dxfs count="0"/>
  <tableStyles count="0" defaultTableStyle="TableStyleMedium2" defaultPivotStyle="PivotStyleLight16"/>
  <colors>
    <mruColors>
      <color rgb="FFFFFFFF"/>
      <color rgb="FF007033"/>
      <color rgb="FFFFFFDD"/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749992370372631"/>
  </sheetPr>
  <dimension ref="A9:N19"/>
  <sheetViews>
    <sheetView workbookViewId="0">
      <selection activeCell="B11" sqref="B11:M11"/>
    </sheetView>
  </sheetViews>
  <sheetFormatPr defaultRowHeight="15" x14ac:dyDescent="0.25"/>
  <cols>
    <col min="4" max="4" width="8" customWidth="1"/>
  </cols>
  <sheetData>
    <row r="9" spans="1:14" ht="15.75" thickBot="1" x14ac:dyDescent="0.3"/>
    <row r="10" spans="1:14" ht="210.75" customHeight="1" x14ac:dyDescent="0.25">
      <c r="A10" s="146"/>
      <c r="B10" s="175" t="s">
        <v>159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147"/>
    </row>
    <row r="11" spans="1:14" ht="63" customHeight="1" thickBot="1" x14ac:dyDescent="0.5">
      <c r="A11" s="8"/>
      <c r="B11" s="178" t="s">
        <v>175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80"/>
      <c r="N11" s="8"/>
    </row>
    <row r="19" spans="2:2" x14ac:dyDescent="0.25">
      <c r="B19" s="165"/>
    </row>
  </sheetData>
  <mergeCells count="2">
    <mergeCell ref="B10:M10"/>
    <mergeCell ref="B11:M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39"/>
  <sheetViews>
    <sheetView tabSelected="1" topLeftCell="A23" zoomScaleNormal="100" workbookViewId="0">
      <selection activeCell="E33" sqref="E33:F34"/>
    </sheetView>
  </sheetViews>
  <sheetFormatPr defaultColWidth="8.85546875" defaultRowHeight="15" x14ac:dyDescent="0.25"/>
  <cols>
    <col min="1" max="1" width="11.85546875" style="12" customWidth="1"/>
    <col min="2" max="2" width="94" style="31" customWidth="1"/>
    <col min="3" max="3" width="49.5703125" style="16" customWidth="1"/>
    <col min="4" max="4" width="9.28515625" style="16" customWidth="1"/>
    <col min="5" max="5" width="27.7109375" style="24" customWidth="1"/>
    <col min="6" max="6" width="25.28515625" style="24" customWidth="1"/>
    <col min="7" max="7" width="17.140625" style="136" bestFit="1" customWidth="1"/>
    <col min="8" max="16384" width="8.85546875" style="12"/>
  </cols>
  <sheetData>
    <row r="1" spans="1:7" x14ac:dyDescent="0.25">
      <c r="A1" s="188"/>
      <c r="B1" s="188"/>
      <c r="C1" s="188"/>
      <c r="D1" s="188"/>
      <c r="E1" s="188"/>
      <c r="F1" s="188"/>
    </row>
    <row r="2" spans="1:7" ht="38.450000000000003" customHeight="1" x14ac:dyDescent="0.25">
      <c r="A2" s="191" t="s">
        <v>176</v>
      </c>
      <c r="B2" s="191"/>
      <c r="C2" s="191"/>
      <c r="D2" s="191"/>
      <c r="E2" s="191"/>
      <c r="F2" s="191"/>
    </row>
    <row r="3" spans="1:7" ht="13.9" customHeight="1" x14ac:dyDescent="0.25">
      <c r="A3" s="191"/>
      <c r="B3" s="191"/>
      <c r="C3" s="191"/>
      <c r="D3" s="191"/>
      <c r="E3" s="191"/>
      <c r="F3" s="191"/>
    </row>
    <row r="4" spans="1:7" ht="5.45" hidden="1" customHeight="1" thickBot="1" x14ac:dyDescent="0.3">
      <c r="A4" s="192"/>
      <c r="B4" s="192"/>
      <c r="C4" s="192"/>
      <c r="D4" s="192"/>
      <c r="E4" s="192"/>
      <c r="F4" s="192"/>
    </row>
    <row r="5" spans="1:7" s="142" customFormat="1" ht="89.25" x14ac:dyDescent="0.25">
      <c r="A5" s="143" t="s">
        <v>65</v>
      </c>
      <c r="B5" s="143" t="s">
        <v>6</v>
      </c>
      <c r="C5" s="143" t="s">
        <v>12</v>
      </c>
      <c r="D5" s="143" t="s">
        <v>18</v>
      </c>
      <c r="E5" s="143" t="s">
        <v>66</v>
      </c>
      <c r="F5" s="143" t="s">
        <v>81</v>
      </c>
      <c r="G5" s="137"/>
    </row>
    <row r="6" spans="1:7" s="97" customFormat="1" ht="14.25" customHeight="1" x14ac:dyDescent="0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38"/>
    </row>
    <row r="7" spans="1:7" ht="23.25" customHeight="1" x14ac:dyDescent="0.25">
      <c r="A7" s="190" t="s">
        <v>40</v>
      </c>
      <c r="B7" s="190"/>
      <c r="C7" s="190"/>
      <c r="D7" s="190"/>
      <c r="E7" s="190"/>
      <c r="F7" s="190"/>
    </row>
    <row r="8" spans="1:7" ht="24" customHeight="1" x14ac:dyDescent="0.25">
      <c r="A8" s="117" t="s">
        <v>133</v>
      </c>
      <c r="B8" s="193" t="s">
        <v>25</v>
      </c>
      <c r="C8" s="194"/>
      <c r="D8" s="194"/>
      <c r="E8" s="194"/>
      <c r="F8" s="195"/>
    </row>
    <row r="9" spans="1:7" ht="48.75" customHeight="1" x14ac:dyDescent="0.25">
      <c r="A9" s="117" t="s">
        <v>134</v>
      </c>
      <c r="B9" s="36" t="s">
        <v>33</v>
      </c>
      <c r="C9" s="185" t="s">
        <v>34</v>
      </c>
      <c r="D9" s="133"/>
      <c r="E9" s="133"/>
      <c r="F9" s="133"/>
    </row>
    <row r="10" spans="1:7" ht="21" customHeight="1" x14ac:dyDescent="0.25">
      <c r="A10" s="132"/>
      <c r="B10" s="36" t="s">
        <v>150</v>
      </c>
      <c r="C10" s="187"/>
      <c r="D10" s="141" t="s">
        <v>19</v>
      </c>
      <c r="E10" s="127">
        <v>0</v>
      </c>
      <c r="F10" s="127">
        <v>0</v>
      </c>
    </row>
    <row r="11" spans="1:7" ht="53.25" customHeight="1" x14ac:dyDescent="0.25">
      <c r="A11" s="118" t="s">
        <v>135</v>
      </c>
      <c r="B11" s="36" t="s">
        <v>128</v>
      </c>
      <c r="C11" s="185" t="s">
        <v>82</v>
      </c>
      <c r="D11" s="23"/>
      <c r="E11" s="23"/>
      <c r="F11" s="23"/>
    </row>
    <row r="12" spans="1:7" ht="21" customHeight="1" x14ac:dyDescent="0.25">
      <c r="A12" s="196"/>
      <c r="B12" s="36" t="s">
        <v>129</v>
      </c>
      <c r="C12" s="186"/>
      <c r="D12" s="23" t="s">
        <v>20</v>
      </c>
      <c r="E12" s="126">
        <f>100*E13/E14</f>
        <v>0</v>
      </c>
      <c r="F12" s="131">
        <f>100*F13/F14</f>
        <v>0</v>
      </c>
    </row>
    <row r="13" spans="1:7" ht="51.75" customHeight="1" x14ac:dyDescent="0.25">
      <c r="A13" s="183"/>
      <c r="B13" s="32" t="s">
        <v>35</v>
      </c>
      <c r="C13" s="186"/>
      <c r="D13" s="23" t="s">
        <v>21</v>
      </c>
      <c r="E13" s="26">
        <v>0</v>
      </c>
      <c r="F13" s="26">
        <v>0</v>
      </c>
    </row>
    <row r="14" spans="1:7" ht="33" customHeight="1" x14ac:dyDescent="0.25">
      <c r="A14" s="184"/>
      <c r="B14" s="32" t="s">
        <v>36</v>
      </c>
      <c r="C14" s="187"/>
      <c r="D14" s="23" t="s">
        <v>21</v>
      </c>
      <c r="E14" s="263">
        <f>32766497.98+260235978.79</f>
        <v>293002476.76999998</v>
      </c>
      <c r="F14" s="263">
        <f>265608065.45+126345620.94+261782199.2+465915.56</f>
        <v>654201801.14999986</v>
      </c>
    </row>
    <row r="15" spans="1:7" ht="18.75" customHeight="1" x14ac:dyDescent="0.25">
      <c r="A15" s="189" t="s">
        <v>41</v>
      </c>
      <c r="B15" s="189"/>
      <c r="C15" s="189"/>
      <c r="D15" s="189"/>
      <c r="E15" s="189"/>
      <c r="F15" s="189"/>
    </row>
    <row r="16" spans="1:7" ht="51.95" customHeight="1" x14ac:dyDescent="0.25">
      <c r="A16" s="117" t="s">
        <v>136</v>
      </c>
      <c r="B16" s="36" t="s">
        <v>50</v>
      </c>
      <c r="C16" s="185" t="s">
        <v>68</v>
      </c>
      <c r="D16" s="116"/>
      <c r="E16" s="116"/>
      <c r="F16" s="116"/>
    </row>
    <row r="17" spans="1:7" ht="21" customHeight="1" x14ac:dyDescent="0.25">
      <c r="A17" s="183"/>
      <c r="B17" s="36" t="s">
        <v>130</v>
      </c>
      <c r="C17" s="186"/>
      <c r="D17" s="23" t="s">
        <v>20</v>
      </c>
      <c r="E17" s="27">
        <f>100*(E18-E19)/E22</f>
        <v>49.455780998620924</v>
      </c>
      <c r="F17" s="27">
        <f t="shared" ref="F17" si="0">100*(F18-F19)/F22</f>
        <v>41.241001154083996</v>
      </c>
    </row>
    <row r="18" spans="1:7" s="10" customFormat="1" ht="44.25" customHeight="1" x14ac:dyDescent="0.25">
      <c r="A18" s="183"/>
      <c r="B18" s="32" t="s">
        <v>52</v>
      </c>
      <c r="C18" s="186"/>
      <c r="D18" s="23" t="s">
        <v>21</v>
      </c>
      <c r="E18" s="264">
        <v>128937811.41</v>
      </c>
      <c r="F18" s="264">
        <v>56763232.689999998</v>
      </c>
      <c r="G18" s="139"/>
    </row>
    <row r="19" spans="1:7" s="10" customFormat="1" ht="18" customHeight="1" x14ac:dyDescent="0.25">
      <c r="A19" s="183"/>
      <c r="B19" s="32" t="s">
        <v>53</v>
      </c>
      <c r="C19" s="186"/>
      <c r="D19" s="23" t="s">
        <v>21</v>
      </c>
      <c r="E19" s="28">
        <f>E20+E21</f>
        <v>236075.66</v>
      </c>
      <c r="F19" s="28">
        <f>F20+F21</f>
        <v>4657033.7</v>
      </c>
      <c r="G19" s="139"/>
    </row>
    <row r="20" spans="1:7" s="10" customFormat="1" ht="36.4" customHeight="1" x14ac:dyDescent="0.25">
      <c r="A20" s="183"/>
      <c r="B20" s="32" t="s">
        <v>22</v>
      </c>
      <c r="C20" s="186"/>
      <c r="D20" s="23" t="s">
        <v>21</v>
      </c>
      <c r="E20" s="264">
        <f>12548.87+211862.47+1960+9704.32</f>
        <v>236075.66</v>
      </c>
      <c r="F20" s="264">
        <f>2550+34500.19+924306.17+162121.46+52640.9+1863211.74</f>
        <v>3039330.46</v>
      </c>
      <c r="G20" s="139"/>
    </row>
    <row r="21" spans="1:7" s="10" customFormat="1" ht="25.5" customHeight="1" x14ac:dyDescent="0.25">
      <c r="A21" s="183"/>
      <c r="B21" s="32" t="s">
        <v>17</v>
      </c>
      <c r="C21" s="186"/>
      <c r="D21" s="23" t="s">
        <v>21</v>
      </c>
      <c r="E21" s="264">
        <v>0</v>
      </c>
      <c r="F21" s="264">
        <f>21195.1+1596508.14</f>
        <v>1617703.24</v>
      </c>
      <c r="G21" s="139"/>
    </row>
    <row r="22" spans="1:7" s="10" customFormat="1" ht="33.75" customHeight="1" x14ac:dyDescent="0.25">
      <c r="A22" s="184"/>
      <c r="B22" s="32" t="s">
        <v>37</v>
      </c>
      <c r="C22" s="187"/>
      <c r="D22" s="23" t="s">
        <v>21</v>
      </c>
      <c r="E22" s="264">
        <v>260235978.78999999</v>
      </c>
      <c r="F22" s="264">
        <v>126345620.94</v>
      </c>
      <c r="G22" s="139"/>
    </row>
    <row r="23" spans="1:7" s="10" customFormat="1" ht="37.5" customHeight="1" x14ac:dyDescent="0.25">
      <c r="A23" s="117" t="s">
        <v>137</v>
      </c>
      <c r="B23" s="37" t="s">
        <v>67</v>
      </c>
      <c r="C23" s="185" t="s">
        <v>38</v>
      </c>
      <c r="D23" s="23"/>
      <c r="E23" s="23"/>
      <c r="F23" s="23"/>
      <c r="G23" s="139"/>
    </row>
    <row r="24" spans="1:7" s="10" customFormat="1" ht="21.75" customHeight="1" x14ac:dyDescent="0.25">
      <c r="A24" s="181"/>
      <c r="B24" s="37" t="s">
        <v>132</v>
      </c>
      <c r="C24" s="186"/>
      <c r="D24" s="23" t="s">
        <v>20</v>
      </c>
      <c r="E24" s="27">
        <f>(E25/E26*100)</f>
        <v>53.842857252901801</v>
      </c>
      <c r="F24" s="27">
        <f>(F25/F26*100)</f>
        <v>34.139081438105407</v>
      </c>
      <c r="G24" s="139"/>
    </row>
    <row r="25" spans="1:7" s="10" customFormat="1" ht="52.5" customHeight="1" x14ac:dyDescent="0.25">
      <c r="A25" s="181"/>
      <c r="B25" s="32" t="s">
        <v>70</v>
      </c>
      <c r="C25" s="186"/>
      <c r="D25" s="23" t="s">
        <v>21</v>
      </c>
      <c r="E25" s="265">
        <v>5565930.9199999999</v>
      </c>
      <c r="F25" s="264">
        <f>44977697.24+157094241.94+81297517.18</f>
        <v>283369456.36000001</v>
      </c>
      <c r="G25" s="139"/>
    </row>
    <row r="26" spans="1:7" s="10" customFormat="1" ht="51" customHeight="1" x14ac:dyDescent="0.25">
      <c r="A26" s="182"/>
      <c r="B26" s="32" t="s">
        <v>84</v>
      </c>
      <c r="C26" s="187"/>
      <c r="D26" s="23" t="s">
        <v>21</v>
      </c>
      <c r="E26" s="264">
        <v>10337361.73</v>
      </c>
      <c r="F26" s="264">
        <f>43621743.95+433047527.6+353374901.94</f>
        <v>830044173.49000001</v>
      </c>
      <c r="G26" s="139"/>
    </row>
    <row r="27" spans="1:7" s="10" customFormat="1" ht="23.25" customHeight="1" x14ac:dyDescent="0.25">
      <c r="A27" s="189" t="s">
        <v>39</v>
      </c>
      <c r="B27" s="189"/>
      <c r="C27" s="189"/>
      <c r="D27" s="189"/>
      <c r="E27" s="189"/>
      <c r="F27" s="189"/>
      <c r="G27" s="139"/>
    </row>
    <row r="28" spans="1:7" s="10" customFormat="1" ht="228.6" customHeight="1" x14ac:dyDescent="0.25">
      <c r="A28" s="117" t="s">
        <v>138</v>
      </c>
      <c r="B28" s="86" t="s">
        <v>8</v>
      </c>
      <c r="C28" s="29" t="s">
        <v>80</v>
      </c>
      <c r="D28" s="29" t="s">
        <v>42</v>
      </c>
      <c r="E28" s="266">
        <v>0</v>
      </c>
      <c r="F28" s="267">
        <v>0</v>
      </c>
      <c r="G28" s="139"/>
    </row>
    <row r="29" spans="1:7" s="10" customFormat="1" ht="87" customHeight="1" x14ac:dyDescent="0.25">
      <c r="A29" s="119" t="s">
        <v>139</v>
      </c>
      <c r="B29" s="36" t="s">
        <v>43</v>
      </c>
      <c r="C29" s="23" t="s">
        <v>79</v>
      </c>
      <c r="D29" s="29" t="s">
        <v>42</v>
      </c>
      <c r="E29" s="268">
        <v>0</v>
      </c>
      <c r="F29" s="269">
        <v>0</v>
      </c>
      <c r="G29" s="139"/>
    </row>
    <row r="30" spans="1:7" s="10" customFormat="1" ht="86.25" customHeight="1" x14ac:dyDescent="0.25">
      <c r="A30" s="119" t="s">
        <v>140</v>
      </c>
      <c r="B30" s="36" t="s">
        <v>44</v>
      </c>
      <c r="C30" s="23" t="s">
        <v>45</v>
      </c>
      <c r="D30" s="29" t="s">
        <v>42</v>
      </c>
      <c r="E30" s="269">
        <v>0</v>
      </c>
      <c r="F30" s="269">
        <v>0</v>
      </c>
      <c r="G30" s="139"/>
    </row>
    <row r="31" spans="1:7" s="10" customFormat="1" ht="49.5" customHeight="1" x14ac:dyDescent="0.25">
      <c r="A31" s="117" t="s">
        <v>141</v>
      </c>
      <c r="B31" s="36" t="s">
        <v>76</v>
      </c>
      <c r="C31" s="185" t="s">
        <v>83</v>
      </c>
      <c r="D31" s="29"/>
      <c r="E31" s="29"/>
      <c r="F31" s="29"/>
      <c r="G31" s="139"/>
    </row>
    <row r="32" spans="1:7" s="10" customFormat="1" ht="22.5" customHeight="1" x14ac:dyDescent="0.25">
      <c r="A32" s="181"/>
      <c r="B32" s="36" t="s">
        <v>131</v>
      </c>
      <c r="C32" s="186"/>
      <c r="D32" s="23" t="s">
        <v>20</v>
      </c>
      <c r="E32" s="27">
        <f>100*E33/E34</f>
        <v>5.7926237425586864</v>
      </c>
      <c r="F32" s="27">
        <f>100*F33/F34</f>
        <v>18.271440680708075</v>
      </c>
      <c r="G32" s="139"/>
    </row>
    <row r="33" spans="1:7" s="10" customFormat="1" ht="81" customHeight="1" x14ac:dyDescent="0.25">
      <c r="A33" s="181"/>
      <c r="B33" s="33" t="s">
        <v>71</v>
      </c>
      <c r="C33" s="186"/>
      <c r="D33" s="23" t="s">
        <v>21</v>
      </c>
      <c r="E33" s="263">
        <f>4237057+3670063.08+24432+25944.41+53207.32+377709.38</f>
        <v>8388413.1900000004</v>
      </c>
      <c r="F33" s="263">
        <f>99000+163654.17+372589.56+200593.77+1744026.55+9530558.35+62652.5+227150.25+36077.78+51820+6418305.24+416712.48+2070000+24353781.52+37813.87+8831.2</f>
        <v>45793567.240000002</v>
      </c>
      <c r="G33" s="139"/>
    </row>
    <row r="34" spans="1:7" s="10" customFormat="1" ht="62.25" customHeight="1" x14ac:dyDescent="0.25">
      <c r="A34" s="182"/>
      <c r="B34" s="32" t="s">
        <v>54</v>
      </c>
      <c r="C34" s="187"/>
      <c r="D34" s="23" t="s">
        <v>21</v>
      </c>
      <c r="E34" s="264">
        <f>15874169.53+128937811.41</f>
        <v>144811980.94</v>
      </c>
      <c r="F34" s="264">
        <f>104759252.66+56763232.69+88819469.14+287254.45</f>
        <v>250629208.94</v>
      </c>
      <c r="G34" s="139"/>
    </row>
    <row r="38" spans="1:7" x14ac:dyDescent="0.25">
      <c r="B38" s="54" t="s">
        <v>181</v>
      </c>
    </row>
    <row r="39" spans="1:7" s="48" customFormat="1" x14ac:dyDescent="0.25">
      <c r="A39" s="47"/>
      <c r="B39" s="144" t="s">
        <v>182</v>
      </c>
      <c r="C39" s="55"/>
      <c r="D39" s="55"/>
    </row>
  </sheetData>
  <mergeCells count="15">
    <mergeCell ref="A32:A34"/>
    <mergeCell ref="A17:A22"/>
    <mergeCell ref="A24:A26"/>
    <mergeCell ref="C31:C34"/>
    <mergeCell ref="A1:F1"/>
    <mergeCell ref="A27:F27"/>
    <mergeCell ref="A15:F15"/>
    <mergeCell ref="A7:F7"/>
    <mergeCell ref="A2:F4"/>
    <mergeCell ref="B8:F8"/>
    <mergeCell ref="A12:A14"/>
    <mergeCell ref="C11:C14"/>
    <mergeCell ref="C16:C22"/>
    <mergeCell ref="C23:C26"/>
    <mergeCell ref="C9:C10"/>
  </mergeCells>
  <pageMargins left="0.35433070866141736" right="0.19685039370078741" top="0.47244094488188981" bottom="0.51181102362204722" header="0.11811023622047245" footer="0.11811023622047245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9"/>
  <sheetViews>
    <sheetView topLeftCell="A37" zoomScaleNormal="100" workbookViewId="0">
      <selection activeCell="E31" sqref="E31"/>
    </sheetView>
  </sheetViews>
  <sheetFormatPr defaultColWidth="8.85546875" defaultRowHeight="15" x14ac:dyDescent="0.25"/>
  <cols>
    <col min="1" max="1" width="7.5703125" style="47" customWidth="1"/>
    <col min="2" max="2" width="75.7109375" style="54" customWidth="1"/>
    <col min="3" max="3" width="34.5703125" style="55" customWidth="1"/>
    <col min="4" max="4" width="9.28515625" style="55" customWidth="1"/>
    <col min="5" max="5" width="25.28515625" style="48" customWidth="1"/>
    <col min="6" max="6" width="21.42578125" style="48" customWidth="1"/>
    <col min="7" max="7" width="22.5703125" style="48" customWidth="1"/>
    <col min="8" max="8" width="24" style="48" customWidth="1"/>
    <col min="9" max="16384" width="8.85546875" style="48"/>
  </cols>
  <sheetData>
    <row r="1" spans="1:8" ht="35.450000000000003" customHeight="1" x14ac:dyDescent="0.25">
      <c r="B1" s="197" t="s">
        <v>177</v>
      </c>
      <c r="C1" s="197"/>
      <c r="D1" s="197"/>
      <c r="E1" s="197"/>
      <c r="F1" s="197"/>
      <c r="G1" s="197"/>
      <c r="H1" s="197"/>
    </row>
    <row r="2" spans="1:8" ht="17.45" customHeight="1" x14ac:dyDescent="0.25">
      <c r="B2" s="197"/>
      <c r="C2" s="197"/>
      <c r="D2" s="197"/>
      <c r="E2" s="197"/>
      <c r="F2" s="197"/>
      <c r="G2" s="197"/>
      <c r="H2" s="197"/>
    </row>
    <row r="3" spans="1:8" ht="9.75" customHeight="1" x14ac:dyDescent="0.25">
      <c r="B3" s="198"/>
      <c r="C3" s="198"/>
      <c r="D3" s="198"/>
      <c r="E3" s="198"/>
      <c r="F3" s="198"/>
      <c r="G3" s="198"/>
      <c r="H3" s="198"/>
    </row>
    <row r="4" spans="1:8" s="49" customFormat="1" ht="87.6" customHeight="1" x14ac:dyDescent="0.25">
      <c r="A4" s="98" t="s">
        <v>23</v>
      </c>
      <c r="B4" s="98" t="s">
        <v>120</v>
      </c>
      <c r="C4" s="98" t="s">
        <v>12</v>
      </c>
      <c r="D4" s="98" t="s">
        <v>18</v>
      </c>
      <c r="E4" s="98" t="s">
        <v>5</v>
      </c>
      <c r="F4" s="98" t="s">
        <v>15</v>
      </c>
      <c r="G4" s="98" t="s">
        <v>4</v>
      </c>
      <c r="H4" s="98" t="s">
        <v>3</v>
      </c>
    </row>
    <row r="5" spans="1:8" s="96" customFormat="1" ht="14.25" customHeight="1" x14ac:dyDescent="0.15">
      <c r="A5" s="99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8" ht="31.9" customHeight="1" x14ac:dyDescent="0.25">
      <c r="A6" s="206" t="s">
        <v>26</v>
      </c>
      <c r="B6" s="206"/>
      <c r="C6" s="206"/>
      <c r="D6" s="206"/>
      <c r="E6" s="206"/>
      <c r="F6" s="206"/>
      <c r="G6" s="206"/>
      <c r="H6" s="206"/>
    </row>
    <row r="7" spans="1:8" ht="22.5" customHeight="1" x14ac:dyDescent="0.25">
      <c r="A7" s="120" t="s">
        <v>142</v>
      </c>
      <c r="B7" s="193" t="s">
        <v>25</v>
      </c>
      <c r="C7" s="194"/>
      <c r="D7" s="194"/>
      <c r="E7" s="194"/>
      <c r="F7" s="194"/>
      <c r="G7" s="194"/>
      <c r="H7" s="195"/>
    </row>
    <row r="8" spans="1:8" ht="39" customHeight="1" x14ac:dyDescent="0.25">
      <c r="A8" s="120" t="s">
        <v>134</v>
      </c>
      <c r="B8" s="36" t="s">
        <v>46</v>
      </c>
      <c r="C8" s="209" t="s">
        <v>13</v>
      </c>
      <c r="D8" s="135"/>
      <c r="E8" s="135"/>
      <c r="F8" s="135"/>
      <c r="G8" s="135"/>
    </row>
    <row r="9" spans="1:8" ht="24.75" customHeight="1" x14ac:dyDescent="0.25">
      <c r="A9" s="134"/>
      <c r="B9" s="36" t="s">
        <v>151</v>
      </c>
      <c r="C9" s="211"/>
      <c r="D9" s="94" t="s">
        <v>19</v>
      </c>
      <c r="E9" s="127">
        <v>0</v>
      </c>
      <c r="F9" s="127">
        <v>0</v>
      </c>
      <c r="G9" s="127">
        <v>0</v>
      </c>
      <c r="H9" s="127">
        <v>0</v>
      </c>
    </row>
    <row r="10" spans="1:8" ht="39.75" customHeight="1" x14ac:dyDescent="0.25">
      <c r="A10" s="121" t="s">
        <v>135</v>
      </c>
      <c r="B10" s="36" t="s">
        <v>152</v>
      </c>
      <c r="C10" s="209" t="s">
        <v>13</v>
      </c>
      <c r="D10" s="114"/>
      <c r="E10" s="114"/>
      <c r="F10" s="114"/>
      <c r="G10" s="114"/>
      <c r="H10" s="114"/>
    </row>
    <row r="11" spans="1:8" ht="21.75" customHeight="1" x14ac:dyDescent="0.25">
      <c r="A11" s="212"/>
      <c r="B11" s="36" t="s">
        <v>122</v>
      </c>
      <c r="C11" s="210"/>
      <c r="D11" s="94" t="s">
        <v>20</v>
      </c>
      <c r="E11" s="128">
        <f>100*E12/E13</f>
        <v>0</v>
      </c>
      <c r="F11" s="128">
        <f>100*F12/F13</f>
        <v>0</v>
      </c>
      <c r="G11" s="129">
        <f>100*G12/G13</f>
        <v>0</v>
      </c>
      <c r="H11" s="129">
        <f>100*H12/H13</f>
        <v>0</v>
      </c>
    </row>
    <row r="12" spans="1:8" ht="45.2" customHeight="1" x14ac:dyDescent="0.25">
      <c r="A12" s="207"/>
      <c r="B12" s="52" t="s">
        <v>105</v>
      </c>
      <c r="C12" s="210"/>
      <c r="D12" s="94" t="s">
        <v>21</v>
      </c>
      <c r="E12" s="51">
        <v>0</v>
      </c>
      <c r="F12" s="51">
        <v>0</v>
      </c>
      <c r="G12" s="93">
        <v>0</v>
      </c>
      <c r="H12" s="93">
        <v>0</v>
      </c>
    </row>
    <row r="13" spans="1:8" ht="40.5" customHeight="1" x14ac:dyDescent="0.25">
      <c r="A13" s="208"/>
      <c r="B13" s="52" t="s">
        <v>106</v>
      </c>
      <c r="C13" s="211"/>
      <c r="D13" s="49" t="s">
        <v>21</v>
      </c>
      <c r="E13" s="170">
        <v>2592801700</v>
      </c>
      <c r="F13" s="174">
        <v>947835400</v>
      </c>
      <c r="G13" s="170">
        <v>2298750200</v>
      </c>
      <c r="H13" s="170">
        <v>809232350.32000005</v>
      </c>
    </row>
    <row r="14" spans="1:8" ht="27.75" customHeight="1" x14ac:dyDescent="0.25">
      <c r="A14" s="199" t="s">
        <v>77</v>
      </c>
      <c r="B14" s="199"/>
      <c r="C14" s="199"/>
      <c r="D14" s="199"/>
      <c r="E14" s="199"/>
      <c r="F14" s="199"/>
      <c r="G14" s="199"/>
      <c r="H14" s="199"/>
    </row>
    <row r="15" spans="1:8" ht="24" customHeight="1" x14ac:dyDescent="0.25">
      <c r="A15" s="120" t="s">
        <v>136</v>
      </c>
      <c r="B15" s="36" t="s">
        <v>147</v>
      </c>
      <c r="C15" s="209" t="s">
        <v>119</v>
      </c>
      <c r="D15" s="115"/>
      <c r="E15" s="115"/>
      <c r="F15" s="115"/>
      <c r="G15" s="115"/>
      <c r="H15" s="115"/>
    </row>
    <row r="16" spans="1:8" ht="24.75" customHeight="1" x14ac:dyDescent="0.25">
      <c r="A16" s="207"/>
      <c r="B16" s="36" t="s">
        <v>123</v>
      </c>
      <c r="C16" s="210"/>
      <c r="D16" s="94" t="s">
        <v>20</v>
      </c>
      <c r="E16" s="27">
        <f>100*(E17-E18)/E21</f>
        <v>39.074052955148865</v>
      </c>
      <c r="F16" s="27">
        <f t="shared" ref="F16:H16" si="0">100*(F17-F18)/F21</f>
        <v>30.636168539389857</v>
      </c>
      <c r="G16" s="27">
        <f>100*(G17-G18)/G21</f>
        <v>32.044407724249467</v>
      </c>
      <c r="H16" s="27">
        <f t="shared" si="0"/>
        <v>43.316474507153259</v>
      </c>
    </row>
    <row r="17" spans="1:8" ht="35.25" customHeight="1" x14ac:dyDescent="0.25">
      <c r="A17" s="207"/>
      <c r="B17" s="50" t="s">
        <v>107</v>
      </c>
      <c r="C17" s="210"/>
      <c r="D17" s="94" t="s">
        <v>21</v>
      </c>
      <c r="E17" s="170">
        <v>1017436506.92</v>
      </c>
      <c r="F17" s="170">
        <v>291867817.94</v>
      </c>
      <c r="G17" s="170">
        <v>737965057.49000001</v>
      </c>
      <c r="H17" s="170">
        <v>351752356.60000002</v>
      </c>
    </row>
    <row r="18" spans="1:8" ht="21.75" customHeight="1" x14ac:dyDescent="0.25">
      <c r="A18" s="207"/>
      <c r="B18" s="50" t="s">
        <v>108</v>
      </c>
      <c r="C18" s="210"/>
      <c r="D18" s="94" t="s">
        <v>21</v>
      </c>
      <c r="E18" s="170">
        <f>E19+E20</f>
        <v>4323797.6400000006</v>
      </c>
      <c r="F18" s="170">
        <f>F19+F20</f>
        <v>1487367.32</v>
      </c>
      <c r="G18" s="170">
        <f>G19+G20</f>
        <v>1344170.8399999999</v>
      </c>
      <c r="H18" s="170">
        <f>H19+H20</f>
        <v>1221431.8700000001</v>
      </c>
    </row>
    <row r="19" spans="1:8" ht="22.5" customHeight="1" x14ac:dyDescent="0.25">
      <c r="A19" s="207"/>
      <c r="B19" s="50" t="s">
        <v>47</v>
      </c>
      <c r="C19" s="210"/>
      <c r="D19" s="94" t="s">
        <v>21</v>
      </c>
      <c r="E19" s="170">
        <f>63386.54+86.6+158961.56+473.97</f>
        <v>222908.67</v>
      </c>
      <c r="F19" s="170">
        <f>4852.85+253179.07+20323.6+668444.5+50666.66+809.48+11131.42+160041.74</f>
        <v>1169449.32</v>
      </c>
      <c r="G19" s="170">
        <f>9349.48+570899.84+4248+1488.33</f>
        <v>585985.64999999991</v>
      </c>
      <c r="H19" s="170">
        <f>77486.59+56108.5+3647.32+191397.44+27974.68+1+70745.7</f>
        <v>427361.23</v>
      </c>
    </row>
    <row r="20" spans="1:8" ht="23.25" customHeight="1" x14ac:dyDescent="0.25">
      <c r="A20" s="207"/>
      <c r="B20" s="50" t="s">
        <v>48</v>
      </c>
      <c r="C20" s="210"/>
      <c r="D20" s="94" t="s">
        <v>21</v>
      </c>
      <c r="E20" s="170">
        <f>48831.4+16.1+1717712+1291569+626039+400055.53+16665.94</f>
        <v>4100888.97</v>
      </c>
      <c r="F20" s="170">
        <f>120204+197714</f>
        <v>317918</v>
      </c>
      <c r="G20" s="170">
        <f>729722+14059+12653.88+1750.31</f>
        <v>758185.19000000006</v>
      </c>
      <c r="H20" s="170">
        <f>67.3+290.34+793659+54</f>
        <v>794070.64</v>
      </c>
    </row>
    <row r="21" spans="1:8" ht="49.5" customHeight="1" x14ac:dyDescent="0.25">
      <c r="A21" s="208"/>
      <c r="B21" s="50" t="s">
        <v>109</v>
      </c>
      <c r="C21" s="211"/>
      <c r="D21" s="94" t="s">
        <v>21</v>
      </c>
      <c r="E21" s="170">
        <f>E13</f>
        <v>2592801700</v>
      </c>
      <c r="F21" s="170">
        <f>F13</f>
        <v>947835400</v>
      </c>
      <c r="G21" s="170">
        <f>G13</f>
        <v>2298750200</v>
      </c>
      <c r="H21" s="170">
        <f>H13</f>
        <v>809232350.32000005</v>
      </c>
    </row>
    <row r="22" spans="1:8" ht="68.099999999999994" customHeight="1" x14ac:dyDescent="0.25">
      <c r="A22" s="120" t="s">
        <v>137</v>
      </c>
      <c r="B22" s="37" t="s">
        <v>74</v>
      </c>
      <c r="C22" s="209" t="s">
        <v>28</v>
      </c>
      <c r="D22" s="94"/>
      <c r="E22" s="94"/>
      <c r="F22" s="94"/>
      <c r="G22" s="94"/>
      <c r="H22" s="94"/>
    </row>
    <row r="23" spans="1:8" ht="22.5" customHeight="1" x14ac:dyDescent="0.25">
      <c r="A23" s="207"/>
      <c r="B23" s="37" t="s">
        <v>124</v>
      </c>
      <c r="C23" s="210"/>
      <c r="D23" s="94" t="s">
        <v>20</v>
      </c>
      <c r="E23" s="27">
        <f>(E24/E25*100)</f>
        <v>85.108372421925509</v>
      </c>
      <c r="F23" s="27">
        <f>(F24/F25*100)</f>
        <v>60.102300440305143</v>
      </c>
      <c r="G23" s="27">
        <f>(G24/G25*100)</f>
        <v>64.086013440132987</v>
      </c>
      <c r="H23" s="27">
        <f>(H24/H25*100)</f>
        <v>80.067267598823236</v>
      </c>
    </row>
    <row r="24" spans="1:8" ht="45.75" customHeight="1" x14ac:dyDescent="0.25">
      <c r="A24" s="207"/>
      <c r="B24" s="50" t="s">
        <v>110</v>
      </c>
      <c r="C24" s="210"/>
      <c r="D24" s="94" t="s">
        <v>21</v>
      </c>
      <c r="E24" s="170">
        <f>15521734.91+74231183.01+32500</f>
        <v>89785417.920000002</v>
      </c>
      <c r="F24" s="170">
        <f>310719.13+905162.66+13438477.41+8889196.25+432517383.2+290780</f>
        <v>456351718.64999998</v>
      </c>
      <c r="G24" s="170">
        <f>74773415.25+231687937.34+362007929.09+2643873</f>
        <v>671113154.68000007</v>
      </c>
      <c r="H24" s="170">
        <f>5277432.01+77394864.43</f>
        <v>82672296.440000013</v>
      </c>
    </row>
    <row r="25" spans="1:8" ht="70.150000000000006" customHeight="1" x14ac:dyDescent="0.25">
      <c r="A25" s="208"/>
      <c r="B25" s="50" t="s">
        <v>111</v>
      </c>
      <c r="C25" s="211"/>
      <c r="D25" s="94" t="s">
        <v>21</v>
      </c>
      <c r="E25" s="170">
        <f>25713200+79682200+100000</f>
        <v>105495400</v>
      </c>
      <c r="F25" s="170">
        <f>782600+1007300+33515900+54952700+667895100+1138000</f>
        <v>759291600</v>
      </c>
      <c r="G25" s="170">
        <f>89936800+477725300+476744800+2800000</f>
        <v>1047206900</v>
      </c>
      <c r="H25" s="170">
        <f>8079740.14+95173810.18</f>
        <v>103253550.32000001</v>
      </c>
    </row>
    <row r="26" spans="1:8" ht="31.9" customHeight="1" x14ac:dyDescent="0.25">
      <c r="A26" s="199" t="s">
        <v>29</v>
      </c>
      <c r="B26" s="199"/>
      <c r="C26" s="199"/>
      <c r="D26" s="199"/>
      <c r="E26" s="199"/>
      <c r="F26" s="199"/>
      <c r="G26" s="199"/>
      <c r="H26" s="199"/>
    </row>
    <row r="27" spans="1:8" ht="31.9" customHeight="1" x14ac:dyDescent="0.25">
      <c r="A27" s="120" t="s">
        <v>138</v>
      </c>
      <c r="B27" s="200" t="s">
        <v>30</v>
      </c>
      <c r="C27" s="201"/>
      <c r="D27" s="201"/>
      <c r="E27" s="201"/>
      <c r="F27" s="201"/>
      <c r="G27" s="201"/>
      <c r="H27" s="202"/>
    </row>
    <row r="28" spans="1:8" ht="45.2" customHeight="1" x14ac:dyDescent="0.25">
      <c r="A28" s="120" t="s">
        <v>143</v>
      </c>
      <c r="B28" s="36" t="s">
        <v>121</v>
      </c>
      <c r="C28" s="209" t="s">
        <v>31</v>
      </c>
      <c r="D28" s="52"/>
      <c r="E28" s="52"/>
      <c r="F28" s="52"/>
      <c r="G28" s="52"/>
      <c r="H28" s="52"/>
    </row>
    <row r="29" spans="1:8" ht="31.9" customHeight="1" x14ac:dyDescent="0.25">
      <c r="A29" s="207"/>
      <c r="B29" s="130" t="s">
        <v>125</v>
      </c>
      <c r="C29" s="210"/>
      <c r="D29" s="94" t="s">
        <v>20</v>
      </c>
      <c r="E29" s="126">
        <f>100*E30/E31</f>
        <v>0.4014647559674453</v>
      </c>
      <c r="F29" s="126">
        <f>100*F30/F31</f>
        <v>1.3041563022381621</v>
      </c>
      <c r="G29" s="126">
        <f>100*G30/G31</f>
        <v>1.9246779310878863</v>
      </c>
      <c r="H29" s="126">
        <f>100*H30/H31</f>
        <v>0.9533368591546989</v>
      </c>
    </row>
    <row r="30" spans="1:8" ht="64.900000000000006" customHeight="1" x14ac:dyDescent="0.25">
      <c r="A30" s="207"/>
      <c r="B30" s="50" t="s">
        <v>112</v>
      </c>
      <c r="C30" s="210"/>
      <c r="D30" s="94" t="s">
        <v>21</v>
      </c>
      <c r="E30" s="173">
        <f>2924.58+61905.06+141546.43</f>
        <v>206376.07</v>
      </c>
      <c r="F30" s="173">
        <f>470988.33+46269.96+2104908.16+76511.32+52800</f>
        <v>2751477.77</v>
      </c>
      <c r="G30" s="173">
        <f>6804.08+61959.44+162165.47+1557208.75+4215.28+2116273.5</f>
        <v>3908626.52</v>
      </c>
      <c r="H30" s="173">
        <f>7143.6+115886.95+230657.76+5001.91+16801.85</f>
        <v>375492.06999999995</v>
      </c>
    </row>
    <row r="31" spans="1:8" ht="53.85" customHeight="1" x14ac:dyDescent="0.25">
      <c r="A31" s="208"/>
      <c r="B31" s="50" t="s">
        <v>113</v>
      </c>
      <c r="C31" s="211"/>
      <c r="D31" s="94" t="s">
        <v>21</v>
      </c>
      <c r="E31" s="173">
        <f>8532522.4+42840752.81+32500</f>
        <v>51405775.210000001</v>
      </c>
      <c r="F31" s="173">
        <f>73179.1+489859.88+3346716.84+733903.2+206043168.9+290780</f>
        <v>210977607.92000002</v>
      </c>
      <c r="G31" s="173">
        <f>5456424.73+71160265.86+126288189.85+174630</f>
        <v>203079510.44</v>
      </c>
      <c r="H31" s="173">
        <f>2180381.24+37206753.16</f>
        <v>39387134.399999999</v>
      </c>
    </row>
    <row r="32" spans="1:8" ht="31.9" customHeight="1" x14ac:dyDescent="0.25">
      <c r="A32" s="120" t="s">
        <v>144</v>
      </c>
      <c r="B32" s="125" t="s">
        <v>32</v>
      </c>
      <c r="C32" s="209" t="s">
        <v>31</v>
      </c>
      <c r="D32" s="94"/>
      <c r="E32" s="94"/>
      <c r="F32" s="94"/>
      <c r="G32" s="94"/>
      <c r="H32" s="94"/>
    </row>
    <row r="33" spans="1:8" ht="31.9" customHeight="1" x14ac:dyDescent="0.25">
      <c r="A33" s="207"/>
      <c r="B33" s="95" t="s">
        <v>126</v>
      </c>
      <c r="C33" s="210"/>
      <c r="D33" s="94" t="s">
        <v>20</v>
      </c>
      <c r="E33" s="53">
        <f>100*E34/E35</f>
        <v>0.6461262356237012</v>
      </c>
      <c r="F33" s="53">
        <f>100*F34/F35</f>
        <v>19.669541280387303</v>
      </c>
      <c r="G33" s="53">
        <f>100*G34/G35</f>
        <v>46.447671158723075</v>
      </c>
      <c r="H33" s="53">
        <f>100*H34/H35</f>
        <v>1.7431902532400538</v>
      </c>
    </row>
    <row r="34" spans="1:8" ht="45.2" customHeight="1" x14ac:dyDescent="0.25">
      <c r="A34" s="207"/>
      <c r="B34" s="50" t="s">
        <v>114</v>
      </c>
      <c r="C34" s="210"/>
      <c r="D34" s="94" t="s">
        <v>21</v>
      </c>
      <c r="E34" s="173">
        <v>936139.5</v>
      </c>
      <c r="F34" s="173">
        <f>213759.11+438700.41+72797.24</f>
        <v>725256.76</v>
      </c>
      <c r="G34" s="173">
        <f>33868.44+2128117.47+588911.75+2109044.19+2000+59157678.14+136115.37+47579625.72+498646.94</f>
        <v>112234008.02</v>
      </c>
      <c r="H34" s="173">
        <f>985235.35+623466.83+3865000+516347.07</f>
        <v>5990049.25</v>
      </c>
    </row>
    <row r="35" spans="1:8" ht="31.9" customHeight="1" x14ac:dyDescent="0.25">
      <c r="A35" s="208"/>
      <c r="B35" s="50" t="s">
        <v>115</v>
      </c>
      <c r="C35" s="211"/>
      <c r="D35" s="94" t="s">
        <v>21</v>
      </c>
      <c r="E35" s="173">
        <v>144884923.16</v>
      </c>
      <c r="F35" s="173">
        <v>3687207.29</v>
      </c>
      <c r="G35" s="173">
        <v>241635382.83000001</v>
      </c>
      <c r="H35" s="173">
        <v>343625673.61000001</v>
      </c>
    </row>
    <row r="36" spans="1:8" ht="31.9" customHeight="1" x14ac:dyDescent="0.25">
      <c r="A36" s="122" t="s">
        <v>139</v>
      </c>
      <c r="B36" s="203" t="s">
        <v>51</v>
      </c>
      <c r="C36" s="204"/>
      <c r="D36" s="204"/>
      <c r="E36" s="204"/>
      <c r="F36" s="204"/>
      <c r="G36" s="204"/>
      <c r="H36" s="205"/>
    </row>
    <row r="37" spans="1:8" ht="45.2" customHeight="1" x14ac:dyDescent="0.25">
      <c r="A37" s="123" t="s">
        <v>145</v>
      </c>
      <c r="B37" s="36" t="s">
        <v>75</v>
      </c>
      <c r="C37" s="209" t="s">
        <v>31</v>
      </c>
      <c r="D37" s="50"/>
      <c r="E37" s="50"/>
      <c r="F37" s="50"/>
      <c r="G37" s="50"/>
      <c r="H37" s="50"/>
    </row>
    <row r="38" spans="1:8" ht="31.9" customHeight="1" x14ac:dyDescent="0.25">
      <c r="A38" s="207"/>
      <c r="B38" s="36" t="s">
        <v>127</v>
      </c>
      <c r="C38" s="210"/>
      <c r="D38" s="94" t="s">
        <v>20</v>
      </c>
      <c r="E38" s="53">
        <f>100*E39/E40</f>
        <v>0.34796878684031485</v>
      </c>
      <c r="F38" s="53">
        <f>100*F39/F40</f>
        <v>0.31646277294945813</v>
      </c>
      <c r="G38" s="53">
        <f>100*G39/G40</f>
        <v>5.4718573813431792</v>
      </c>
      <c r="H38" s="53">
        <f t="shared" ref="H38" si="1">100*H39/H40</f>
        <v>0.84009146905598842</v>
      </c>
    </row>
    <row r="39" spans="1:8" ht="57.2" customHeight="1" x14ac:dyDescent="0.25">
      <c r="A39" s="207"/>
      <c r="B39" s="50" t="s">
        <v>116</v>
      </c>
      <c r="C39" s="210"/>
      <c r="D39" s="94" t="s">
        <v>21</v>
      </c>
      <c r="E39" s="170">
        <f>105578.06+553866.55+1296.09+27676.67+50000+890265.91+219129.54+1692548.65</f>
        <v>3540361.47</v>
      </c>
      <c r="F39" s="170">
        <f>5907.82+397491.33+5797.32+210040+43526.7+248232.82+12657</f>
        <v>923652.99</v>
      </c>
      <c r="G39" s="170">
        <f>535172.63+121040.99+1964296.53+722655.31+1159905+1488000+23434.42+181208.4+2757655.12+286944+652226.1+10777734.64+15830251.47+3879870.86</f>
        <v>40380395.469999999</v>
      </c>
      <c r="H39" s="170">
        <f>209745.63+57870.96+156488.26+27000+7000+14413.72+41125+77741.84+569991.82+203999.86+1434350.8+155313.65</f>
        <v>2955041.5399999996</v>
      </c>
    </row>
    <row r="40" spans="1:8" ht="31.9" customHeight="1" x14ac:dyDescent="0.25">
      <c r="A40" s="208"/>
      <c r="B40" s="50" t="s">
        <v>117</v>
      </c>
      <c r="C40" s="211"/>
      <c r="D40" s="94" t="s">
        <v>21</v>
      </c>
      <c r="E40" s="170">
        <f>E17</f>
        <v>1017436506.92</v>
      </c>
      <c r="F40" s="170">
        <f>F17</f>
        <v>291867817.94</v>
      </c>
      <c r="G40" s="170">
        <f>G17</f>
        <v>737965057.49000001</v>
      </c>
      <c r="H40" s="170">
        <f>H17</f>
        <v>351752356.60000002</v>
      </c>
    </row>
    <row r="41" spans="1:8" ht="45.2" customHeight="1" x14ac:dyDescent="0.25">
      <c r="A41" s="123" t="s">
        <v>146</v>
      </c>
      <c r="B41" s="36" t="s">
        <v>148</v>
      </c>
      <c r="C41" s="209" t="s">
        <v>78</v>
      </c>
      <c r="D41" s="209" t="s">
        <v>21</v>
      </c>
      <c r="E41" s="171"/>
      <c r="F41" s="171"/>
      <c r="G41" s="171"/>
      <c r="H41" s="171"/>
    </row>
    <row r="42" spans="1:8" ht="57.2" customHeight="1" x14ac:dyDescent="0.25">
      <c r="A42" s="124"/>
      <c r="B42" s="50" t="s">
        <v>118</v>
      </c>
      <c r="C42" s="211"/>
      <c r="D42" s="211"/>
      <c r="E42" s="172">
        <v>0</v>
      </c>
      <c r="F42" s="170">
        <v>0</v>
      </c>
      <c r="G42" s="170">
        <v>0</v>
      </c>
      <c r="H42" s="170">
        <v>0</v>
      </c>
    </row>
    <row r="44" spans="1:8" ht="18.75" x14ac:dyDescent="0.25">
      <c r="A44" s="56"/>
      <c r="B44" s="57"/>
      <c r="C44" s="58"/>
      <c r="D44" s="58"/>
      <c r="E44" s="58"/>
      <c r="F44" s="58"/>
      <c r="G44" s="58"/>
      <c r="H44" s="58"/>
    </row>
    <row r="45" spans="1:8" x14ac:dyDescent="0.25">
      <c r="B45" s="54" t="s">
        <v>181</v>
      </c>
      <c r="C45" s="58"/>
      <c r="D45" s="58"/>
      <c r="E45" s="58"/>
      <c r="F45" s="58"/>
      <c r="G45" s="58"/>
      <c r="H45" s="58"/>
    </row>
    <row r="46" spans="1:8" x14ac:dyDescent="0.25">
      <c r="B46" s="144" t="s">
        <v>182</v>
      </c>
    </row>
    <row r="49" spans="7:7" x14ac:dyDescent="0.25">
      <c r="G49" s="169"/>
    </row>
  </sheetData>
  <mergeCells count="22">
    <mergeCell ref="A38:A40"/>
    <mergeCell ref="D41:D42"/>
    <mergeCell ref="C41:C42"/>
    <mergeCell ref="C15:C21"/>
    <mergeCell ref="C22:C25"/>
    <mergeCell ref="C28:C31"/>
    <mergeCell ref="C32:C35"/>
    <mergeCell ref="C37:C40"/>
    <mergeCell ref="B1:H3"/>
    <mergeCell ref="B7:H7"/>
    <mergeCell ref="A14:H14"/>
    <mergeCell ref="B27:H27"/>
    <mergeCell ref="B36:H36"/>
    <mergeCell ref="A6:H6"/>
    <mergeCell ref="A26:H26"/>
    <mergeCell ref="A16:A21"/>
    <mergeCell ref="A23:A25"/>
    <mergeCell ref="A29:A31"/>
    <mergeCell ref="A33:A35"/>
    <mergeCell ref="C10:C13"/>
    <mergeCell ref="A11:A13"/>
    <mergeCell ref="C8:C9"/>
  </mergeCells>
  <pageMargins left="0.39370078740157483" right="0.19685039370078741" top="0.51181102362204722" bottom="0.39370078740157483" header="0.11811023622047245" footer="0"/>
  <pageSetup paperSize="9" scale="6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R40"/>
  <sheetViews>
    <sheetView topLeftCell="A13" zoomScaleNormal="100" workbookViewId="0">
      <selection activeCell="F22" sqref="F22"/>
    </sheetView>
  </sheetViews>
  <sheetFormatPr defaultColWidth="9.140625" defaultRowHeight="15" x14ac:dyDescent="0.25"/>
  <cols>
    <col min="1" max="1" width="11.7109375" style="25" customWidth="1"/>
    <col min="2" max="2" width="69.28515625" style="31" customWidth="1"/>
    <col min="3" max="3" width="12.7109375" style="12" customWidth="1"/>
    <col min="4" max="4" width="22.7109375" style="13" customWidth="1"/>
    <col min="5" max="5" width="12.7109375" style="13" customWidth="1"/>
    <col min="6" max="6" width="26.28515625" style="13" customWidth="1"/>
    <col min="7" max="16384" width="9.140625" style="12"/>
  </cols>
  <sheetData>
    <row r="1" spans="1:18" x14ac:dyDescent="0.25">
      <c r="A1" s="213"/>
      <c r="B1" s="213"/>
      <c r="C1" s="213"/>
      <c r="D1" s="213"/>
      <c r="E1" s="213"/>
      <c r="F1" s="213"/>
    </row>
    <row r="2" spans="1:18" ht="63.6" customHeight="1" x14ac:dyDescent="0.25">
      <c r="A2" s="191" t="s">
        <v>187</v>
      </c>
      <c r="B2" s="213"/>
      <c r="C2" s="213"/>
      <c r="D2" s="213"/>
      <c r="E2" s="213"/>
      <c r="F2" s="213"/>
      <c r="G2" s="11"/>
    </row>
    <row r="3" spans="1:18" ht="15.2" customHeight="1" thickBot="1" x14ac:dyDescent="0.3">
      <c r="A3" s="41"/>
      <c r="B3" s="60"/>
      <c r="C3" s="11"/>
      <c r="D3" s="61"/>
      <c r="E3" s="61"/>
      <c r="F3" s="61"/>
      <c r="G3" s="11"/>
    </row>
    <row r="4" spans="1:18" s="40" customFormat="1" ht="69.2" customHeight="1" x14ac:dyDescent="0.25">
      <c r="A4" s="223" t="s">
        <v>16</v>
      </c>
      <c r="B4" s="225" t="s">
        <v>6</v>
      </c>
      <c r="C4" s="225" t="s">
        <v>24</v>
      </c>
      <c r="D4" s="225"/>
      <c r="E4" s="225" t="s">
        <v>85</v>
      </c>
      <c r="F4" s="225"/>
      <c r="I4" s="166"/>
      <c r="J4" s="166"/>
      <c r="K4" s="166"/>
      <c r="L4" s="166"/>
      <c r="O4" s="166"/>
      <c r="P4" s="166"/>
      <c r="Q4" s="166"/>
      <c r="R4" s="166"/>
    </row>
    <row r="5" spans="1:18" s="40" customFormat="1" ht="44.25" customHeight="1" x14ac:dyDescent="0.25">
      <c r="A5" s="224"/>
      <c r="B5" s="226"/>
      <c r="C5" s="89" t="s">
        <v>7</v>
      </c>
      <c r="D5" s="89" t="s">
        <v>14</v>
      </c>
      <c r="E5" s="89" t="s">
        <v>7</v>
      </c>
      <c r="F5" s="90" t="s">
        <v>14</v>
      </c>
      <c r="G5" s="62"/>
    </row>
    <row r="6" spans="1:18" s="106" customFormat="1" ht="15.6" customHeight="1" thickBot="1" x14ac:dyDescent="0.3">
      <c r="A6" s="102">
        <v>1</v>
      </c>
      <c r="B6" s="103">
        <v>2</v>
      </c>
      <c r="C6" s="104">
        <v>3</v>
      </c>
      <c r="D6" s="104">
        <v>4</v>
      </c>
      <c r="E6" s="104">
        <v>5</v>
      </c>
      <c r="F6" s="105">
        <v>6</v>
      </c>
      <c r="H6" s="107"/>
    </row>
    <row r="7" spans="1:18" ht="30" customHeight="1" x14ac:dyDescent="0.25">
      <c r="A7" s="214" t="s">
        <v>55</v>
      </c>
      <c r="B7" s="219" t="s">
        <v>33</v>
      </c>
      <c r="C7" s="216" t="s">
        <v>153</v>
      </c>
      <c r="D7" s="217"/>
      <c r="E7" s="217"/>
      <c r="F7" s="218"/>
      <c r="G7" s="63"/>
      <c r="H7" s="63"/>
      <c r="I7" s="63"/>
      <c r="J7" s="63"/>
    </row>
    <row r="8" spans="1:18" ht="30" customHeight="1" thickBot="1" x14ac:dyDescent="0.3">
      <c r="A8" s="215"/>
      <c r="B8" s="220"/>
      <c r="C8" s="64">
        <f>'ФГБУ за 1-е пол. 2017 года'!E10</f>
        <v>0</v>
      </c>
      <c r="D8" s="65">
        <f>IF(C8&lt;=3,5,0)</f>
        <v>5</v>
      </c>
      <c r="E8" s="64">
        <f>'ФГБУ за 1-е пол. 2017 года'!F10</f>
        <v>0</v>
      </c>
      <c r="F8" s="66">
        <f>IF(E8&lt;=3,5,0)</f>
        <v>5</v>
      </c>
      <c r="G8" s="11"/>
    </row>
    <row r="9" spans="1:18" ht="30" customHeight="1" x14ac:dyDescent="0.25">
      <c r="A9" s="214" t="s">
        <v>87</v>
      </c>
      <c r="B9" s="232" t="s">
        <v>27</v>
      </c>
      <c r="C9" s="216" t="s">
        <v>154</v>
      </c>
      <c r="D9" s="221"/>
      <c r="E9" s="221"/>
      <c r="F9" s="222"/>
      <c r="G9" s="63"/>
      <c r="H9" s="63"/>
      <c r="I9" s="63"/>
      <c r="J9" s="63"/>
    </row>
    <row r="10" spans="1:18" ht="36.75" customHeight="1" thickBot="1" x14ac:dyDescent="0.3">
      <c r="A10" s="215"/>
      <c r="B10" s="233"/>
      <c r="C10" s="67">
        <f>'ФГБУ за 1-е пол. 2017 года'!E12</f>
        <v>0</v>
      </c>
      <c r="D10" s="14">
        <f>IF(C10&lt;15,5,0)</f>
        <v>5</v>
      </c>
      <c r="E10" s="67">
        <f>'ФГБУ за 1-е пол. 2017 года'!F12</f>
        <v>0</v>
      </c>
      <c r="F10" s="18">
        <f>IF(E10&lt;15,5,0)</f>
        <v>5</v>
      </c>
      <c r="G10" s="11"/>
    </row>
    <row r="11" spans="1:18" ht="30" customHeight="1" x14ac:dyDescent="0.25">
      <c r="A11" s="227" t="s">
        <v>86</v>
      </c>
      <c r="B11" s="219" t="s">
        <v>50</v>
      </c>
      <c r="C11" s="229" t="s">
        <v>183</v>
      </c>
      <c r="D11" s="230"/>
      <c r="E11" s="230"/>
      <c r="F11" s="231"/>
      <c r="G11" s="11"/>
    </row>
    <row r="12" spans="1:18" ht="30" customHeight="1" thickBot="1" x14ac:dyDescent="0.3">
      <c r="A12" s="228"/>
      <c r="B12" s="220"/>
      <c r="C12" s="17">
        <f>'ФГБУ за 1-е пол. 2017 года'!E17</f>
        <v>49.455780998620924</v>
      </c>
      <c r="D12" s="14">
        <f>IF(C12&lt;50,0,5)</f>
        <v>0</v>
      </c>
      <c r="E12" s="17">
        <f>'ФГБУ за 1-е пол. 2017 года'!F17</f>
        <v>41.241001154083996</v>
      </c>
      <c r="F12" s="68">
        <f>IF(E12&lt;50,0,5)</f>
        <v>0</v>
      </c>
      <c r="G12" s="11"/>
    </row>
    <row r="13" spans="1:18" ht="45" customHeight="1" x14ac:dyDescent="0.25">
      <c r="A13" s="214" t="s">
        <v>88</v>
      </c>
      <c r="B13" s="234" t="s">
        <v>67</v>
      </c>
      <c r="C13" s="235" t="s">
        <v>184</v>
      </c>
      <c r="D13" s="236"/>
      <c r="E13" s="236"/>
      <c r="F13" s="237"/>
      <c r="G13" s="11"/>
    </row>
    <row r="14" spans="1:18" ht="30" customHeight="1" thickBot="1" x14ac:dyDescent="0.3">
      <c r="A14" s="215"/>
      <c r="B14" s="220"/>
      <c r="C14" s="17">
        <f>'ФГБУ за 1-е пол. 2017 года'!E24</f>
        <v>53.842857252901801</v>
      </c>
      <c r="D14" s="14">
        <f>IF(C14&gt;=50,5,IF(C14&gt;=45,4,IF(C14&gt;=40,3,IF(C14&lt;40,0))))</f>
        <v>5</v>
      </c>
      <c r="E14" s="17">
        <f>'ФГБУ за 1-е пол. 2017 года'!F24</f>
        <v>34.139081438105407</v>
      </c>
      <c r="F14" s="14">
        <f>IF(E14&gt;=50,5,IF(E14&gt;=45,4,IF(E14&gt;=40,3,IF(E14&lt;40,0))))</f>
        <v>0</v>
      </c>
      <c r="G14" s="11"/>
    </row>
    <row r="15" spans="1:18" ht="30" customHeight="1" x14ac:dyDescent="0.25">
      <c r="A15" s="214" t="s">
        <v>56</v>
      </c>
      <c r="B15" s="232" t="s">
        <v>8</v>
      </c>
      <c r="C15" s="238" t="s">
        <v>156</v>
      </c>
      <c r="D15" s="239"/>
      <c r="E15" s="239"/>
      <c r="F15" s="240"/>
      <c r="G15" s="11"/>
    </row>
    <row r="16" spans="1:18" ht="48.75" customHeight="1" thickBot="1" x14ac:dyDescent="0.3">
      <c r="A16" s="215"/>
      <c r="B16" s="233"/>
      <c r="C16" s="69">
        <f>'ФГБУ за 1-е пол. 2017 года'!E28</f>
        <v>0</v>
      </c>
      <c r="D16" s="70">
        <f>IF(C16&gt;2,0,5)</f>
        <v>5</v>
      </c>
      <c r="E16" s="69">
        <f>'ФГБУ за 1-е пол. 2017 года'!F28</f>
        <v>0</v>
      </c>
      <c r="F16" s="68">
        <f>IF(E16&gt;2,0,5)</f>
        <v>5</v>
      </c>
      <c r="G16" s="11"/>
    </row>
    <row r="17" spans="1:7" ht="30" customHeight="1" x14ac:dyDescent="0.25">
      <c r="A17" s="214" t="s">
        <v>57</v>
      </c>
      <c r="B17" s="232" t="s">
        <v>43</v>
      </c>
      <c r="C17" s="238" t="s">
        <v>157</v>
      </c>
      <c r="D17" s="239"/>
      <c r="E17" s="239"/>
      <c r="F17" s="240"/>
      <c r="G17" s="11"/>
    </row>
    <row r="18" spans="1:7" ht="42.75" customHeight="1" thickBot="1" x14ac:dyDescent="0.3">
      <c r="A18" s="215"/>
      <c r="B18" s="233"/>
      <c r="C18" s="167">
        <f>'ФГБУ за 1-е пол. 2017 года'!E29</f>
        <v>0</v>
      </c>
      <c r="D18" s="70">
        <f>IF(C18&gt;=3,0,5)</f>
        <v>5</v>
      </c>
      <c r="E18" s="168">
        <f>'ФГБУ за 1-е пол. 2017 года'!F29</f>
        <v>0</v>
      </c>
      <c r="F18" s="68">
        <f>IF(E18&gt;=3,0,5)</f>
        <v>5</v>
      </c>
      <c r="G18" s="11"/>
    </row>
    <row r="19" spans="1:7" ht="30" customHeight="1" x14ac:dyDescent="0.25">
      <c r="A19" s="214" t="s">
        <v>58</v>
      </c>
      <c r="B19" s="232" t="s">
        <v>44</v>
      </c>
      <c r="C19" s="238" t="s">
        <v>158</v>
      </c>
      <c r="D19" s="239"/>
      <c r="E19" s="239"/>
      <c r="F19" s="240"/>
      <c r="G19" s="11"/>
    </row>
    <row r="20" spans="1:7" ht="36.75" customHeight="1" thickBot="1" x14ac:dyDescent="0.3">
      <c r="A20" s="215"/>
      <c r="B20" s="233"/>
      <c r="C20" s="69">
        <f>'ФГБУ за 1-е пол. 2017 года'!E30</f>
        <v>0</v>
      </c>
      <c r="D20" s="65">
        <f>IF(C20&lt;=3,5,0)</f>
        <v>5</v>
      </c>
      <c r="E20" s="72">
        <f>'ФГБУ за 1-е пол. 2017 года'!F30</f>
        <v>0</v>
      </c>
      <c r="F20" s="73">
        <f>IF(E20&lt;=3,5,0)</f>
        <v>5</v>
      </c>
      <c r="G20" s="11"/>
    </row>
    <row r="21" spans="1:7" ht="45" customHeight="1" x14ac:dyDescent="0.25">
      <c r="A21" s="214" t="s">
        <v>149</v>
      </c>
      <c r="B21" s="232" t="s">
        <v>76</v>
      </c>
      <c r="C21" s="238" t="s">
        <v>155</v>
      </c>
      <c r="D21" s="239"/>
      <c r="E21" s="239"/>
      <c r="F21" s="240"/>
      <c r="G21" s="11"/>
    </row>
    <row r="22" spans="1:7" ht="30" customHeight="1" thickBot="1" x14ac:dyDescent="0.3">
      <c r="A22" s="215"/>
      <c r="B22" s="233"/>
      <c r="C22" s="71">
        <f>'ФГБУ за 1-е пол. 2017 года'!E32</f>
        <v>5.7926237425586864</v>
      </c>
      <c r="D22" s="14">
        <f>IF(C22&lt;=1.5,5,IF(C22&lt;2,3,IF(C22&gt;=2,0)))</f>
        <v>0</v>
      </c>
      <c r="E22" s="71">
        <f>'ФГБУ за 1-е пол. 2017 года'!F32</f>
        <v>18.271440680708075</v>
      </c>
      <c r="F22" s="18">
        <f>IF(E22&lt;=1.5,5,IF(E22&lt;2,3,IF(E22&gt;=2,0)))</f>
        <v>0</v>
      </c>
      <c r="G22" s="11"/>
    </row>
    <row r="23" spans="1:7" ht="30" customHeight="1" thickBot="1" x14ac:dyDescent="0.3">
      <c r="A23" s="91"/>
      <c r="B23" s="92" t="s">
        <v>59</v>
      </c>
      <c r="C23" s="74"/>
      <c r="D23" s="75">
        <f>D8+D10+D12+D14+D16+D18+D20+D22</f>
        <v>30</v>
      </c>
      <c r="E23" s="76"/>
      <c r="F23" s="77">
        <f>F8+F10+F12+F14+F16+F18+F20+F22</f>
        <v>25</v>
      </c>
      <c r="G23" s="11"/>
    </row>
    <row r="24" spans="1:7" ht="17.100000000000001" customHeight="1" x14ac:dyDescent="0.25">
      <c r="A24" s="78"/>
      <c r="C24" s="79"/>
      <c r="D24" s="80"/>
      <c r="E24" s="81"/>
      <c r="F24" s="80"/>
      <c r="G24" s="11"/>
    </row>
    <row r="26" spans="1:7" x14ac:dyDescent="0.25">
      <c r="B26" s="59" t="s">
        <v>181</v>
      </c>
    </row>
    <row r="27" spans="1:7" s="48" customFormat="1" x14ac:dyDescent="0.25">
      <c r="A27" s="47"/>
      <c r="B27" s="140" t="s">
        <v>182</v>
      </c>
      <c r="C27" s="55"/>
      <c r="D27" s="55"/>
    </row>
    <row r="28" spans="1:7" x14ac:dyDescent="0.25">
      <c r="B28" s="34"/>
    </row>
    <row r="29" spans="1:7" x14ac:dyDescent="0.25">
      <c r="B29" s="34"/>
    </row>
    <row r="40" spans="2:2" x14ac:dyDescent="0.25">
      <c r="B40" s="38"/>
    </row>
  </sheetData>
  <mergeCells count="30">
    <mergeCell ref="A19:A20"/>
    <mergeCell ref="B19:B20"/>
    <mergeCell ref="C19:F19"/>
    <mergeCell ref="A21:A22"/>
    <mergeCell ref="B21:B22"/>
    <mergeCell ref="C21:F21"/>
    <mergeCell ref="A15:A16"/>
    <mergeCell ref="B15:B16"/>
    <mergeCell ref="C15:F15"/>
    <mergeCell ref="A17:A18"/>
    <mergeCell ref="B17:B18"/>
    <mergeCell ref="C17:F17"/>
    <mergeCell ref="A11:A12"/>
    <mergeCell ref="B11:B12"/>
    <mergeCell ref="C11:F11"/>
    <mergeCell ref="B9:B10"/>
    <mergeCell ref="A13:A14"/>
    <mergeCell ref="B13:B14"/>
    <mergeCell ref="C13:F13"/>
    <mergeCell ref="A1:F1"/>
    <mergeCell ref="A7:A8"/>
    <mergeCell ref="C7:F7"/>
    <mergeCell ref="B7:B8"/>
    <mergeCell ref="A9:A10"/>
    <mergeCell ref="C9:F9"/>
    <mergeCell ref="A4:A5"/>
    <mergeCell ref="B4:B5"/>
    <mergeCell ref="C4:D4"/>
    <mergeCell ref="E4:F4"/>
    <mergeCell ref="A2:F2"/>
  </mergeCells>
  <pageMargins left="0.31496062992125984" right="0.27559055118110237" top="0.74803149606299213" bottom="0.39370078740157483" header="0.31496062992125984" footer="0.31496062992125984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3"/>
  <sheetViews>
    <sheetView topLeftCell="A13" zoomScale="110" zoomScaleNormal="110" workbookViewId="0">
      <selection activeCell="D21" sqref="D21"/>
    </sheetView>
  </sheetViews>
  <sheetFormatPr defaultColWidth="8.85546875" defaultRowHeight="15" x14ac:dyDescent="0.25"/>
  <cols>
    <col min="1" max="1" width="11.5703125" style="35" customWidth="1"/>
    <col min="2" max="2" width="55.28515625" style="31" customWidth="1"/>
    <col min="3" max="3" width="19.5703125" style="12" customWidth="1"/>
    <col min="4" max="4" width="15.7109375" style="13" customWidth="1"/>
    <col min="5" max="5" width="16.7109375" style="12" customWidth="1"/>
    <col min="6" max="6" width="15.42578125" style="13" customWidth="1"/>
    <col min="7" max="7" width="15.140625" style="12" customWidth="1"/>
    <col min="8" max="8" width="15" style="13" customWidth="1"/>
    <col min="9" max="9" width="13.5703125" style="12" customWidth="1"/>
    <col min="10" max="10" width="11.7109375" style="13" customWidth="1"/>
    <col min="11" max="16384" width="8.85546875" style="12"/>
  </cols>
  <sheetData>
    <row r="1" spans="1:13" ht="53.45" customHeight="1" x14ac:dyDescent="0.25">
      <c r="A1" s="39"/>
      <c r="B1" s="191" t="s">
        <v>178</v>
      </c>
      <c r="C1" s="249"/>
      <c r="D1" s="249"/>
      <c r="E1" s="249"/>
      <c r="F1" s="249"/>
      <c r="G1" s="249"/>
      <c r="H1" s="249"/>
      <c r="I1" s="249"/>
      <c r="J1" s="249"/>
      <c r="K1" s="11"/>
    </row>
    <row r="2" spans="1:13" ht="19.5" thickBot="1" x14ac:dyDescent="0.3">
      <c r="A2" s="39"/>
      <c r="B2" s="250"/>
      <c r="C2" s="251"/>
      <c r="D2" s="251"/>
      <c r="E2" s="251"/>
      <c r="F2" s="251"/>
      <c r="G2" s="251"/>
      <c r="H2" s="251"/>
      <c r="I2" s="251"/>
      <c r="J2" s="251"/>
      <c r="K2" s="11"/>
    </row>
    <row r="3" spans="1:13" s="25" customFormat="1" ht="86.25" customHeight="1" x14ac:dyDescent="0.25">
      <c r="A3" s="223" t="s">
        <v>16</v>
      </c>
      <c r="B3" s="225" t="s">
        <v>6</v>
      </c>
      <c r="C3" s="225" t="s">
        <v>5</v>
      </c>
      <c r="D3" s="225"/>
      <c r="E3" s="225" t="s">
        <v>15</v>
      </c>
      <c r="F3" s="225"/>
      <c r="G3" s="225" t="s">
        <v>4</v>
      </c>
      <c r="H3" s="225"/>
      <c r="I3" s="225" t="s">
        <v>3</v>
      </c>
      <c r="J3" s="254"/>
      <c r="L3" s="40"/>
      <c r="M3" s="41"/>
    </row>
    <row r="4" spans="1:13" s="25" customFormat="1" ht="44.25" customHeight="1" x14ac:dyDescent="0.25">
      <c r="A4" s="224"/>
      <c r="B4" s="226"/>
      <c r="C4" s="145" t="s">
        <v>7</v>
      </c>
      <c r="D4" s="145" t="s">
        <v>14</v>
      </c>
      <c r="E4" s="145" t="s">
        <v>7</v>
      </c>
      <c r="F4" s="145" t="s">
        <v>14</v>
      </c>
      <c r="G4" s="145" t="s">
        <v>7</v>
      </c>
      <c r="H4" s="145" t="s">
        <v>14</v>
      </c>
      <c r="I4" s="145" t="s">
        <v>7</v>
      </c>
      <c r="J4" s="90" t="s">
        <v>14</v>
      </c>
      <c r="K4" s="41"/>
    </row>
    <row r="5" spans="1:13" s="97" customFormat="1" ht="17.100000000000001" customHeight="1" thickBot="1" x14ac:dyDescent="0.3">
      <c r="A5" s="148">
        <v>1</v>
      </c>
      <c r="B5" s="149">
        <v>2</v>
      </c>
      <c r="C5" s="150">
        <v>3</v>
      </c>
      <c r="D5" s="150">
        <v>4</v>
      </c>
      <c r="E5" s="150">
        <v>5</v>
      </c>
      <c r="F5" s="150">
        <v>6</v>
      </c>
      <c r="G5" s="150">
        <v>7</v>
      </c>
      <c r="H5" s="150">
        <v>8</v>
      </c>
      <c r="I5" s="150">
        <v>9</v>
      </c>
      <c r="J5" s="151">
        <v>10</v>
      </c>
      <c r="L5" s="108"/>
    </row>
    <row r="6" spans="1:13" ht="30" customHeight="1" x14ac:dyDescent="0.25">
      <c r="A6" s="252" t="s">
        <v>160</v>
      </c>
      <c r="B6" s="243" t="s">
        <v>46</v>
      </c>
      <c r="C6" s="245" t="s">
        <v>161</v>
      </c>
      <c r="D6" s="245"/>
      <c r="E6" s="245"/>
      <c r="F6" s="245"/>
      <c r="G6" s="245"/>
      <c r="H6" s="245"/>
      <c r="I6" s="245"/>
      <c r="J6" s="246"/>
      <c r="K6" s="11"/>
    </row>
    <row r="7" spans="1:13" ht="30" customHeight="1" thickBot="1" x14ac:dyDescent="0.3">
      <c r="A7" s="253"/>
      <c r="B7" s="244"/>
      <c r="C7" s="152">
        <f>'ФКУ за 1-е пол. 2017 года'!E9</f>
        <v>0</v>
      </c>
      <c r="D7" s="153">
        <f>IF(C7&lt;=3,5,0)</f>
        <v>5</v>
      </c>
      <c r="E7" s="152">
        <f>'ФКУ за 1-е пол. 2017 года'!F9</f>
        <v>0</v>
      </c>
      <c r="F7" s="153">
        <f>IF(E7&lt;=3,5,0)</f>
        <v>5</v>
      </c>
      <c r="G7" s="152">
        <f>'ФКУ за 1-е пол. 2017 года'!G9</f>
        <v>0</v>
      </c>
      <c r="H7" s="153">
        <f>IF(G7&lt;=3,5,0)</f>
        <v>5</v>
      </c>
      <c r="I7" s="152">
        <f>'ФКУ за 1-е пол. 2017 года'!H9</f>
        <v>0</v>
      </c>
      <c r="J7" s="154">
        <f>IF(I7&lt;=3,5,0)</f>
        <v>5</v>
      </c>
      <c r="K7" s="11"/>
    </row>
    <row r="8" spans="1:13" ht="30" customHeight="1" x14ac:dyDescent="0.25">
      <c r="A8" s="241" t="s">
        <v>162</v>
      </c>
      <c r="B8" s="243" t="s">
        <v>49</v>
      </c>
      <c r="C8" s="245" t="s">
        <v>163</v>
      </c>
      <c r="D8" s="245"/>
      <c r="E8" s="245"/>
      <c r="F8" s="245"/>
      <c r="G8" s="245"/>
      <c r="H8" s="245"/>
      <c r="I8" s="245"/>
      <c r="J8" s="246"/>
      <c r="K8" s="11"/>
    </row>
    <row r="9" spans="1:13" ht="47.25" customHeight="1" thickBot="1" x14ac:dyDescent="0.3">
      <c r="A9" s="242"/>
      <c r="B9" s="244"/>
      <c r="C9" s="155">
        <f>'ФКУ за 1-е пол. 2017 года'!E11</f>
        <v>0</v>
      </c>
      <c r="D9" s="156">
        <f>IF(C9&lt;=15,5,IF(C9&gt;15,0))</f>
        <v>5</v>
      </c>
      <c r="E9" s="157">
        <f>'ФКУ за 1-е пол. 2017 года'!F11</f>
        <v>0</v>
      </c>
      <c r="F9" s="156">
        <f>IF(E9&lt;=15,5,IF(E9&gt;15,0))</f>
        <v>5</v>
      </c>
      <c r="G9" s="155">
        <f>'ФКУ за 1-е пол. 2017 года'!G11</f>
        <v>0</v>
      </c>
      <c r="H9" s="156">
        <f>IF(G9&lt;=15,5,IF(G9&gt;15,0))</f>
        <v>5</v>
      </c>
      <c r="I9" s="155">
        <f>'ФКУ за 1-е пол. 2017 года'!H11</f>
        <v>0</v>
      </c>
      <c r="J9" s="158">
        <f>IF(I9&lt;=15,5,IF(I9&gt;15,0))</f>
        <v>5</v>
      </c>
      <c r="K9" s="11"/>
    </row>
    <row r="10" spans="1:13" ht="45" customHeight="1" x14ac:dyDescent="0.25">
      <c r="A10" s="241" t="s">
        <v>164</v>
      </c>
      <c r="B10" s="243" t="s">
        <v>72</v>
      </c>
      <c r="C10" s="245" t="s">
        <v>185</v>
      </c>
      <c r="D10" s="245"/>
      <c r="E10" s="245"/>
      <c r="F10" s="245"/>
      <c r="G10" s="245"/>
      <c r="H10" s="245"/>
      <c r="I10" s="245"/>
      <c r="J10" s="246"/>
      <c r="K10" s="11"/>
    </row>
    <row r="11" spans="1:13" ht="30" customHeight="1" thickBot="1" x14ac:dyDescent="0.3">
      <c r="A11" s="242"/>
      <c r="B11" s="244"/>
      <c r="C11" s="159">
        <f>'ФКУ за 1-е пол. 2017 года'!E16</f>
        <v>39.074052955148865</v>
      </c>
      <c r="D11" s="153">
        <f>IF(C11&gt;=50,5,IF(C11&gt;=45,4,IF(C11&gt;=40,3,IF(C11&lt;40,0))))</f>
        <v>0</v>
      </c>
      <c r="E11" s="159">
        <f>'ФКУ за 1-е пол. 2017 года'!F16</f>
        <v>30.636168539389857</v>
      </c>
      <c r="F11" s="153">
        <f>IF(E11&gt;=50,5,IF(E11&gt;=45,4,IF(E11&gt;=40,3,IF(E11&lt;40,0))))</f>
        <v>0</v>
      </c>
      <c r="G11" s="159">
        <f>'ФКУ за 1-е пол. 2017 года'!G16</f>
        <v>32.044407724249467</v>
      </c>
      <c r="H11" s="153">
        <f>IF(G11&gt;=50,5,IF(G11&gt;=45,4,IF(G11&gt;=40,3,IF(G11&lt;40,0))))</f>
        <v>0</v>
      </c>
      <c r="I11" s="159">
        <f>'ФКУ за 1-е пол. 2017 года'!H16</f>
        <v>43.316474507153259</v>
      </c>
      <c r="J11" s="154">
        <f>IF(I11&gt;=50,5,IF(I11&gt;=45,4,IF(I11&gt;=40,3,IF(I11&lt;40,0))))</f>
        <v>3</v>
      </c>
      <c r="K11" s="11"/>
    </row>
    <row r="12" spans="1:13" ht="51" customHeight="1" x14ac:dyDescent="0.25">
      <c r="A12" s="241" t="s">
        <v>165</v>
      </c>
      <c r="B12" s="243" t="s">
        <v>74</v>
      </c>
      <c r="C12" s="245" t="s">
        <v>186</v>
      </c>
      <c r="D12" s="245"/>
      <c r="E12" s="245"/>
      <c r="F12" s="245"/>
      <c r="G12" s="245"/>
      <c r="H12" s="245"/>
      <c r="I12" s="245"/>
      <c r="J12" s="246"/>
      <c r="K12" s="11"/>
    </row>
    <row r="13" spans="1:13" ht="68.25" customHeight="1" thickBot="1" x14ac:dyDescent="0.3">
      <c r="A13" s="242"/>
      <c r="B13" s="244"/>
      <c r="C13" s="159">
        <f>'ФКУ за 1-е пол. 2017 года'!E23</f>
        <v>85.108372421925509</v>
      </c>
      <c r="D13" s="153">
        <f>IF(C13&gt;=50,5,IF(C13&gt;=45,4,IF(C13&gt;=40,3,IF(C13&lt;40,0))))</f>
        <v>5</v>
      </c>
      <c r="E13" s="159">
        <f>'ФКУ за 1-е пол. 2017 года'!F23</f>
        <v>60.102300440305143</v>
      </c>
      <c r="F13" s="153">
        <f>IF(E13&gt;=50,5,IF(E13&gt;=45,4,IF(E13&gt;=40,3,IF(E13&lt;40,0))))</f>
        <v>5</v>
      </c>
      <c r="G13" s="159">
        <f>'ФКУ за 1-е пол. 2017 года'!G23</f>
        <v>64.086013440132987</v>
      </c>
      <c r="H13" s="153">
        <f>IF(G13&gt;=55,5,IF(G13&gt;=20,4,IF(G13&gt;=15,3,IF(G13&lt;15,0))))</f>
        <v>5</v>
      </c>
      <c r="I13" s="159">
        <f>'ФКУ за 1-е пол. 2017 года'!H23</f>
        <v>80.067267598823236</v>
      </c>
      <c r="J13" s="154">
        <f>IF(I13&gt;=55,5,IF(I13&gt;=20,4,IF(I13&gt;=15,3,IF(I13&lt;15,0))))</f>
        <v>5</v>
      </c>
      <c r="K13" s="11"/>
    </row>
    <row r="14" spans="1:13" ht="39.75" customHeight="1" x14ac:dyDescent="0.25">
      <c r="A14" s="241" t="s">
        <v>166</v>
      </c>
      <c r="B14" s="243" t="s">
        <v>73</v>
      </c>
      <c r="C14" s="245" t="s">
        <v>172</v>
      </c>
      <c r="D14" s="245"/>
      <c r="E14" s="245"/>
      <c r="F14" s="245"/>
      <c r="G14" s="245"/>
      <c r="H14" s="245"/>
      <c r="I14" s="245"/>
      <c r="J14" s="246"/>
      <c r="K14" s="11"/>
    </row>
    <row r="15" spans="1:13" ht="30" customHeight="1" thickBot="1" x14ac:dyDescent="0.3">
      <c r="A15" s="242"/>
      <c r="B15" s="244"/>
      <c r="C15" s="159">
        <f>'ФКУ за 1-е пол. 2017 года'!E29</f>
        <v>0.4014647559674453</v>
      </c>
      <c r="D15" s="153">
        <f>IF(C15&lt;=1,5,IF(C15&lt;=1.5,3,IF(C15&gt;1.5,0)))</f>
        <v>5</v>
      </c>
      <c r="E15" s="159">
        <f>'ФКУ за 1-е пол. 2017 года'!F29</f>
        <v>1.3041563022381621</v>
      </c>
      <c r="F15" s="153">
        <f>IF(E15&lt;=1,5,IF(E15&lt;=1.5,3,IF(E15&gt;1.5,0)))</f>
        <v>3</v>
      </c>
      <c r="G15" s="159">
        <f>'ФКУ за 1-е пол. 2017 года'!G29</f>
        <v>1.9246779310878863</v>
      </c>
      <c r="H15" s="153">
        <f>IF(G15&lt;=1,5,IF(G15&lt;=1.5,3,IF(G15&gt;1.5,0)))</f>
        <v>0</v>
      </c>
      <c r="I15" s="159">
        <f>'ФКУ за 1-е пол. 2017 года'!H29</f>
        <v>0.9533368591546989</v>
      </c>
      <c r="J15" s="154">
        <f>IF(I15&lt;=1,5,IF(I15&lt;=1.5,3,IF(I15&gt;1.5,0)))</f>
        <v>5</v>
      </c>
      <c r="K15" s="15"/>
    </row>
    <row r="16" spans="1:13" ht="43.5" customHeight="1" x14ac:dyDescent="0.25">
      <c r="A16" s="241" t="s">
        <v>167</v>
      </c>
      <c r="B16" s="243" t="s">
        <v>32</v>
      </c>
      <c r="C16" s="245" t="s">
        <v>173</v>
      </c>
      <c r="D16" s="245"/>
      <c r="E16" s="245"/>
      <c r="F16" s="245"/>
      <c r="G16" s="245"/>
      <c r="H16" s="245"/>
      <c r="I16" s="245"/>
      <c r="J16" s="246"/>
      <c r="K16" s="11"/>
    </row>
    <row r="17" spans="1:11" ht="30" customHeight="1" thickBot="1" x14ac:dyDescent="0.3">
      <c r="A17" s="242"/>
      <c r="B17" s="244"/>
      <c r="C17" s="159">
        <f>'ФКУ за 1-е пол. 2017 года'!E33</f>
        <v>0.6461262356237012</v>
      </c>
      <c r="D17" s="153">
        <f>IF(C17&lt;=0,5,IF(C17&lt;=0.5,3,IF(C17&gt;0.5,0)))</f>
        <v>0</v>
      </c>
      <c r="E17" s="159">
        <f>'ФКУ за 1-е пол. 2017 года'!F33</f>
        <v>19.669541280387303</v>
      </c>
      <c r="F17" s="153">
        <f>IF(E17&lt;=0,5,IF(E17&lt;=0.5,3,IF(E17&gt;0.5,0)))</f>
        <v>0</v>
      </c>
      <c r="G17" s="159">
        <f>'ФКУ за 1-е пол. 2017 года'!G33</f>
        <v>46.447671158723075</v>
      </c>
      <c r="H17" s="153">
        <f>IF(G17&lt;=0,5,IF(G17&lt;=0.5,3,IF(G17&gt;0.5,0)))</f>
        <v>0</v>
      </c>
      <c r="I17" s="159">
        <f>'ФКУ за 1-е пол. 2017 года'!H33</f>
        <v>1.7431902532400538</v>
      </c>
      <c r="J17" s="154">
        <f>IF(I17&lt;=0,5,IF(I17&lt;=0.5,3,IF(I17&gt;0.5,0)))</f>
        <v>0</v>
      </c>
      <c r="K17" s="11"/>
    </row>
    <row r="18" spans="1:11" ht="48.75" customHeight="1" x14ac:dyDescent="0.25">
      <c r="A18" s="241" t="s">
        <v>168</v>
      </c>
      <c r="B18" s="243" t="s">
        <v>75</v>
      </c>
      <c r="C18" s="245" t="s">
        <v>174</v>
      </c>
      <c r="D18" s="245"/>
      <c r="E18" s="245"/>
      <c r="F18" s="245"/>
      <c r="G18" s="245"/>
      <c r="H18" s="245"/>
      <c r="I18" s="245"/>
      <c r="J18" s="246"/>
      <c r="K18" s="11"/>
    </row>
    <row r="19" spans="1:11" ht="30" customHeight="1" thickBot="1" x14ac:dyDescent="0.3">
      <c r="A19" s="242"/>
      <c r="B19" s="244"/>
      <c r="C19" s="159">
        <f>'ФКУ за 1-е пол. 2017 года'!E38</f>
        <v>0.34796878684031485</v>
      </c>
      <c r="D19" s="153">
        <f>IF(C19&lt;=1.5,5,IF(C19&lt;=2,3,IF(C19&gt;2,0)))</f>
        <v>5</v>
      </c>
      <c r="E19" s="159">
        <f>'ФКУ за 1-е пол. 2017 года'!F38</f>
        <v>0.31646277294945813</v>
      </c>
      <c r="F19" s="153">
        <f>IF(E19&lt;=1.5,5,IF(E19&lt;=2,3,IF(E19&gt;2,0)))</f>
        <v>5</v>
      </c>
      <c r="G19" s="159">
        <f>'ФКУ за 1-е пол. 2017 года'!G38</f>
        <v>5.4718573813431792</v>
      </c>
      <c r="H19" s="153">
        <f>IF(G19&lt;=1.5,5,IF(G19&lt;=2,3,IF(G19&gt;2,0)))</f>
        <v>0</v>
      </c>
      <c r="I19" s="159">
        <f>'ФКУ за 1-е пол. 2017 года'!H38</f>
        <v>0.84009146905598842</v>
      </c>
      <c r="J19" s="154">
        <f>IF(I19&lt;=1.5,5,IF(I19&lt;=2,3,IF(I19&gt;2,0)))</f>
        <v>5</v>
      </c>
      <c r="K19" s="11"/>
    </row>
    <row r="20" spans="1:11" ht="30" customHeight="1" x14ac:dyDescent="0.25">
      <c r="A20" s="241" t="s">
        <v>169</v>
      </c>
      <c r="B20" s="243" t="s">
        <v>69</v>
      </c>
      <c r="C20" s="245" t="s">
        <v>170</v>
      </c>
      <c r="D20" s="245"/>
      <c r="E20" s="245"/>
      <c r="F20" s="245"/>
      <c r="G20" s="245"/>
      <c r="H20" s="245"/>
      <c r="I20" s="245"/>
      <c r="J20" s="246"/>
      <c r="K20" s="11"/>
    </row>
    <row r="21" spans="1:11" ht="45.75" customHeight="1" thickBot="1" x14ac:dyDescent="0.3">
      <c r="A21" s="242"/>
      <c r="B21" s="244"/>
      <c r="C21" s="159">
        <f>'ФКУ за 1-е пол. 2017 года'!E42</f>
        <v>0</v>
      </c>
      <c r="D21" s="153">
        <f>IF(C21=0,5,IF(C21&gt;0,0))</f>
        <v>5</v>
      </c>
      <c r="E21" s="159">
        <f>'ФКУ за 1-е пол. 2017 года'!F42</f>
        <v>0</v>
      </c>
      <c r="F21" s="153">
        <f>IF(E21=0,5,IF(E21&gt;0,0))</f>
        <v>5</v>
      </c>
      <c r="G21" s="159">
        <f>'ФКУ за 1-е пол. 2017 года'!G42</f>
        <v>0</v>
      </c>
      <c r="H21" s="153">
        <f>IF(G21=0,5,IF(G21&gt;0,0))</f>
        <v>5</v>
      </c>
      <c r="I21" s="159">
        <f>'ФКУ за 1-е пол. 2017 года'!H42</f>
        <v>0</v>
      </c>
      <c r="J21" s="154">
        <f>IF(I21=0,5,IF(I21&gt;0,0))</f>
        <v>5</v>
      </c>
      <c r="K21" s="11"/>
    </row>
    <row r="22" spans="1:11" ht="30" customHeight="1" thickBot="1" x14ac:dyDescent="0.3">
      <c r="A22" s="160"/>
      <c r="B22" s="161" t="s">
        <v>171</v>
      </c>
      <c r="C22" s="162"/>
      <c r="D22" s="163">
        <f>D7+D9+D11+D13+D15+D17+D19+D21</f>
        <v>30</v>
      </c>
      <c r="E22" s="162"/>
      <c r="F22" s="163">
        <f>F7+F9+F11+F13+F15+F17+F19+F21</f>
        <v>28</v>
      </c>
      <c r="G22" s="162"/>
      <c r="H22" s="163">
        <f>H7+H9+H11+H13+H15+H17+H19+H21</f>
        <v>20</v>
      </c>
      <c r="I22" s="162"/>
      <c r="J22" s="164">
        <f>J7+J9+J11+J13+J15+J17+J19+J21</f>
        <v>33</v>
      </c>
      <c r="K22" s="11"/>
    </row>
    <row r="23" spans="1:11" ht="15.75" x14ac:dyDescent="0.25">
      <c r="A23" s="39"/>
      <c r="B23" s="247"/>
      <c r="C23" s="248"/>
      <c r="D23" s="248"/>
      <c r="E23" s="248"/>
      <c r="F23" s="248"/>
      <c r="G23" s="248"/>
      <c r="H23" s="248"/>
      <c r="I23" s="248"/>
      <c r="J23" s="248"/>
      <c r="K23" s="11"/>
    </row>
    <row r="24" spans="1:11" ht="15.75" x14ac:dyDescent="0.25">
      <c r="A24" s="12"/>
      <c r="B24" s="54" t="s">
        <v>181</v>
      </c>
      <c r="C24" s="45"/>
      <c r="D24" s="45"/>
      <c r="E24" s="45"/>
      <c r="F24" s="45"/>
      <c r="G24" s="45"/>
      <c r="H24" s="45"/>
      <c r="I24" s="45"/>
      <c r="J24" s="45"/>
      <c r="K24" s="11"/>
    </row>
    <row r="25" spans="1:11" x14ac:dyDescent="0.25">
      <c r="B25" s="144" t="s">
        <v>182</v>
      </c>
    </row>
    <row r="26" spans="1:11" x14ac:dyDescent="0.25">
      <c r="B26" s="12"/>
    </row>
    <row r="27" spans="1:11" s="48" customFormat="1" x14ac:dyDescent="0.25">
      <c r="A27" s="47"/>
      <c r="C27" s="55"/>
      <c r="D27" s="55"/>
    </row>
    <row r="28" spans="1:11" x14ac:dyDescent="0.25">
      <c r="B28" s="38"/>
    </row>
    <row r="29" spans="1:11" x14ac:dyDescent="0.25">
      <c r="B29" s="38"/>
    </row>
    <row r="31" spans="1:11" x14ac:dyDescent="0.25">
      <c r="B31" s="34"/>
    </row>
    <row r="32" spans="1:11" x14ac:dyDescent="0.25">
      <c r="B32" s="34"/>
    </row>
    <row r="33" spans="2:2" x14ac:dyDescent="0.25">
      <c r="B33" s="34"/>
    </row>
  </sheetData>
  <mergeCells count="33">
    <mergeCell ref="G3:H3"/>
    <mergeCell ref="I3:J3"/>
    <mergeCell ref="A8:A9"/>
    <mergeCell ref="B6:B7"/>
    <mergeCell ref="B8:B9"/>
    <mergeCell ref="C3:D3"/>
    <mergeCell ref="E3:F3"/>
    <mergeCell ref="B1:J1"/>
    <mergeCell ref="B2:J2"/>
    <mergeCell ref="C10:J10"/>
    <mergeCell ref="A14:A15"/>
    <mergeCell ref="B14:B15"/>
    <mergeCell ref="C14:J14"/>
    <mergeCell ref="A10:A11"/>
    <mergeCell ref="B10:B11"/>
    <mergeCell ref="A12:A13"/>
    <mergeCell ref="B12:B13"/>
    <mergeCell ref="C12:J12"/>
    <mergeCell ref="C8:J8"/>
    <mergeCell ref="A3:A4"/>
    <mergeCell ref="B3:B4"/>
    <mergeCell ref="A6:A7"/>
    <mergeCell ref="C6:J6"/>
    <mergeCell ref="A16:A17"/>
    <mergeCell ref="B16:B17"/>
    <mergeCell ref="C16:J16"/>
    <mergeCell ref="B23:J23"/>
    <mergeCell ref="A18:A19"/>
    <mergeCell ref="B18:B19"/>
    <mergeCell ref="C18:J18"/>
    <mergeCell ref="C20:J20"/>
    <mergeCell ref="A20:A21"/>
    <mergeCell ref="B20:B21"/>
  </mergeCells>
  <pageMargins left="0.51181102362204722" right="0.19685039370078741" top="0.47244094488188981" bottom="0.27559055118110237" header="0.11811023622047245" footer="0.11811023622047245"/>
  <pageSetup paperSize="9" scale="73" orientation="landscape" r:id="rId1"/>
  <headerFooter>
    <evenHeader xml:space="preserve">&amp;C
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L15"/>
  <sheetViews>
    <sheetView zoomScaleNormal="100" workbookViewId="0">
      <selection activeCell="I11" sqref="I11"/>
    </sheetView>
  </sheetViews>
  <sheetFormatPr defaultRowHeight="15" x14ac:dyDescent="0.25"/>
  <cols>
    <col min="1" max="1" width="61.140625" customWidth="1"/>
    <col min="2" max="2" width="8.28515625" customWidth="1"/>
    <col min="3" max="5" width="9" bestFit="1" customWidth="1"/>
    <col min="6" max="8" width="8.28515625" customWidth="1"/>
    <col min="9" max="9" width="9" bestFit="1" customWidth="1"/>
    <col min="10" max="10" width="10.28515625" customWidth="1"/>
    <col min="11" max="11" width="16.7109375" customWidth="1"/>
    <col min="12" max="12" width="9.140625" hidden="1" customWidth="1"/>
  </cols>
  <sheetData>
    <row r="2" spans="1:11" x14ac:dyDescent="0.2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7.9" customHeight="1" x14ac:dyDescent="0.25"/>
    <row r="4" spans="1:11" ht="52.15" customHeight="1" x14ac:dyDescent="0.25">
      <c r="A4" s="256" t="s">
        <v>179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8.9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8.95" customHeight="1" x14ac:dyDescent="0.25">
      <c r="A6" s="257" t="s">
        <v>9</v>
      </c>
      <c r="B6" s="259" t="s">
        <v>11</v>
      </c>
      <c r="C6" s="259"/>
      <c r="D6" s="259"/>
      <c r="E6" s="259"/>
      <c r="F6" s="259"/>
      <c r="G6" s="259"/>
      <c r="H6" s="259"/>
      <c r="I6" s="259"/>
      <c r="J6" s="259" t="s">
        <v>61</v>
      </c>
      <c r="K6" s="261" t="s">
        <v>62</v>
      </c>
    </row>
    <row r="7" spans="1:11" ht="66.95" customHeight="1" x14ac:dyDescent="0.25">
      <c r="A7" s="258"/>
      <c r="B7" s="44" t="s">
        <v>89</v>
      </c>
      <c r="C7" s="44" t="s">
        <v>90</v>
      </c>
      <c r="D7" s="44" t="s">
        <v>91</v>
      </c>
      <c r="E7" s="44" t="s">
        <v>92</v>
      </c>
      <c r="F7" s="44" t="s">
        <v>93</v>
      </c>
      <c r="G7" s="44" t="s">
        <v>94</v>
      </c>
      <c r="H7" s="44" t="s">
        <v>95</v>
      </c>
      <c r="I7" s="44" t="s">
        <v>96</v>
      </c>
      <c r="J7" s="260"/>
      <c r="K7" s="262"/>
    </row>
    <row r="8" spans="1:11" s="112" customFormat="1" ht="16.149999999999999" customHeight="1" x14ac:dyDescent="0.15">
      <c r="A8" s="109" t="s">
        <v>10</v>
      </c>
      <c r="B8" s="110">
        <v>1</v>
      </c>
      <c r="C8" s="110">
        <v>2</v>
      </c>
      <c r="D8" s="110">
        <v>3</v>
      </c>
      <c r="E8" s="110">
        <v>4</v>
      </c>
      <c r="F8" s="110">
        <v>5</v>
      </c>
      <c r="G8" s="110">
        <v>6</v>
      </c>
      <c r="H8" s="110">
        <v>7</v>
      </c>
      <c r="I8" s="110">
        <v>8</v>
      </c>
      <c r="J8" s="110">
        <v>9</v>
      </c>
      <c r="K8" s="111">
        <v>10</v>
      </c>
    </row>
    <row r="9" spans="1:11" s="21" customFormat="1" ht="46.5" customHeight="1" x14ac:dyDescent="0.25">
      <c r="A9" s="20" t="s">
        <v>24</v>
      </c>
      <c r="B9" s="87">
        <f>'Показатели ФГБУ - 1-е пол. 2017'!D8</f>
        <v>5</v>
      </c>
      <c r="C9" s="87">
        <f>'Показатели ФГБУ - 1-е пол. 2017'!D10</f>
        <v>5</v>
      </c>
      <c r="D9" s="87">
        <f>'Показатели ФГБУ - 1-е пол. 2017'!D12</f>
        <v>0</v>
      </c>
      <c r="E9" s="87">
        <f>'Показатели ФГБУ - 1-е пол. 2017'!D14</f>
        <v>5</v>
      </c>
      <c r="F9" s="87">
        <f>'Показатели ФГБУ - 1-е пол. 2017'!D16</f>
        <v>5</v>
      </c>
      <c r="G9" s="87">
        <f>'Показатели ФГБУ - 1-е пол. 2017'!D18</f>
        <v>5</v>
      </c>
      <c r="H9" s="87">
        <f>'Показатели ФГБУ - 1-е пол. 2017'!D20</f>
        <v>5</v>
      </c>
      <c r="I9" s="87">
        <f>'Показатели ФГБУ - 1-е пол. 2017'!D22</f>
        <v>0</v>
      </c>
      <c r="J9" s="5">
        <f>SUM(B9:I9)</f>
        <v>30</v>
      </c>
      <c r="K9" s="6">
        <f>_xlfn.RANK.EQ(J9,J9:J10,0)</f>
        <v>1</v>
      </c>
    </row>
    <row r="10" spans="1:11" s="21" customFormat="1" ht="59.1" customHeight="1" thickBot="1" x14ac:dyDescent="0.3">
      <c r="A10" s="22" t="s">
        <v>85</v>
      </c>
      <c r="B10" s="88">
        <f>'Показатели ФГБУ - 1-е пол. 2017'!F8</f>
        <v>5</v>
      </c>
      <c r="C10" s="88">
        <f>'Показатели ФГБУ - 1-е пол. 2017'!F10</f>
        <v>5</v>
      </c>
      <c r="D10" s="88">
        <f>'Показатели ФГБУ - 1-е пол. 2017'!F12</f>
        <v>0</v>
      </c>
      <c r="E10" s="88">
        <f>'Показатели ФГБУ - 1-е пол. 2017'!F14</f>
        <v>0</v>
      </c>
      <c r="F10" s="88">
        <f>'Показатели ФГБУ - 1-е пол. 2017'!F16</f>
        <v>5</v>
      </c>
      <c r="G10" s="88">
        <f>'Показатели ФГБУ - 1-е пол. 2017'!F18</f>
        <v>5</v>
      </c>
      <c r="H10" s="88">
        <f>'Показатели ФГБУ - 1-е пол. 2017'!F20</f>
        <v>5</v>
      </c>
      <c r="I10" s="88">
        <f>'Показатели ФГБУ - 1-е пол. 2017'!F22</f>
        <v>0</v>
      </c>
      <c r="J10" s="43">
        <f>SUM(B10:I10)</f>
        <v>25</v>
      </c>
      <c r="K10" s="9">
        <f>_xlfn.RANK.EQ(J10,J9:J10,0)</f>
        <v>2</v>
      </c>
    </row>
    <row r="11" spans="1:11" s="19" customFormat="1" ht="12.75" x14ac:dyDescent="0.2"/>
    <row r="14" spans="1:11" x14ac:dyDescent="0.25">
      <c r="A14" s="59" t="s">
        <v>181</v>
      </c>
    </row>
    <row r="15" spans="1:11" s="48" customFormat="1" x14ac:dyDescent="0.25">
      <c r="A15" s="140" t="s">
        <v>182</v>
      </c>
      <c r="C15" s="55"/>
      <c r="D15" s="55"/>
    </row>
  </sheetData>
  <mergeCells count="6">
    <mergeCell ref="A2:K2"/>
    <mergeCell ref="A4:K4"/>
    <mergeCell ref="A6:A7"/>
    <mergeCell ref="B6:I6"/>
    <mergeCell ref="J6:J7"/>
    <mergeCell ref="K6:K7"/>
  </mergeCells>
  <pageMargins left="0.59055118110236227" right="0.19685039370078741" top="0.78740157480314965" bottom="0.59055118110236227" header="0.51181102362204722" footer="0.51181102362204722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L20"/>
  <sheetViews>
    <sheetView zoomScale="110" zoomScaleNormal="110" workbookViewId="0">
      <selection activeCell="C9" sqref="C9"/>
    </sheetView>
  </sheetViews>
  <sheetFormatPr defaultRowHeight="15" x14ac:dyDescent="0.25"/>
  <cols>
    <col min="1" max="1" width="60.42578125" customWidth="1"/>
    <col min="2" max="2" width="8.28515625" customWidth="1"/>
    <col min="3" max="9" width="9" bestFit="1" customWidth="1"/>
    <col min="10" max="10" width="11.7109375" customWidth="1"/>
    <col min="11" max="11" width="17.7109375" customWidth="1"/>
    <col min="12" max="12" width="9.140625" hidden="1" customWidth="1"/>
  </cols>
  <sheetData>
    <row r="2" spans="1:12" ht="37.5" customHeight="1" x14ac:dyDescent="0.25">
      <c r="A2" s="256" t="s">
        <v>180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2" ht="18.9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46" customFormat="1" ht="48.95" customHeight="1" x14ac:dyDescent="0.2">
      <c r="A4" s="257" t="s">
        <v>64</v>
      </c>
      <c r="B4" s="259" t="s">
        <v>11</v>
      </c>
      <c r="C4" s="259"/>
      <c r="D4" s="259"/>
      <c r="E4" s="259"/>
      <c r="F4" s="259"/>
      <c r="G4" s="259"/>
      <c r="H4" s="259"/>
      <c r="I4" s="259"/>
      <c r="J4" s="259" t="s">
        <v>60</v>
      </c>
      <c r="K4" s="261" t="s">
        <v>63</v>
      </c>
    </row>
    <row r="5" spans="1:12" s="46" customFormat="1" ht="66.95" customHeight="1" x14ac:dyDescent="0.2">
      <c r="A5" s="258"/>
      <c r="B5" s="44" t="s">
        <v>97</v>
      </c>
      <c r="C5" s="44" t="s">
        <v>98</v>
      </c>
      <c r="D5" s="44" t="s">
        <v>99</v>
      </c>
      <c r="E5" s="44" t="s">
        <v>100</v>
      </c>
      <c r="F5" s="44" t="s">
        <v>101</v>
      </c>
      <c r="G5" s="44" t="s">
        <v>102</v>
      </c>
      <c r="H5" s="44" t="s">
        <v>103</v>
      </c>
      <c r="I5" s="44" t="s">
        <v>104</v>
      </c>
      <c r="J5" s="260"/>
      <c r="K5" s="262"/>
    </row>
    <row r="6" spans="1:12" s="113" customFormat="1" ht="14.45" customHeight="1" x14ac:dyDescent="0.2">
      <c r="A6" s="109" t="s">
        <v>10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1">
        <v>10</v>
      </c>
    </row>
    <row r="7" spans="1:12" ht="55.5" customHeight="1" x14ac:dyDescent="0.25">
      <c r="A7" s="82" t="s">
        <v>0</v>
      </c>
      <c r="B7" s="84">
        <f>'Показатели ФКУ - 1-е пол. 2017 '!D7</f>
        <v>5</v>
      </c>
      <c r="C7" s="84">
        <f>'Показатели ФКУ - 1-е пол. 2017 '!D9</f>
        <v>5</v>
      </c>
      <c r="D7" s="84">
        <f>'Показатели ФКУ - 1-е пол. 2017 '!D11</f>
        <v>0</v>
      </c>
      <c r="E7" s="84">
        <f>'Показатели ФКУ - 1-е пол. 2017 '!D13</f>
        <v>5</v>
      </c>
      <c r="F7" s="84">
        <f>'Показатели ФКУ - 1-е пол. 2017 '!D15</f>
        <v>5</v>
      </c>
      <c r="G7" s="84">
        <f>'Показатели ФКУ - 1-е пол. 2017 '!D17</f>
        <v>0</v>
      </c>
      <c r="H7" s="84">
        <f>'Показатели ФКУ - 1-е пол. 2017 '!D19</f>
        <v>5</v>
      </c>
      <c r="I7" s="84">
        <f>'Показатели ФКУ - 1-е пол. 2017 '!D21</f>
        <v>5</v>
      </c>
      <c r="J7" s="5">
        <f>SUM(B7:I7)</f>
        <v>30</v>
      </c>
      <c r="K7" s="6">
        <f>_xlfn.RANK.EQ(J7,J7:J10,0)</f>
        <v>2</v>
      </c>
    </row>
    <row r="8" spans="1:12" ht="74.25" customHeight="1" x14ac:dyDescent="0.25">
      <c r="A8" s="82" t="s">
        <v>1</v>
      </c>
      <c r="B8" s="84">
        <f>'Показатели ФКУ - 1-е пол. 2017 '!F7</f>
        <v>5</v>
      </c>
      <c r="C8" s="84">
        <f>'Показатели ФКУ - 1-е пол. 2017 '!F9</f>
        <v>5</v>
      </c>
      <c r="D8" s="84">
        <f>'Показатели ФКУ - 1-е пол. 2017 '!F11</f>
        <v>0</v>
      </c>
      <c r="E8" s="84">
        <f>'Показатели ФКУ - 1-е пол. 2017 '!F13</f>
        <v>5</v>
      </c>
      <c r="F8" s="84">
        <f>'Показатели ФКУ - 1-е пол. 2017 '!F15</f>
        <v>3</v>
      </c>
      <c r="G8" s="84">
        <f>'Показатели ФКУ - 1-е пол. 2017 '!F17</f>
        <v>0</v>
      </c>
      <c r="H8" s="84">
        <f>'Показатели ФКУ - 1-е пол. 2017 '!F19</f>
        <v>5</v>
      </c>
      <c r="I8" s="84">
        <f>'Показатели ФКУ - 1-е пол. 2017 '!F21</f>
        <v>5</v>
      </c>
      <c r="J8" s="5">
        <f>SUM(B8:I8)</f>
        <v>28</v>
      </c>
      <c r="K8" s="6">
        <f>_xlfn.RANK.EQ(J8,J7:J10,0)</f>
        <v>3</v>
      </c>
    </row>
    <row r="9" spans="1:12" ht="110.25" x14ac:dyDescent="0.25">
      <c r="A9" s="82" t="s">
        <v>2</v>
      </c>
      <c r="B9" s="84">
        <f>'Показатели ФКУ - 1-е пол. 2017 '!H7</f>
        <v>5</v>
      </c>
      <c r="C9" s="84">
        <f>'Показатели ФКУ - 1-е пол. 2017 '!H9</f>
        <v>5</v>
      </c>
      <c r="D9" s="84">
        <f>'Показатели ФКУ - 1-е пол. 2017 '!H11</f>
        <v>0</v>
      </c>
      <c r="E9" s="84">
        <f>'Показатели ФКУ - 1-е пол. 2017 '!H13</f>
        <v>5</v>
      </c>
      <c r="F9" s="84">
        <f>'Показатели ФКУ - 1-е пол. 2017 '!H15</f>
        <v>0</v>
      </c>
      <c r="G9" s="84">
        <f>'Показатели ФКУ - 1-е пол. 2017 '!H17</f>
        <v>0</v>
      </c>
      <c r="H9" s="84">
        <f>'Показатели ФКУ - 1-е пол. 2017 '!H19</f>
        <v>0</v>
      </c>
      <c r="I9" s="84">
        <f>'Показатели ФКУ - 1-е пол. 2017 '!H21</f>
        <v>5</v>
      </c>
      <c r="J9" s="5">
        <f>SUM(B9:I9)</f>
        <v>20</v>
      </c>
      <c r="K9" s="6">
        <f>_xlfn.RANK.EQ(J9,J7:J10,0)</f>
        <v>4</v>
      </c>
    </row>
    <row r="10" spans="1:12" ht="60" customHeight="1" thickBot="1" x14ac:dyDescent="0.3">
      <c r="A10" s="83" t="s">
        <v>3</v>
      </c>
      <c r="B10" s="85">
        <f>'Показатели ФКУ - 1-е пол. 2017 '!J7</f>
        <v>5</v>
      </c>
      <c r="C10" s="85">
        <f>'Показатели ФКУ - 1-е пол. 2017 '!J9</f>
        <v>5</v>
      </c>
      <c r="D10" s="85">
        <f>'Показатели ФКУ - 1-е пол. 2017 '!J11</f>
        <v>3</v>
      </c>
      <c r="E10" s="85">
        <f>'Показатели ФКУ - 1-е пол. 2017 '!J13</f>
        <v>5</v>
      </c>
      <c r="F10" s="85">
        <f>'Показатели ФКУ - 1-е пол. 2017 '!J15</f>
        <v>5</v>
      </c>
      <c r="G10" s="85">
        <f>'Показатели ФКУ - 1-е пол. 2017 '!J17</f>
        <v>0</v>
      </c>
      <c r="H10" s="85">
        <f>'Показатели ФКУ - 1-е пол. 2017 '!J19</f>
        <v>5</v>
      </c>
      <c r="I10" s="85">
        <f>'Показатели ФКУ - 1-е пол. 2017 '!J21</f>
        <v>5</v>
      </c>
      <c r="J10" s="43">
        <f>SUM(B10:I10)</f>
        <v>33</v>
      </c>
      <c r="K10" s="9">
        <f>_xlfn.RANK.EQ(J10,J7:J10,0)</f>
        <v>1</v>
      </c>
    </row>
    <row r="11" spans="1:12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"/>
      <c r="L11" s="2"/>
    </row>
    <row r="13" spans="1:12" x14ac:dyDescent="0.25">
      <c r="A13" s="59" t="s">
        <v>181</v>
      </c>
      <c r="B13" s="42"/>
    </row>
    <row r="14" spans="1:12" s="48" customFormat="1" x14ac:dyDescent="0.25">
      <c r="A14" s="140" t="s">
        <v>182</v>
      </c>
      <c r="C14" s="55"/>
      <c r="D14" s="55"/>
    </row>
    <row r="19" spans="1:1" x14ac:dyDescent="0.25">
      <c r="A19" s="4"/>
    </row>
    <row r="20" spans="1:1" x14ac:dyDescent="0.25">
      <c r="A20" s="4"/>
    </row>
  </sheetData>
  <mergeCells count="5">
    <mergeCell ref="A2:K2"/>
    <mergeCell ref="A4:A5"/>
    <mergeCell ref="B4:I4"/>
    <mergeCell ref="J4:J5"/>
    <mergeCell ref="K4:K5"/>
  </mergeCells>
  <pageMargins left="0.35" right="0.19685039370078741" top="0.78740157480314965" bottom="0.28000000000000003" header="0.51181102362204722" footer="0.2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СВЕДЕНИЯ</vt:lpstr>
      <vt:lpstr>ФГБУ за 1-е пол. 2017 года</vt:lpstr>
      <vt:lpstr>ФКУ за 1-е пол. 2017 года</vt:lpstr>
      <vt:lpstr>Показатели ФГБУ - 1-е пол. 2017</vt:lpstr>
      <vt:lpstr>Показатели ФКУ - 1-е пол. 2017 </vt:lpstr>
      <vt:lpstr>Рейтинг ФГБУ</vt:lpstr>
      <vt:lpstr>Рейтинг ФКУ</vt:lpstr>
      <vt:lpstr>'Показатели ФГБУ - 1-е пол. 2017'!Заголовки_для_печати</vt:lpstr>
      <vt:lpstr>'Показатели ФКУ - 1-е пол. 2017 '!Заголовки_для_печати</vt:lpstr>
      <vt:lpstr>'Рейтинг ФГБУ'!Заголовки_для_печати</vt:lpstr>
      <vt:lpstr>'Рейтинг ФКУ'!Заголовки_для_печати</vt:lpstr>
      <vt:lpstr>'ФГБУ за 1-е пол. 2017 года'!Заголовки_для_печати</vt:lpstr>
      <vt:lpstr>'ФКУ за 1-е пол. 2017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ГАЗАЕВА ВАЛЕНТИНА ХАДЖУМАРОВНА</dc:creator>
  <cp:lastModifiedBy>КЛЕВЦОВ МИХАИЛ ВАЛЕРЬЕВИЧ</cp:lastModifiedBy>
  <cp:lastPrinted>2017-08-15T08:02:30Z</cp:lastPrinted>
  <dcterms:created xsi:type="dcterms:W3CDTF">2012-07-16T10:42:27Z</dcterms:created>
  <dcterms:modified xsi:type="dcterms:W3CDTF">2017-08-15T08:04:00Z</dcterms:modified>
</cp:coreProperties>
</file>