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790" yWindow="105" windowWidth="16470" windowHeight="12435"/>
  </bookViews>
  <sheets>
    <sheet name="2016" sheetId="62" r:id="rId1"/>
    <sheet name="Распределение (2)" sheetId="55" state="hidden" r:id="rId2"/>
  </sheets>
  <definedNames>
    <definedName name="_xlnm.Print_Titles" localSheetId="0">'2016'!$5:$7</definedName>
    <definedName name="_xlnm.Print_Titles" localSheetId="1">'Распределение (2)'!$6:$8</definedName>
    <definedName name="_xlnm.Print_Area" localSheetId="0">'2016'!$A$1:$B$99</definedName>
    <definedName name="_xlnm.Print_Area" localSheetId="1">'Распределение (2)'!$A$1:$AV$107</definedName>
  </definedNames>
  <calcPr calcId="145621"/>
</workbook>
</file>

<file path=xl/calcChain.xml><?xml version="1.0" encoding="utf-8"?>
<calcChain xmlns="http://schemas.openxmlformats.org/spreadsheetml/2006/main">
  <c r="AM52" i="55" l="1"/>
  <c r="AQ10" i="55" l="1"/>
  <c r="AR10" i="55"/>
  <c r="AV33" i="55"/>
  <c r="AU33" i="55"/>
  <c r="AU9" i="55" s="1"/>
  <c r="AR11" i="55"/>
  <c r="AQ11" i="55"/>
  <c r="AV9" i="55"/>
  <c r="AS9" i="55"/>
  <c r="AT9" i="55"/>
  <c r="AM103" i="55" l="1"/>
  <c r="AE103" i="55"/>
  <c r="AC103" i="55"/>
  <c r="AB103" i="55"/>
  <c r="AA103" i="55"/>
  <c r="Z103" i="55"/>
  <c r="T103" i="55"/>
  <c r="P103" i="55"/>
  <c r="S103" i="55" s="1"/>
  <c r="M103" i="55"/>
  <c r="N103" i="55" s="1"/>
  <c r="AJ102" i="55"/>
  <c r="AM102" i="55" s="1"/>
  <c r="AE102" i="55"/>
  <c r="AC102" i="55"/>
  <c r="T102" i="55"/>
  <c r="P102" i="55"/>
  <c r="M102" i="55"/>
  <c r="I102" i="55"/>
  <c r="AG101" i="55"/>
  <c r="AE101" i="55"/>
  <c r="AC101" i="55"/>
  <c r="AB101" i="55"/>
  <c r="AA101" i="55"/>
  <c r="Z101" i="55"/>
  <c r="T101" i="55"/>
  <c r="P101" i="55"/>
  <c r="S101" i="55" s="1"/>
  <c r="N101" i="55"/>
  <c r="M101" i="55"/>
  <c r="AM100" i="55"/>
  <c r="AE100" i="55"/>
  <c r="AC100" i="55"/>
  <c r="AB100" i="55"/>
  <c r="AA100" i="55"/>
  <c r="Z100" i="55"/>
  <c r="T100" i="55"/>
  <c r="P100" i="55"/>
  <c r="S100" i="55" s="1"/>
  <c r="M100" i="55"/>
  <c r="N100" i="55" s="1"/>
  <c r="AM99" i="55"/>
  <c r="AJ99" i="55"/>
  <c r="AE99" i="55"/>
  <c r="AC99" i="55"/>
  <c r="AB99" i="55"/>
  <c r="AA99" i="55"/>
  <c r="Y99" i="55"/>
  <c r="T99" i="55"/>
  <c r="P99" i="55"/>
  <c r="M99" i="55"/>
  <c r="I99" i="55"/>
  <c r="AJ98" i="55"/>
  <c r="AM98" i="55" s="1"/>
  <c r="AE98" i="55"/>
  <c r="AC98" i="55"/>
  <c r="AA98" i="55"/>
  <c r="T98" i="55"/>
  <c r="P98" i="55"/>
  <c r="M98" i="55"/>
  <c r="I98" i="55"/>
  <c r="AJ97" i="55"/>
  <c r="AM97" i="55" s="1"/>
  <c r="AE97" i="55"/>
  <c r="AC97" i="55"/>
  <c r="T97" i="55"/>
  <c r="P97" i="55"/>
  <c r="M97" i="55"/>
  <c r="I97" i="55"/>
  <c r="AJ96" i="55"/>
  <c r="AM96" i="55" s="1"/>
  <c r="AG96" i="55"/>
  <c r="AE96" i="55"/>
  <c r="AC96" i="55"/>
  <c r="AB96" i="55"/>
  <c r="AA96" i="55"/>
  <c r="Z96" i="55"/>
  <c r="T96" i="55"/>
  <c r="P96" i="55"/>
  <c r="S96" i="55" s="1"/>
  <c r="N96" i="55"/>
  <c r="M96" i="55"/>
  <c r="AJ95" i="55"/>
  <c r="AM95" i="55" s="1"/>
  <c r="AE95" i="55"/>
  <c r="AC95" i="55"/>
  <c r="T95" i="55"/>
  <c r="P95" i="55"/>
  <c r="M95" i="55"/>
  <c r="AJ93" i="55"/>
  <c r="AM93" i="55" s="1"/>
  <c r="AE93" i="55"/>
  <c r="AC93" i="55"/>
  <c r="AB93" i="55"/>
  <c r="AA93" i="55"/>
  <c r="Y93" i="55"/>
  <c r="T93" i="55"/>
  <c r="P93" i="55"/>
  <c r="M93" i="55"/>
  <c r="I93" i="55"/>
  <c r="AJ92" i="55"/>
  <c r="AM92" i="55" s="1"/>
  <c r="AE92" i="55"/>
  <c r="AC92" i="55"/>
  <c r="AB92" i="55"/>
  <c r="AA92" i="55"/>
  <c r="Y92" i="55"/>
  <c r="T92" i="55"/>
  <c r="P92" i="55"/>
  <c r="M92" i="55"/>
  <c r="I92" i="55"/>
  <c r="AJ91" i="55"/>
  <c r="AM91" i="55" s="1"/>
  <c r="AE91" i="55"/>
  <c r="AC91" i="55"/>
  <c r="AA91" i="55"/>
  <c r="Z91" i="55"/>
  <c r="Y91" i="55"/>
  <c r="T91" i="55"/>
  <c r="P91" i="55"/>
  <c r="M91" i="55"/>
  <c r="H91" i="55"/>
  <c r="AJ90" i="55"/>
  <c r="AM90" i="55" s="1"/>
  <c r="AE90" i="55"/>
  <c r="AC90" i="55"/>
  <c r="T90" i="55"/>
  <c r="P90" i="55"/>
  <c r="M90" i="55"/>
  <c r="I90" i="55"/>
  <c r="AJ89" i="55"/>
  <c r="AM89" i="55" s="1"/>
  <c r="AE89" i="55"/>
  <c r="AC89" i="55"/>
  <c r="T89" i="55"/>
  <c r="P89" i="55"/>
  <c r="M89" i="55"/>
  <c r="I89" i="55"/>
  <c r="AJ88" i="55"/>
  <c r="AM88" i="55" s="1"/>
  <c r="AE88" i="55"/>
  <c r="AC88" i="55"/>
  <c r="W88" i="55"/>
  <c r="T88" i="55"/>
  <c r="P88" i="55"/>
  <c r="M88" i="55"/>
  <c r="I88" i="55"/>
  <c r="AJ87" i="55"/>
  <c r="AM87" i="55" s="1"/>
  <c r="AE87" i="55"/>
  <c r="AC87" i="55"/>
  <c r="AB87" i="55"/>
  <c r="AA87" i="55"/>
  <c r="Y87" i="55"/>
  <c r="T87" i="55"/>
  <c r="P87" i="55"/>
  <c r="M87" i="55"/>
  <c r="I87" i="55"/>
  <c r="AM86" i="55"/>
  <c r="AE86" i="55"/>
  <c r="AC86" i="55"/>
  <c r="AB86" i="55"/>
  <c r="AA86" i="55"/>
  <c r="Z86" i="55"/>
  <c r="T86" i="55"/>
  <c r="P86" i="55"/>
  <c r="S86" i="55" s="1"/>
  <c r="M86" i="55"/>
  <c r="AG86" i="55" s="1"/>
  <c r="AJ85" i="55"/>
  <c r="AM85" i="55" s="1"/>
  <c r="AE85" i="55"/>
  <c r="AC85" i="55"/>
  <c r="AB85" i="55"/>
  <c r="AA85" i="55"/>
  <c r="Y85" i="55"/>
  <c r="T85" i="55"/>
  <c r="P85" i="55"/>
  <c r="M85" i="55"/>
  <c r="I85" i="55"/>
  <c r="AM84" i="55"/>
  <c r="AE84" i="55"/>
  <c r="AC84" i="55"/>
  <c r="AB84" i="55"/>
  <c r="AA84" i="55"/>
  <c r="Z84" i="55"/>
  <c r="T84" i="55"/>
  <c r="P84" i="55"/>
  <c r="S84" i="55" s="1"/>
  <c r="M84" i="55"/>
  <c r="AG84" i="55" s="1"/>
  <c r="AJ83" i="55"/>
  <c r="AM83" i="55" s="1"/>
  <c r="AE83" i="55"/>
  <c r="AC83" i="55"/>
  <c r="T83" i="55"/>
  <c r="P83" i="55"/>
  <c r="M83" i="55"/>
  <c r="I83" i="55"/>
  <c r="AJ82" i="55"/>
  <c r="AM82" i="55" s="1"/>
  <c r="AE82" i="55"/>
  <c r="AC82" i="55"/>
  <c r="T82" i="55"/>
  <c r="P82" i="55"/>
  <c r="M82" i="55"/>
  <c r="I82" i="55"/>
  <c r="AG81" i="55"/>
  <c r="AE81" i="55"/>
  <c r="AC81" i="55"/>
  <c r="AB81" i="55"/>
  <c r="AA81" i="55"/>
  <c r="Z81" i="55"/>
  <c r="T81" i="55"/>
  <c r="S81" i="55"/>
  <c r="N81" i="55"/>
  <c r="AE80" i="55"/>
  <c r="AC80" i="55"/>
  <c r="AB80" i="55"/>
  <c r="AA80" i="55"/>
  <c r="Z80" i="55"/>
  <c r="T80" i="55"/>
  <c r="P80" i="55"/>
  <c r="S80" i="55" s="1"/>
  <c r="M80" i="55"/>
  <c r="N80" i="55" s="1"/>
  <c r="AE79" i="55"/>
  <c r="AC79" i="55"/>
  <c r="AB79" i="55"/>
  <c r="AA79" i="55"/>
  <c r="Z79" i="55"/>
  <c r="T79" i="55"/>
  <c r="P79" i="55"/>
  <c r="S79" i="55" s="1"/>
  <c r="M79" i="55"/>
  <c r="AG79" i="55" s="1"/>
  <c r="AM78" i="55"/>
  <c r="AE78" i="55"/>
  <c r="AC78" i="55"/>
  <c r="AB78" i="55"/>
  <c r="AA78" i="55"/>
  <c r="Z78" i="55"/>
  <c r="T78" i="55"/>
  <c r="S78" i="55"/>
  <c r="P78" i="55"/>
  <c r="M78" i="55"/>
  <c r="N78" i="55" s="1"/>
  <c r="AE77" i="55"/>
  <c r="AC77" i="55"/>
  <c r="AB77" i="55"/>
  <c r="AA77" i="55"/>
  <c r="Z77" i="55"/>
  <c r="T77" i="55"/>
  <c r="P77" i="55"/>
  <c r="S77" i="55" s="1"/>
  <c r="M77" i="55"/>
  <c r="N77" i="55" s="1"/>
  <c r="AJ76" i="55"/>
  <c r="AM76" i="55" s="1"/>
  <c r="AE76" i="55"/>
  <c r="AC76" i="55"/>
  <c r="T76" i="55"/>
  <c r="P76" i="55"/>
  <c r="M76" i="55"/>
  <c r="I76" i="55"/>
  <c r="AM75" i="55"/>
  <c r="AE75" i="55"/>
  <c r="AC75" i="55"/>
  <c r="AB75" i="55"/>
  <c r="AA75" i="55"/>
  <c r="Z75" i="55"/>
  <c r="T75" i="55"/>
  <c r="P75" i="55"/>
  <c r="S75" i="55" s="1"/>
  <c r="M75" i="55"/>
  <c r="AJ73" i="55"/>
  <c r="AM73" i="55" s="1"/>
  <c r="AE73" i="55"/>
  <c r="AC73" i="55"/>
  <c r="T73" i="55"/>
  <c r="P73" i="55"/>
  <c r="M73" i="55"/>
  <c r="I73" i="55"/>
  <c r="AM72" i="55"/>
  <c r="AE72" i="55"/>
  <c r="AC72" i="55"/>
  <c r="AB72" i="55"/>
  <c r="AA72" i="55"/>
  <c r="Z72" i="55"/>
  <c r="T72" i="55"/>
  <c r="P72" i="55"/>
  <c r="S72" i="55" s="1"/>
  <c r="M72" i="55"/>
  <c r="AG72" i="55" s="1"/>
  <c r="AJ71" i="55"/>
  <c r="AM71" i="55" s="1"/>
  <c r="AE71" i="55"/>
  <c r="AC71" i="55"/>
  <c r="AB71" i="55"/>
  <c r="AA71" i="55"/>
  <c r="Y71" i="55"/>
  <c r="U71" i="55"/>
  <c r="T71" i="55"/>
  <c r="P71" i="55"/>
  <c r="M71" i="55"/>
  <c r="E71" i="55"/>
  <c r="AM70" i="55"/>
  <c r="AE70" i="55"/>
  <c r="AC70" i="55"/>
  <c r="AB70" i="55"/>
  <c r="AA70" i="55"/>
  <c r="Z70" i="55"/>
  <c r="T70" i="55"/>
  <c r="P70" i="55"/>
  <c r="S70" i="55" s="1"/>
  <c r="M70" i="55"/>
  <c r="AG70" i="55" s="1"/>
  <c r="AJ69" i="55"/>
  <c r="AM69" i="55" s="1"/>
  <c r="AE69" i="55"/>
  <c r="AC69" i="55"/>
  <c r="W69" i="55"/>
  <c r="T69" i="55"/>
  <c r="P69" i="55"/>
  <c r="M69" i="55"/>
  <c r="I69" i="55"/>
  <c r="AJ68" i="55"/>
  <c r="AM68" i="55" s="1"/>
  <c r="AE68" i="55"/>
  <c r="AC68" i="55"/>
  <c r="AB68" i="55"/>
  <c r="Y68" i="55"/>
  <c r="U68" i="55"/>
  <c r="T68" i="55"/>
  <c r="P68" i="55"/>
  <c r="M68" i="55"/>
  <c r="H68" i="55"/>
  <c r="AJ67" i="55"/>
  <c r="AM67" i="55" s="1"/>
  <c r="AE67" i="55"/>
  <c r="AC67" i="55"/>
  <c r="T67" i="55"/>
  <c r="P67" i="55"/>
  <c r="M67" i="55"/>
  <c r="I67" i="55"/>
  <c r="AJ66" i="55"/>
  <c r="AM66" i="55" s="1"/>
  <c r="AE66" i="55"/>
  <c r="AC66" i="55"/>
  <c r="T66" i="55"/>
  <c r="P66" i="55"/>
  <c r="M66" i="55"/>
  <c r="I66" i="55"/>
  <c r="AM65" i="55"/>
  <c r="AJ65" i="55"/>
  <c r="AE65" i="55"/>
  <c r="AC65" i="55"/>
  <c r="T65" i="55"/>
  <c r="P65" i="55"/>
  <c r="M65" i="55"/>
  <c r="I65" i="55"/>
  <c r="AM64" i="55"/>
  <c r="AJ64" i="55"/>
  <c r="AE64" i="55"/>
  <c r="AC64" i="55"/>
  <c r="AB64" i="55"/>
  <c r="AA64" i="55"/>
  <c r="Y64" i="55"/>
  <c r="T64" i="55"/>
  <c r="P64" i="55"/>
  <c r="M64" i="55"/>
  <c r="I64" i="55"/>
  <c r="AM63" i="55"/>
  <c r="AG63" i="55"/>
  <c r="AE63" i="55"/>
  <c r="AC63" i="55"/>
  <c r="AB63" i="55"/>
  <c r="AA63" i="55"/>
  <c r="Z63" i="55"/>
  <c r="T63" i="55"/>
  <c r="P63" i="55"/>
  <c r="S63" i="55" s="1"/>
  <c r="M63" i="55"/>
  <c r="N63" i="55" s="1"/>
  <c r="AJ62" i="55"/>
  <c r="AM62" i="55" s="1"/>
  <c r="AE62" i="55"/>
  <c r="AC62" i="55"/>
  <c r="AB62" i="55"/>
  <c r="AA62" i="55"/>
  <c r="Y62" i="55"/>
  <c r="T62" i="55"/>
  <c r="P62" i="55"/>
  <c r="M62" i="55"/>
  <c r="I62" i="55"/>
  <c r="AJ61" i="55"/>
  <c r="AM61" i="55" s="1"/>
  <c r="AE61" i="55"/>
  <c r="AC61" i="55"/>
  <c r="AB61" i="55"/>
  <c r="AA61" i="55"/>
  <c r="Y61" i="55"/>
  <c r="T61" i="55"/>
  <c r="P61" i="55"/>
  <c r="M61" i="55"/>
  <c r="AJ60" i="55"/>
  <c r="AM60" i="55" s="1"/>
  <c r="AE60" i="55"/>
  <c r="AC60" i="55"/>
  <c r="T60" i="55"/>
  <c r="P60" i="55"/>
  <c r="M60" i="55"/>
  <c r="I60" i="55"/>
  <c r="AJ58" i="55"/>
  <c r="AM58" i="55" s="1"/>
  <c r="AE58" i="55"/>
  <c r="AC58" i="55"/>
  <c r="T58" i="55"/>
  <c r="P58" i="55"/>
  <c r="M58" i="55"/>
  <c r="I58" i="55"/>
  <c r="AM57" i="55"/>
  <c r="AE57" i="55"/>
  <c r="AC57" i="55"/>
  <c r="AB57" i="55"/>
  <c r="AA57" i="55"/>
  <c r="Z57" i="55"/>
  <c r="T57" i="55"/>
  <c r="P57" i="55"/>
  <c r="S57" i="55" s="1"/>
  <c r="M57" i="55"/>
  <c r="AG57" i="55" s="1"/>
  <c r="AM56" i="55"/>
  <c r="AJ56" i="55"/>
  <c r="AE56" i="55"/>
  <c r="AC56" i="55"/>
  <c r="T56" i="55"/>
  <c r="P56" i="55"/>
  <c r="M56" i="55"/>
  <c r="I56" i="55"/>
  <c r="AM55" i="55"/>
  <c r="AE55" i="55"/>
  <c r="AC55" i="55"/>
  <c r="AB55" i="55"/>
  <c r="AA55" i="55"/>
  <c r="Z55" i="55"/>
  <c r="T55" i="55"/>
  <c r="P55" i="55"/>
  <c r="S55" i="55" s="1"/>
  <c r="M55" i="55"/>
  <c r="N55" i="55" s="1"/>
  <c r="AJ54" i="55"/>
  <c r="AM54" i="55" s="1"/>
  <c r="AE54" i="55"/>
  <c r="AC54" i="55"/>
  <c r="T54" i="55"/>
  <c r="P54" i="55"/>
  <c r="M54" i="55"/>
  <c r="I54" i="55"/>
  <c r="AM53" i="55"/>
  <c r="AE53" i="55"/>
  <c r="AC53" i="55"/>
  <c r="AB53" i="55"/>
  <c r="AA53" i="55"/>
  <c r="Z53" i="55"/>
  <c r="T53" i="55"/>
  <c r="P53" i="55"/>
  <c r="S53" i="55" s="1"/>
  <c r="M53" i="55"/>
  <c r="AG53" i="55" s="1"/>
  <c r="AJ52" i="55"/>
  <c r="AE52" i="55"/>
  <c r="AC52" i="55"/>
  <c r="AA52" i="55"/>
  <c r="T52" i="55"/>
  <c r="P52" i="55"/>
  <c r="M52" i="55"/>
  <c r="I52" i="55"/>
  <c r="AJ50" i="55"/>
  <c r="AM50" i="55" s="1"/>
  <c r="AE50" i="55"/>
  <c r="AC50" i="55"/>
  <c r="AB50" i="55"/>
  <c r="AA50" i="55"/>
  <c r="Y50" i="55"/>
  <c r="V50" i="55"/>
  <c r="T50" i="55"/>
  <c r="S50" i="55"/>
  <c r="M50" i="55"/>
  <c r="I50" i="55"/>
  <c r="AJ49" i="55"/>
  <c r="AM49" i="55" s="1"/>
  <c r="AE49" i="55"/>
  <c r="AC49" i="55"/>
  <c r="T49" i="55"/>
  <c r="P49" i="55"/>
  <c r="M49" i="55"/>
  <c r="I49" i="55"/>
  <c r="AJ48" i="55"/>
  <c r="AM48" i="55" s="1"/>
  <c r="AE48" i="55"/>
  <c r="AC48" i="55"/>
  <c r="AB48" i="55"/>
  <c r="AA48" i="55"/>
  <c r="Y48" i="55"/>
  <c r="T48" i="55"/>
  <c r="P48" i="55"/>
  <c r="M48" i="55"/>
  <c r="I48" i="55"/>
  <c r="AM47" i="55"/>
  <c r="AJ47" i="55"/>
  <c r="AE47" i="55"/>
  <c r="AC47" i="55"/>
  <c r="AB47" i="55"/>
  <c r="AA47" i="55"/>
  <c r="Y47" i="55"/>
  <c r="V47" i="55"/>
  <c r="T47" i="55"/>
  <c r="P47" i="55"/>
  <c r="M47" i="55"/>
  <c r="K47" i="55"/>
  <c r="I47" i="55"/>
  <c r="E47" i="55"/>
  <c r="AM46" i="55"/>
  <c r="AE46" i="55"/>
  <c r="AC46" i="55"/>
  <c r="AB46" i="55"/>
  <c r="AA46" i="55"/>
  <c r="Z46" i="55"/>
  <c r="T46" i="55"/>
  <c r="P46" i="55"/>
  <c r="S46" i="55" s="1"/>
  <c r="M46" i="55"/>
  <c r="AG46" i="55" s="1"/>
  <c r="AJ45" i="55"/>
  <c r="AM45" i="55" s="1"/>
  <c r="AE45" i="55"/>
  <c r="AC45" i="55"/>
  <c r="AB45" i="55"/>
  <c r="AA45" i="55"/>
  <c r="Y45" i="55"/>
  <c r="U45" i="55"/>
  <c r="T45" i="55"/>
  <c r="P45" i="55"/>
  <c r="M45" i="55"/>
  <c r="H45" i="55"/>
  <c r="AJ42" i="55"/>
  <c r="AM42" i="55" s="1"/>
  <c r="AE42" i="55"/>
  <c r="AC42" i="55"/>
  <c r="T42" i="55"/>
  <c r="P42" i="55"/>
  <c r="M42" i="55"/>
  <c r="I42" i="55"/>
  <c r="AJ41" i="55"/>
  <c r="AM41" i="55" s="1"/>
  <c r="AE41" i="55"/>
  <c r="AC41" i="55"/>
  <c r="AA41" i="55"/>
  <c r="T41" i="55"/>
  <c r="P41" i="55"/>
  <c r="M41" i="55"/>
  <c r="AJ40" i="55"/>
  <c r="AM40" i="55" s="1"/>
  <c r="AE40" i="55"/>
  <c r="AC40" i="55"/>
  <c r="AA40" i="55"/>
  <c r="W40" i="55"/>
  <c r="T40" i="55"/>
  <c r="P40" i="55"/>
  <c r="M40" i="55"/>
  <c r="I40" i="55"/>
  <c r="AJ39" i="55"/>
  <c r="AM39" i="55" s="1"/>
  <c r="AE39" i="55"/>
  <c r="AC39" i="55"/>
  <c r="AB39" i="55"/>
  <c r="AA39" i="55"/>
  <c r="Y39" i="55"/>
  <c r="V39" i="55"/>
  <c r="T39" i="55"/>
  <c r="P39" i="55"/>
  <c r="M39" i="55"/>
  <c r="K39" i="55"/>
  <c r="H39" i="55"/>
  <c r="AJ38" i="55"/>
  <c r="AM38" i="55" s="1"/>
  <c r="AE38" i="55"/>
  <c r="AC38" i="55"/>
  <c r="Y38" i="55"/>
  <c r="U38" i="55"/>
  <c r="T38" i="55"/>
  <c r="P38" i="55"/>
  <c r="M38" i="55"/>
  <c r="H38" i="55"/>
  <c r="I38" i="55" s="1"/>
  <c r="E38" i="55"/>
  <c r="AJ37" i="55"/>
  <c r="AM37" i="55" s="1"/>
  <c r="AE37" i="55"/>
  <c r="AC37" i="55"/>
  <c r="AB37" i="55"/>
  <c r="AA37" i="55"/>
  <c r="Y37" i="55"/>
  <c r="T37" i="55"/>
  <c r="P37" i="55"/>
  <c r="M37" i="55"/>
  <c r="K37" i="55"/>
  <c r="K9" i="55" s="1"/>
  <c r="H37" i="55"/>
  <c r="AJ36" i="55"/>
  <c r="AM36" i="55" s="1"/>
  <c r="AE36" i="55"/>
  <c r="AC36" i="55"/>
  <c r="T36" i="55"/>
  <c r="P36" i="55"/>
  <c r="M36" i="55"/>
  <c r="I36" i="55"/>
  <c r="AJ35" i="55"/>
  <c r="AM35" i="55" s="1"/>
  <c r="AE35" i="55"/>
  <c r="AC35" i="55"/>
  <c r="T35" i="55"/>
  <c r="P35" i="55"/>
  <c r="M35" i="55"/>
  <c r="I35" i="55"/>
  <c r="AJ34" i="55"/>
  <c r="AM34" i="55" s="1"/>
  <c r="AE34" i="55"/>
  <c r="AC34" i="55"/>
  <c r="AA34" i="55"/>
  <c r="T34" i="55"/>
  <c r="P34" i="55"/>
  <c r="M34" i="55"/>
  <c r="I34" i="55"/>
  <c r="AJ33" i="55"/>
  <c r="AM33" i="55" s="1"/>
  <c r="AE33" i="55"/>
  <c r="AC33" i="55"/>
  <c r="AB33" i="55"/>
  <c r="AA33" i="55"/>
  <c r="Y33" i="55"/>
  <c r="T33" i="55"/>
  <c r="P33" i="55"/>
  <c r="U33" i="55" s="1"/>
  <c r="V33" i="55" s="1"/>
  <c r="M33" i="55"/>
  <c r="H33" i="55"/>
  <c r="I33" i="55" s="1"/>
  <c r="E33" i="55"/>
  <c r="AE31" i="55"/>
  <c r="AC31" i="55"/>
  <c r="AB31" i="55"/>
  <c r="AA31" i="55"/>
  <c r="Z31" i="55"/>
  <c r="T31" i="55"/>
  <c r="S31" i="55"/>
  <c r="M31" i="55"/>
  <c r="I31" i="55"/>
  <c r="AJ30" i="55"/>
  <c r="AM30" i="55" s="1"/>
  <c r="AE30" i="55"/>
  <c r="AC30" i="55"/>
  <c r="AB30" i="55"/>
  <c r="AA30" i="55"/>
  <c r="Y30" i="55"/>
  <c r="U30" i="55"/>
  <c r="V30" i="55" s="1"/>
  <c r="T30" i="55"/>
  <c r="P30" i="55"/>
  <c r="M30" i="55"/>
  <c r="I30" i="55"/>
  <c r="H30" i="55"/>
  <c r="AJ29" i="55"/>
  <c r="AM29" i="55" s="1"/>
  <c r="AE29" i="55"/>
  <c r="AC29" i="55"/>
  <c r="T29" i="55"/>
  <c r="P29" i="55"/>
  <c r="M29" i="55"/>
  <c r="AJ28" i="55"/>
  <c r="AM28" i="55" s="1"/>
  <c r="AE28" i="55"/>
  <c r="AC28" i="55"/>
  <c r="T28" i="55"/>
  <c r="P28" i="55"/>
  <c r="M28" i="55"/>
  <c r="I28" i="55"/>
  <c r="AJ27" i="55"/>
  <c r="AM27" i="55" s="1"/>
  <c r="AE27" i="55"/>
  <c r="AC27" i="55"/>
  <c r="AB27" i="55"/>
  <c r="AA27" i="55"/>
  <c r="Y27" i="55"/>
  <c r="T27" i="55"/>
  <c r="P27" i="55"/>
  <c r="M27" i="55"/>
  <c r="I27" i="55"/>
  <c r="AJ26" i="55"/>
  <c r="AM26" i="55" s="1"/>
  <c r="AE26" i="55"/>
  <c r="AC26" i="55"/>
  <c r="AB26" i="55"/>
  <c r="AA26" i="55"/>
  <c r="Y26" i="55"/>
  <c r="T26" i="55"/>
  <c r="P26" i="55"/>
  <c r="M26" i="55"/>
  <c r="AJ25" i="55"/>
  <c r="AM25" i="55" s="1"/>
  <c r="AE25" i="55"/>
  <c r="AC25" i="55"/>
  <c r="T25" i="55"/>
  <c r="P25" i="55"/>
  <c r="M25" i="55"/>
  <c r="AJ24" i="55"/>
  <c r="AM24" i="55" s="1"/>
  <c r="AE24" i="55"/>
  <c r="AC24" i="55"/>
  <c r="AB24" i="55"/>
  <c r="AA24" i="55"/>
  <c r="Y24" i="55"/>
  <c r="T24" i="55"/>
  <c r="P24" i="55"/>
  <c r="M24" i="55"/>
  <c r="I24" i="55"/>
  <c r="AM23" i="55"/>
  <c r="AE23" i="55"/>
  <c r="AC23" i="55"/>
  <c r="AB23" i="55"/>
  <c r="AA23" i="55"/>
  <c r="Z23" i="55"/>
  <c r="T23" i="55"/>
  <c r="P23" i="55"/>
  <c r="S23" i="55" s="1"/>
  <c r="M23" i="55"/>
  <c r="AG23" i="55" s="1"/>
  <c r="AJ22" i="55"/>
  <c r="AM22" i="55" s="1"/>
  <c r="AE22" i="55"/>
  <c r="AC22" i="55"/>
  <c r="T22" i="55"/>
  <c r="P22" i="55"/>
  <c r="M22" i="55"/>
  <c r="I22" i="55"/>
  <c r="AJ21" i="55"/>
  <c r="AM21" i="55" s="1"/>
  <c r="AE21" i="55"/>
  <c r="AC21" i="55"/>
  <c r="T21" i="55"/>
  <c r="P21" i="55"/>
  <c r="M21" i="55"/>
  <c r="I21" i="55"/>
  <c r="AM20" i="55"/>
  <c r="AJ20" i="55"/>
  <c r="AE20" i="55"/>
  <c r="AC20" i="55"/>
  <c r="AB20" i="55"/>
  <c r="AA20" i="55"/>
  <c r="Y20" i="55"/>
  <c r="T20" i="55"/>
  <c r="P20" i="55"/>
  <c r="M20" i="55"/>
  <c r="I20" i="55"/>
  <c r="AJ19" i="55"/>
  <c r="AM19" i="55" s="1"/>
  <c r="AE19" i="55"/>
  <c r="AC19" i="55"/>
  <c r="U19" i="55"/>
  <c r="W19" i="55" s="1"/>
  <c r="T19" i="55"/>
  <c r="P19" i="55"/>
  <c r="Q19" i="55" s="1"/>
  <c r="Q9" i="55" s="1"/>
  <c r="M19" i="55"/>
  <c r="AJ18" i="55"/>
  <c r="AM18" i="55" s="1"/>
  <c r="AE18" i="55"/>
  <c r="AC18" i="55"/>
  <c r="AB18" i="55"/>
  <c r="AA18" i="55"/>
  <c r="Y18" i="55"/>
  <c r="Y9" i="55" s="1"/>
  <c r="T18" i="55"/>
  <c r="P18" i="55"/>
  <c r="M18" i="55"/>
  <c r="I18" i="55"/>
  <c r="AJ17" i="55"/>
  <c r="AM17" i="55" s="1"/>
  <c r="AE17" i="55"/>
  <c r="AC17" i="55"/>
  <c r="T17" i="55"/>
  <c r="P17" i="55"/>
  <c r="M17" i="55"/>
  <c r="I17" i="55"/>
  <c r="AM16" i="55"/>
  <c r="AE16" i="55"/>
  <c r="AC16" i="55"/>
  <c r="AB16" i="55"/>
  <c r="AA16" i="55"/>
  <c r="Z16" i="55"/>
  <c r="T16" i="55"/>
  <c r="P16" i="55"/>
  <c r="S16" i="55" s="1"/>
  <c r="M16" i="55"/>
  <c r="AG16" i="55" s="1"/>
  <c r="AJ15" i="55"/>
  <c r="AM15" i="55" s="1"/>
  <c r="AE15" i="55"/>
  <c r="AC15" i="55"/>
  <c r="AB15" i="55"/>
  <c r="AA15" i="55"/>
  <c r="T15" i="55"/>
  <c r="P15" i="55"/>
  <c r="M15" i="55"/>
  <c r="I15" i="55"/>
  <c r="AJ14" i="55"/>
  <c r="AM14" i="55" s="1"/>
  <c r="AE14" i="55"/>
  <c r="AC14" i="55"/>
  <c r="AC9" i="55" s="1"/>
  <c r="T14" i="55"/>
  <c r="P14" i="55"/>
  <c r="M14" i="55"/>
  <c r="M9" i="55" s="1"/>
  <c r="M12" i="55" s="1"/>
  <c r="I14" i="55"/>
  <c r="AO12" i="55"/>
  <c r="AI12" i="55"/>
  <c r="H12" i="55"/>
  <c r="E12" i="55"/>
  <c r="D12" i="55"/>
  <c r="AP9" i="55"/>
  <c r="AE9" i="55"/>
  <c r="X9" i="55"/>
  <c r="AD14" i="55" s="1"/>
  <c r="O9" i="55"/>
  <c r="Z37" i="55" s="1"/>
  <c r="H9" i="55"/>
  <c r="G9" i="55"/>
  <c r="G12" i="55" s="1"/>
  <c r="F9" i="55"/>
  <c r="F12" i="55" s="1"/>
  <c r="E9" i="55"/>
  <c r="D9" i="55"/>
  <c r="C9" i="55"/>
  <c r="AO9" i="55" s="1"/>
  <c r="B9" i="55"/>
  <c r="Z14" i="55" l="1"/>
  <c r="I9" i="55"/>
  <c r="I12" i="55" s="1"/>
  <c r="S15" i="55"/>
  <c r="S21" i="55"/>
  <c r="N34" i="55"/>
  <c r="AF34" i="55" s="1"/>
  <c r="AG35" i="55"/>
  <c r="AH35" i="55" s="1"/>
  <c r="S41" i="55"/>
  <c r="N45" i="55"/>
  <c r="AF45" i="55" s="1"/>
  <c r="N53" i="55"/>
  <c r="S20" i="55"/>
  <c r="S27" i="55"/>
  <c r="N29" i="55"/>
  <c r="AF29" i="55" s="1"/>
  <c r="AG14" i="55"/>
  <c r="AH14" i="55" s="1"/>
  <c r="N17" i="55"/>
  <c r="AF17" i="55" s="1"/>
  <c r="AG18" i="55"/>
  <c r="AH18" i="55" s="1"/>
  <c r="N22" i="55"/>
  <c r="AF22" i="55" s="1"/>
  <c r="N23" i="55"/>
  <c r="S24" i="55"/>
  <c r="N25" i="55"/>
  <c r="AF25" i="55" s="1"/>
  <c r="S26" i="55"/>
  <c r="AG77" i="55"/>
  <c r="N79" i="55"/>
  <c r="AJ12" i="55"/>
  <c r="AJ9" i="55" s="1"/>
  <c r="S14" i="55"/>
  <c r="S28" i="55"/>
  <c r="N57" i="55"/>
  <c r="AG80" i="55"/>
  <c r="N86" i="55"/>
  <c r="W9" i="55"/>
  <c r="AB19" i="55" s="1"/>
  <c r="AH9" i="55"/>
  <c r="AF9" i="55"/>
  <c r="N102" i="55"/>
  <c r="AF102" i="55" s="1"/>
  <c r="N97" i="55"/>
  <c r="AF97" i="55" s="1"/>
  <c r="N89" i="55"/>
  <c r="AF89" i="55" s="1"/>
  <c r="AG88" i="55"/>
  <c r="AH88" i="55" s="1"/>
  <c r="N88" i="55"/>
  <c r="AF88" i="55" s="1"/>
  <c r="N85" i="55"/>
  <c r="AF85" i="55" s="1"/>
  <c r="N82" i="55"/>
  <c r="AF82" i="55" s="1"/>
  <c r="AG69" i="55"/>
  <c r="AH69" i="55" s="1"/>
  <c r="AG68" i="55"/>
  <c r="AH68" i="55" s="1"/>
  <c r="N71" i="55"/>
  <c r="AF71" i="55" s="1"/>
  <c r="N62" i="55"/>
  <c r="AF62" i="55" s="1"/>
  <c r="AG61" i="55"/>
  <c r="AH61" i="55" s="1"/>
  <c r="AG52" i="55"/>
  <c r="AH52" i="55" s="1"/>
  <c r="N49" i="55"/>
  <c r="AF49" i="55" s="1"/>
  <c r="N73" i="55"/>
  <c r="AF73" i="55" s="1"/>
  <c r="AG71" i="55"/>
  <c r="AH71" i="55" s="1"/>
  <c r="N69" i="55"/>
  <c r="AF69" i="55" s="1"/>
  <c r="N68" i="55"/>
  <c r="AF68" i="55" s="1"/>
  <c r="AG66" i="55"/>
  <c r="AH66" i="55" s="1"/>
  <c r="N54" i="55"/>
  <c r="AF54" i="55" s="1"/>
  <c r="N50" i="55"/>
  <c r="AF50" i="55" s="1"/>
  <c r="N48" i="55"/>
  <c r="AF48" i="55" s="1"/>
  <c r="N65" i="55"/>
  <c r="AF65" i="55" s="1"/>
  <c r="N36" i="55"/>
  <c r="AF36" i="55" s="1"/>
  <c r="AG17" i="55"/>
  <c r="AH17" i="55" s="1"/>
  <c r="AG15" i="55"/>
  <c r="AH15" i="55" s="1"/>
  <c r="AG45" i="55"/>
  <c r="AH45" i="55" s="1"/>
  <c r="AG29" i="55"/>
  <c r="AH29" i="55" s="1"/>
  <c r="N27" i="55"/>
  <c r="AF27" i="55" s="1"/>
  <c r="AG22" i="55"/>
  <c r="AH22" i="55" s="1"/>
  <c r="N19" i="55"/>
  <c r="AF19" i="55" s="1"/>
  <c r="N14" i="55"/>
  <c r="AF14" i="55" s="1"/>
  <c r="AG41" i="55"/>
  <c r="AH41" i="55" s="1"/>
  <c r="N38" i="55"/>
  <c r="AF38" i="55" s="1"/>
  <c r="N37" i="55"/>
  <c r="AF37" i="55" s="1"/>
  <c r="AG25" i="55"/>
  <c r="AH25" i="55" s="1"/>
  <c r="AG24" i="55"/>
  <c r="AH24" i="55" s="1"/>
  <c r="AG20" i="55"/>
  <c r="AH20" i="55" s="1"/>
  <c r="AG19" i="55"/>
  <c r="AH19" i="55" s="1"/>
  <c r="N40" i="55"/>
  <c r="AF40" i="55" s="1"/>
  <c r="N28" i="55"/>
  <c r="AF28" i="55" s="1"/>
  <c r="N26" i="55"/>
  <c r="AF26" i="55" s="1"/>
  <c r="N15" i="55"/>
  <c r="AF15" i="55" s="1"/>
  <c r="N20" i="55"/>
  <c r="AF20" i="55" s="1"/>
  <c r="AM9" i="55"/>
  <c r="AN19" i="55" s="1"/>
  <c r="AO19" i="55" s="1"/>
  <c r="AN24" i="55"/>
  <c r="AD95" i="55"/>
  <c r="AA88" i="55"/>
  <c r="AA76" i="55"/>
  <c r="AA102" i="55"/>
  <c r="AA97" i="55"/>
  <c r="AA89" i="55"/>
  <c r="AD88" i="55"/>
  <c r="AA82" i="55"/>
  <c r="AD76" i="55"/>
  <c r="AD102" i="55"/>
  <c r="S99" i="55"/>
  <c r="AD97" i="55"/>
  <c r="S95" i="55"/>
  <c r="S93" i="55"/>
  <c r="S91" i="55"/>
  <c r="AA90" i="55"/>
  <c r="AD89" i="55"/>
  <c r="AA83" i="55"/>
  <c r="AD82" i="55"/>
  <c r="AA95" i="55"/>
  <c r="AD90" i="55"/>
  <c r="AD83" i="55"/>
  <c r="AD69" i="55"/>
  <c r="AD68" i="55"/>
  <c r="AA67" i="55"/>
  <c r="AD66" i="55"/>
  <c r="AD73" i="55"/>
  <c r="S69" i="55"/>
  <c r="AD60" i="55"/>
  <c r="AD56" i="55"/>
  <c r="AA49" i="55"/>
  <c r="AD42" i="55"/>
  <c r="AA69" i="55"/>
  <c r="AA68" i="55"/>
  <c r="AD67" i="55"/>
  <c r="S66" i="55"/>
  <c r="S65" i="55"/>
  <c r="S58" i="55"/>
  <c r="AA54" i="55"/>
  <c r="S52" i="55"/>
  <c r="AD49" i="55"/>
  <c r="AA73" i="55"/>
  <c r="S67" i="55"/>
  <c r="AA65" i="55"/>
  <c r="S61" i="55"/>
  <c r="S60" i="55"/>
  <c r="AA58" i="55"/>
  <c r="S56" i="55"/>
  <c r="AD54" i="55"/>
  <c r="S47" i="55"/>
  <c r="AA66" i="55"/>
  <c r="AD65" i="55"/>
  <c r="AA60" i="55"/>
  <c r="AD58" i="55"/>
  <c r="AA56" i="55"/>
  <c r="AA42" i="55"/>
  <c r="AD38" i="55"/>
  <c r="AA29" i="55"/>
  <c r="AA25" i="55"/>
  <c r="AA22" i="55"/>
  <c r="AD21" i="55"/>
  <c r="AD19" i="55"/>
  <c r="AA17" i="55"/>
  <c r="AA14" i="55"/>
  <c r="N16" i="55"/>
  <c r="N18" i="55"/>
  <c r="AF18" i="55" s="1"/>
  <c r="P9" i="55"/>
  <c r="S18" i="55"/>
  <c r="AG26" i="55"/>
  <c r="AH26" i="55" s="1"/>
  <c r="Z27" i="55"/>
  <c r="AG28" i="55"/>
  <c r="AH28" i="55" s="1"/>
  <c r="AD29" i="55"/>
  <c r="AG33" i="55"/>
  <c r="AH33" i="55" s="1"/>
  <c r="Z34" i="55"/>
  <c r="Z36" i="55"/>
  <c r="Z15" i="55"/>
  <c r="Z17" i="55"/>
  <c r="AA19" i="55"/>
  <c r="Z22" i="55"/>
  <c r="Z28" i="55"/>
  <c r="AD28" i="55"/>
  <c r="Z29" i="55"/>
  <c r="N33" i="55"/>
  <c r="AF33" i="55" s="1"/>
  <c r="N35" i="55"/>
  <c r="AF35" i="55" s="1"/>
  <c r="AA35" i="55"/>
  <c r="AA36" i="55"/>
  <c r="AG37" i="55"/>
  <c r="AN37" i="55"/>
  <c r="AO37" i="55" s="1"/>
  <c r="AG38" i="55"/>
  <c r="AH38" i="55" s="1"/>
  <c r="Z40" i="55"/>
  <c r="N41" i="55"/>
  <c r="AF41" i="55" s="1"/>
  <c r="S42" i="55"/>
  <c r="AG47" i="55"/>
  <c r="AH47" i="55" s="1"/>
  <c r="AG48" i="55"/>
  <c r="AH48" i="55" s="1"/>
  <c r="N52" i="55"/>
  <c r="AF52" i="55" s="1"/>
  <c r="S54" i="55"/>
  <c r="N56" i="55"/>
  <c r="AF56" i="55" s="1"/>
  <c r="S62" i="55"/>
  <c r="N21" i="55"/>
  <c r="AF21" i="55" s="1"/>
  <c r="AA21" i="55"/>
  <c r="S25" i="55"/>
  <c r="Z26" i="55"/>
  <c r="AN26" i="55"/>
  <c r="AG27" i="55"/>
  <c r="AH27" i="55" s="1"/>
  <c r="AA28" i="55"/>
  <c r="AN28" i="55"/>
  <c r="AO28" i="55" s="1"/>
  <c r="S30" i="55"/>
  <c r="Z30" i="55"/>
  <c r="S34" i="55"/>
  <c r="S35" i="55"/>
  <c r="S36" i="55"/>
  <c r="S39" i="55"/>
  <c r="Z39" i="55"/>
  <c r="S40" i="55"/>
  <c r="S45" i="55"/>
  <c r="S48" i="55"/>
  <c r="AG50" i="55"/>
  <c r="AH50" i="55" s="1"/>
  <c r="AN61" i="55"/>
  <c r="AG64" i="55"/>
  <c r="AH64" i="55" s="1"/>
  <c r="S71" i="55"/>
  <c r="AG76" i="55"/>
  <c r="AH76" i="55" s="1"/>
  <c r="S17" i="55"/>
  <c r="AG21" i="55"/>
  <c r="AH21" i="55" s="1"/>
  <c r="S22" i="55"/>
  <c r="N24" i="55"/>
  <c r="AF24" i="55" s="1"/>
  <c r="AD25" i="55"/>
  <c r="S29" i="55"/>
  <c r="AG30" i="55"/>
  <c r="AH30" i="55" s="1"/>
  <c r="S33" i="55"/>
  <c r="Z33" i="55"/>
  <c r="AD35" i="55"/>
  <c r="AG36" i="55"/>
  <c r="AH36" i="55" s="1"/>
  <c r="U37" i="55"/>
  <c r="V37" i="55" s="1"/>
  <c r="V9" i="55" s="1"/>
  <c r="Q37" i="55"/>
  <c r="R37" i="55" s="1"/>
  <c r="R9" i="55" s="1"/>
  <c r="S38" i="55"/>
  <c r="AA38" i="55"/>
  <c r="N42" i="55"/>
  <c r="AF42" i="55" s="1"/>
  <c r="AG42" i="55"/>
  <c r="AH42" i="55" s="1"/>
  <c r="AG49" i="55"/>
  <c r="AH49" i="55" s="1"/>
  <c r="S64" i="55"/>
  <c r="AN64" i="55"/>
  <c r="Z95" i="55"/>
  <c r="Z92" i="55"/>
  <c r="Z88" i="55"/>
  <c r="Z85" i="55"/>
  <c r="Z76" i="55"/>
  <c r="Z102" i="55"/>
  <c r="Z97" i="55"/>
  <c r="Z89" i="55"/>
  <c r="Z87" i="55"/>
  <c r="Z82" i="55"/>
  <c r="Z99" i="55"/>
  <c r="Z98" i="55"/>
  <c r="Z93" i="55"/>
  <c r="Z90" i="55"/>
  <c r="Z83" i="55"/>
  <c r="Z69" i="55"/>
  <c r="Z68" i="55"/>
  <c r="Z66" i="55"/>
  <c r="Z67" i="55"/>
  <c r="Z62" i="55"/>
  <c r="Z60" i="55"/>
  <c r="Z56" i="55"/>
  <c r="Z42" i="55"/>
  <c r="Z64" i="55"/>
  <c r="Z50" i="55"/>
  <c r="Z49" i="55"/>
  <c r="Z48" i="55"/>
  <c r="Z54" i="55"/>
  <c r="Z47" i="55"/>
  <c r="Z73" i="55"/>
  <c r="Z71" i="55"/>
  <c r="Z65" i="55"/>
  <c r="Z61" i="55"/>
  <c r="Z58" i="55"/>
  <c r="Z52" i="55"/>
  <c r="Z45" i="55"/>
  <c r="Z41" i="55"/>
  <c r="Z38" i="55"/>
  <c r="Z21" i="55"/>
  <c r="Z20" i="55"/>
  <c r="Z19" i="55"/>
  <c r="Z18" i="55"/>
  <c r="AD17" i="55"/>
  <c r="AD9" i="55" s="1"/>
  <c r="S19" i="55"/>
  <c r="AD22" i="55"/>
  <c r="AN23" i="55"/>
  <c r="AO23" i="55" s="1"/>
  <c r="Z24" i="55"/>
  <c r="Z25" i="55"/>
  <c r="N30" i="55"/>
  <c r="AF30" i="55" s="1"/>
  <c r="AG34" i="55"/>
  <c r="AH34" i="55" s="1"/>
  <c r="Z35" i="55"/>
  <c r="AD36" i="55"/>
  <c r="S37" i="55"/>
  <c r="AH37" i="55"/>
  <c r="AG39" i="55"/>
  <c r="AH39" i="55" s="1"/>
  <c r="AG40" i="55"/>
  <c r="AH40" i="55" s="1"/>
  <c r="AB40" i="55"/>
  <c r="N46" i="55"/>
  <c r="S49" i="55"/>
  <c r="AG54" i="55"/>
  <c r="AH54" i="55" s="1"/>
  <c r="AG58" i="55"/>
  <c r="AH58" i="55" s="1"/>
  <c r="N60" i="55"/>
  <c r="AF60" i="55" s="1"/>
  <c r="N67" i="55"/>
  <c r="AF67" i="55" s="1"/>
  <c r="N39" i="55"/>
  <c r="AF39" i="55" s="1"/>
  <c r="AG55" i="55"/>
  <c r="N58" i="55"/>
  <c r="AF58" i="55" s="1"/>
  <c r="N66" i="55"/>
  <c r="AF66" i="55" s="1"/>
  <c r="N70" i="55"/>
  <c r="N72" i="55"/>
  <c r="AG73" i="55"/>
  <c r="AH73" i="55" s="1"/>
  <c r="N75" i="55"/>
  <c r="AG75" i="55"/>
  <c r="S76" i="55"/>
  <c r="S82" i="55"/>
  <c r="S87" i="55"/>
  <c r="AB88" i="55"/>
  <c r="AG90" i="55"/>
  <c r="AH90" i="55" s="1"/>
  <c r="N93" i="55"/>
  <c r="AF93" i="55" s="1"/>
  <c r="AN95" i="55"/>
  <c r="AO95" i="55" s="1"/>
  <c r="AG98" i="55"/>
  <c r="AH98" i="55" s="1"/>
  <c r="AG102" i="55"/>
  <c r="AH102" i="55" s="1"/>
  <c r="AG62" i="55"/>
  <c r="AH62" i="55" s="1"/>
  <c r="N64" i="55"/>
  <c r="AF64" i="55" s="1"/>
  <c r="AG67" i="55"/>
  <c r="AH67" i="55" s="1"/>
  <c r="AN75" i="55"/>
  <c r="AO75" i="55" s="1"/>
  <c r="AN78" i="55"/>
  <c r="AO78" i="55" s="1"/>
  <c r="AG89" i="55"/>
  <c r="AH89" i="55" s="1"/>
  <c r="S90" i="55"/>
  <c r="AN90" i="55"/>
  <c r="AO90" i="55" s="1"/>
  <c r="AG97" i="55"/>
  <c r="AH97" i="55" s="1"/>
  <c r="S98" i="55"/>
  <c r="N99" i="55"/>
  <c r="AF99" i="55" s="1"/>
  <c r="S102" i="55"/>
  <c r="AN102" i="55"/>
  <c r="AO102" i="55" s="1"/>
  <c r="AG56" i="55"/>
  <c r="AH56" i="55" s="1"/>
  <c r="AG60" i="55"/>
  <c r="AH60" i="55" s="1"/>
  <c r="S68" i="55"/>
  <c r="S73" i="55"/>
  <c r="AN73" i="55"/>
  <c r="AO73" i="55" s="1"/>
  <c r="AG83" i="55"/>
  <c r="AH83" i="55" s="1"/>
  <c r="AG85" i="55"/>
  <c r="AH85" i="55" s="1"/>
  <c r="AN85" i="55"/>
  <c r="S88" i="55"/>
  <c r="S89" i="55"/>
  <c r="AN89" i="55"/>
  <c r="AO89" i="55" s="1"/>
  <c r="N92" i="55"/>
  <c r="AF92" i="55" s="1"/>
  <c r="AN92" i="55"/>
  <c r="N95" i="55"/>
  <c r="AF95" i="55" s="1"/>
  <c r="S97" i="55"/>
  <c r="AN97" i="55"/>
  <c r="AO97" i="55" s="1"/>
  <c r="AN99" i="55"/>
  <c r="N47" i="55"/>
  <c r="AF47" i="55" s="1"/>
  <c r="N61" i="55"/>
  <c r="AF61" i="55" s="1"/>
  <c r="AG65" i="55"/>
  <c r="AH65" i="55" s="1"/>
  <c r="N76" i="55"/>
  <c r="AF76" i="55" s="1"/>
  <c r="AG82" i="55"/>
  <c r="AH82" i="55" s="1"/>
  <c r="S83" i="55"/>
  <c r="AN83" i="55"/>
  <c r="AO83" i="55" s="1"/>
  <c r="S85" i="55"/>
  <c r="AG87" i="55"/>
  <c r="AH87" i="55" s="1"/>
  <c r="AN87" i="55"/>
  <c r="AN88" i="55"/>
  <c r="AO88" i="55" s="1"/>
  <c r="N91" i="55"/>
  <c r="AF91" i="55" s="1"/>
  <c r="S92" i="55"/>
  <c r="AN96" i="55"/>
  <c r="AO96" i="55" s="1"/>
  <c r="AN98" i="55"/>
  <c r="AN103" i="55"/>
  <c r="AO103" i="55" s="1"/>
  <c r="AG78" i="55"/>
  <c r="N83" i="55"/>
  <c r="AF83" i="55" s="1"/>
  <c r="N87" i="55"/>
  <c r="AF87" i="55" s="1"/>
  <c r="N90" i="55"/>
  <c r="AF90" i="55" s="1"/>
  <c r="N98" i="55"/>
  <c r="AF98" i="55" s="1"/>
  <c r="AG100" i="55"/>
  <c r="AG103" i="55"/>
  <c r="AG92" i="55"/>
  <c r="AH92" i="55" s="1"/>
  <c r="N84" i="55"/>
  <c r="AG91" i="55"/>
  <c r="AH91" i="55" s="1"/>
  <c r="AG93" i="55"/>
  <c r="AH93" i="55" s="1"/>
  <c r="AG95" i="55"/>
  <c r="AH95" i="55" s="1"/>
  <c r="AG99" i="55"/>
  <c r="AH99" i="55" s="1"/>
  <c r="AN62" i="55" l="1"/>
  <c r="AN49" i="55"/>
  <c r="AO49" i="55" s="1"/>
  <c r="AN47" i="55"/>
  <c r="AO47" i="55" s="1"/>
  <c r="AN71" i="55"/>
  <c r="Z9" i="55"/>
  <c r="AN15" i="55"/>
  <c r="AO15" i="55" s="1"/>
  <c r="S9" i="55"/>
  <c r="AN27" i="55"/>
  <c r="AO99" i="55"/>
  <c r="AQ99" i="55"/>
  <c r="AR99" i="55" s="1"/>
  <c r="AN63" i="55"/>
  <c r="AO63" i="55" s="1"/>
  <c r="AN93" i="55"/>
  <c r="AN86" i="55"/>
  <c r="AO86" i="55" s="1"/>
  <c r="AN65" i="55"/>
  <c r="AO65" i="55" s="1"/>
  <c r="AN100" i="55"/>
  <c r="AO100" i="55" s="1"/>
  <c r="AN91" i="55"/>
  <c r="AO91" i="55" s="1"/>
  <c r="AN82" i="55"/>
  <c r="AO82" i="55" s="1"/>
  <c r="AN39" i="55"/>
  <c r="AN66" i="55"/>
  <c r="AO66" i="55" s="1"/>
  <c r="AN57" i="55"/>
  <c r="AO57" i="55" s="1"/>
  <c r="AN40" i="55"/>
  <c r="AN54" i="55"/>
  <c r="AO54" i="55" s="1"/>
  <c r="AN38" i="55"/>
  <c r="AO38" i="55" s="1"/>
  <c r="AN36" i="55"/>
  <c r="AO36" i="55" s="1"/>
  <c r="AO64" i="55"/>
  <c r="AQ64" i="55"/>
  <c r="AR64" i="55" s="1"/>
  <c r="AQ47" i="55"/>
  <c r="AR47" i="55" s="1"/>
  <c r="AO26" i="55"/>
  <c r="AQ26" i="55"/>
  <c r="AO24" i="55"/>
  <c r="AQ24" i="55"/>
  <c r="AQ27" i="55"/>
  <c r="AO27" i="55"/>
  <c r="AQ15" i="55"/>
  <c r="AB102" i="55"/>
  <c r="AB97" i="55"/>
  <c r="AB89" i="55"/>
  <c r="AB82" i="55"/>
  <c r="AB73" i="55"/>
  <c r="AB98" i="55"/>
  <c r="AB91" i="55"/>
  <c r="AB90" i="55"/>
  <c r="AB83" i="55"/>
  <c r="AB95" i="55"/>
  <c r="AB76" i="55"/>
  <c r="AB69" i="55"/>
  <c r="AB54" i="55"/>
  <c r="AB65" i="55"/>
  <c r="AB58" i="55"/>
  <c r="AB52" i="55"/>
  <c r="AB66" i="55"/>
  <c r="AB60" i="55"/>
  <c r="AB56" i="55"/>
  <c r="AB67" i="55"/>
  <c r="AB49" i="55"/>
  <c r="AB35" i="55"/>
  <c r="AB34" i="55"/>
  <c r="AB38" i="55"/>
  <c r="AB14" i="55"/>
  <c r="AB42" i="55"/>
  <c r="AB28" i="55"/>
  <c r="AB21" i="55"/>
  <c r="AB41" i="55"/>
  <c r="AB36" i="55"/>
  <c r="AB29" i="55"/>
  <c r="AB22" i="55"/>
  <c r="AB25" i="55"/>
  <c r="AB17" i="55"/>
  <c r="AQ92" i="55"/>
  <c r="AR92" i="55" s="1"/>
  <c r="AO92" i="55"/>
  <c r="AQ62" i="55"/>
  <c r="AR62" i="55" s="1"/>
  <c r="AO62" i="55"/>
  <c r="AQ71" i="55"/>
  <c r="AR71" i="55" s="1"/>
  <c r="AO71" i="55"/>
  <c r="AO61" i="55"/>
  <c r="AQ61" i="55"/>
  <c r="AR61" i="55" s="1"/>
  <c r="AN84" i="55"/>
  <c r="AO84" i="55" s="1"/>
  <c r="AN76" i="55"/>
  <c r="AO76" i="55" s="1"/>
  <c r="AN70" i="55"/>
  <c r="AO70" i="55" s="1"/>
  <c r="AN69" i="55"/>
  <c r="AO69" i="55" s="1"/>
  <c r="AN68" i="55"/>
  <c r="AO68" i="55" s="1"/>
  <c r="AN56" i="55"/>
  <c r="AO56" i="55" s="1"/>
  <c r="AN55" i="55"/>
  <c r="AN52" i="55"/>
  <c r="AN72" i="55"/>
  <c r="AO72" i="55" s="1"/>
  <c r="AN67" i="55"/>
  <c r="AO67" i="55" s="1"/>
  <c r="AN60" i="55"/>
  <c r="AO60" i="55" s="1"/>
  <c r="AN53" i="55"/>
  <c r="AO53" i="55" s="1"/>
  <c r="AN46" i="55"/>
  <c r="AO46" i="55" s="1"/>
  <c r="AN45" i="55"/>
  <c r="AN42" i="55"/>
  <c r="AO42" i="55" s="1"/>
  <c r="AN25" i="55"/>
  <c r="AO25" i="55" s="1"/>
  <c r="AN20" i="55"/>
  <c r="AN16" i="55"/>
  <c r="AO16" i="55" s="1"/>
  <c r="AN22" i="55"/>
  <c r="AO22" i="55" s="1"/>
  <c r="AN34" i="55"/>
  <c r="AN18" i="55"/>
  <c r="AO98" i="55"/>
  <c r="AQ98" i="55"/>
  <c r="AQ85" i="55"/>
  <c r="AR85" i="55" s="1"/>
  <c r="AO85" i="55"/>
  <c r="AQ87" i="55"/>
  <c r="AR87" i="55" s="1"/>
  <c r="AO87" i="55"/>
  <c r="AN50" i="55"/>
  <c r="AO50" i="55" s="1"/>
  <c r="AN58" i="55"/>
  <c r="AO58" i="55" s="1"/>
  <c r="AN30" i="55"/>
  <c r="AO30" i="55" s="1"/>
  <c r="AN48" i="55"/>
  <c r="U9" i="55"/>
  <c r="AA9" i="55"/>
  <c r="AN17" i="55"/>
  <c r="AO17" i="55" s="1"/>
  <c r="AN14" i="55"/>
  <c r="AO14" i="55" s="1"/>
  <c r="AN29" i="55"/>
  <c r="AO29" i="55" s="1"/>
  <c r="AN41" i="55"/>
  <c r="AN33" i="55"/>
  <c r="AN35" i="55"/>
  <c r="AO35" i="55" s="1"/>
  <c r="AN21" i="55"/>
  <c r="AO21" i="55" s="1"/>
  <c r="AQ18" i="55" l="1"/>
  <c r="AO18" i="55"/>
  <c r="AO34" i="55"/>
  <c r="AQ34" i="55"/>
  <c r="AR34" i="55" s="1"/>
  <c r="AQ48" i="55"/>
  <c r="AR48" i="55" s="1"/>
  <c r="AO48" i="55"/>
  <c r="AO55" i="55"/>
  <c r="AQ55" i="55"/>
  <c r="AB9" i="55"/>
  <c r="AQ40" i="55"/>
  <c r="AO40" i="55"/>
  <c r="AQ33" i="55"/>
  <c r="AR33" i="55" s="1"/>
  <c r="AO33" i="55"/>
  <c r="AO45" i="55"/>
  <c r="AQ45" i="55"/>
  <c r="AO93" i="55"/>
  <c r="AQ93" i="55"/>
  <c r="AR93" i="55" s="1"/>
  <c r="AO41" i="55"/>
  <c r="AQ41" i="55"/>
  <c r="AQ20" i="55"/>
  <c r="AO20" i="55"/>
  <c r="AQ39" i="55"/>
  <c r="AO39" i="55"/>
  <c r="AO52" i="55"/>
  <c r="AQ52" i="55"/>
  <c r="AQ9" i="55" l="1"/>
  <c r="AR20" i="55"/>
</calcChain>
</file>

<file path=xl/sharedStrings.xml><?xml version="1.0" encoding="utf-8"?>
<sst xmlns="http://schemas.openxmlformats.org/spreadsheetml/2006/main" count="257" uniqueCount="156">
  <si>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</si>
  <si>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</si>
  <si>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</si>
  <si>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</si>
  <si>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</si>
  <si>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</si>
  <si>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</si>
  <si>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</si>
  <si>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</si>
  <si>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</si>
  <si>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</si>
  <si>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</si>
  <si>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</si>
  <si>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</si>
  <si>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</si>
  <si>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</si>
  <si>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</si>
  <si>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</si>
  <si>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</si>
  <si>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</si>
  <si>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</si>
  <si>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</si>
  <si>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</si>
  <si>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</si>
  <si>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</si>
  <si>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</si>
  <si>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</si>
  <si>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</si>
  <si>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</si>
  <si>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</si>
  <si>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</si>
  <si>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</si>
  <si>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</si>
  <si>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</si>
  <si>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</si>
  <si>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</si>
  <si>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</si>
  <si>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</si>
  <si>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</si>
  <si>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</si>
  <si>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</si>
  <si>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</si>
  <si>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</si>
  <si>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</si>
  <si>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</si>
  <si>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</si>
  <si>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</si>
  <si>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</si>
  <si>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</si>
  <si>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</si>
  <si>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</si>
  <si>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</si>
  <si>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</si>
  <si>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</si>
  <si>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</si>
  <si>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</si>
  <si>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</si>
  <si>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</si>
  <si>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</si>
  <si>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</si>
  <si>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</si>
  <si>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</si>
  <si>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</si>
  <si>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</si>
  <si>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</si>
  <si>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</si>
  <si>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</si>
  <si>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</si>
  <si>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</si>
  <si>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</si>
  <si>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</si>
  <si>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</si>
  <si>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
Российской Федерации</t>
  </si>
  <si>
    <t>Объем долга по рыночным обязательствам</t>
  </si>
  <si>
    <t>Объем долга по ценным бумагам</t>
  </si>
  <si>
    <t>Объем долга по кредитам кредитных организаций</t>
  </si>
  <si>
    <t>Всего, в т.ч.</t>
  </si>
  <si>
    <t>к погашению в 2015 году</t>
  </si>
  <si>
    <t>РОССИЙСКАЯ ФЕДЕРАЦИЯ</t>
  </si>
  <si>
    <t>ЦЕНТРАЛЬНЫЙ ФЕДЕРАЛЬНЫЙ ОКРУГ</t>
  </si>
  <si>
    <t>СЕВЕРО-ЗАПАДНЫЙ ФЕДЕРАЛЬНЫЙ ОКРУГ</t>
  </si>
  <si>
    <t>г. Санкт-Петербург</t>
  </si>
  <si>
    <t>ЮЖНЫЙ ФЕДЕРАЛЬНЫЙ ОКРУГ</t>
  </si>
  <si>
    <t>Республика Адыгея</t>
  </si>
  <si>
    <t>СЕВЕРО-КАВКАЗСКИЙ ФЕДЕРАЛЬНЫЙ ОКРУГ</t>
  </si>
  <si>
    <t>Республика Северная Осетия-Алания</t>
  </si>
  <si>
    <t>ПРИВОЛЖСКИЙ ФЕДЕРАЛЬНЫЙ ОКРУГ</t>
  </si>
  <si>
    <t>Республика Татарстан</t>
  </si>
  <si>
    <t>Чувашская Республика</t>
  </si>
  <si>
    <t>УРАЛЬСКИЙ ФЕДЕРАЛЬНЫЙ ОКРУГ</t>
  </si>
  <si>
    <t>Ханты-Мансийский автономный округ</t>
  </si>
  <si>
    <t>СИБИРСКИЙ ФЕДЕРАЛЬНЫЙ ОКРУГ</t>
  </si>
  <si>
    <t>ДАЛЬНЕВОСТОЧНЫЙ ФЕДЕРАЛЬНЫЙ ОКРУГ</t>
  </si>
  <si>
    <t>млн. рублей</t>
  </si>
  <si>
    <r>
      <t xml:space="preserve">8 = 3 * </t>
    </r>
    <r>
      <rPr>
        <sz val="10"/>
        <rFont val="Times New Roman"/>
        <family val="1"/>
        <charset val="204"/>
      </rPr>
      <t>50%</t>
    </r>
  </si>
  <si>
    <t>г. Москва*</t>
  </si>
  <si>
    <t>Тюменская область*</t>
  </si>
  <si>
    <t>Ямало-Ненецкий автономный округ*</t>
  </si>
  <si>
    <t>по данным Департамента гос долга</t>
  </si>
  <si>
    <r>
      <t xml:space="preserve">Объем бюджетного кредита субъекту РФ на замещение рыночных долговых обязательств с учетом предоставленных кредитов </t>
    </r>
    <r>
      <rPr>
        <i/>
        <sz val="10"/>
        <rFont val="Times New Roman"/>
        <family val="1"/>
        <charset val="204"/>
      </rPr>
      <t>(50% от подлежащей погашению в 2015 году задолженности по рыночным обязательствам)</t>
    </r>
  </si>
  <si>
    <r>
      <t xml:space="preserve">Дополнительный объем бюджетного кредита субъекту РФ на замещение рыночных долговых обязательств </t>
    </r>
    <r>
      <rPr>
        <i/>
        <sz val="10"/>
        <rFont val="Times New Roman"/>
        <family val="1"/>
        <charset val="204"/>
      </rPr>
      <t>(50% от подлежащей погашению в 2015 году задолженности по рыночным обязательствам)</t>
    </r>
  </si>
  <si>
    <r>
      <t xml:space="preserve">Расчетный объем бюджетного кредита субъекту РФ на замещение рыночных долговых обязательств </t>
    </r>
    <r>
      <rPr>
        <i/>
        <sz val="10"/>
        <rFont val="Times New Roman"/>
        <family val="1"/>
        <charset val="204"/>
      </rPr>
      <t>(50% от подлежащей погашению в 2015 году задолженности по рыночным обязательствам)</t>
    </r>
  </si>
  <si>
    <r>
      <t xml:space="preserve">Изменение объема бюджетного кредита субъекту РФ на замещение рыночных долговых обязательств </t>
    </r>
    <r>
      <rPr>
        <i/>
        <sz val="10"/>
        <rFont val="Times New Roman"/>
        <family val="1"/>
        <charset val="204"/>
      </rPr>
      <t>(50% от подлежащей погашению в 2015 году задолженности по рыночным обязательствам</t>
    </r>
    <r>
      <rPr>
        <b/>
        <sz val="10"/>
        <rFont val="Times New Roman"/>
        <family val="1"/>
        <charset val="204"/>
      </rPr>
      <t>)</t>
    </r>
  </si>
  <si>
    <t>12=3*50%</t>
  </si>
  <si>
    <r>
      <t xml:space="preserve">Уточненный объем бюджетного кредита субъекту РФ на замещение рыночных долговых обязательств с учетом ограничений объема кредитов и учетом нарушений, без предоставления кредитов субъектам нарушившим условия соглашений 2014 года**  </t>
    </r>
    <r>
      <rPr>
        <i/>
        <sz val="10"/>
        <rFont val="Times New Roman"/>
        <family val="1"/>
        <charset val="204"/>
      </rPr>
      <t>(50% от подлежащей погашению в 2015 году задолженности по рыночным обязательствам</t>
    </r>
    <r>
      <rPr>
        <b/>
        <sz val="10"/>
        <rFont val="Times New Roman"/>
        <family val="1"/>
        <charset val="204"/>
      </rPr>
      <t>)</t>
    </r>
  </si>
  <si>
    <t>9 = 3 * 50%</t>
  </si>
  <si>
    <t>13=12-8</t>
  </si>
  <si>
    <t>Распределение в соответствии с протоколом                  № 11 заседания трехсторонней комиссии по вопросам межбюджетных отношений от 10.03.2015</t>
  </si>
  <si>
    <t>ВАРИАНТ4 Дополнительное распределение субъектам, выполнившим условия соглашений 2014-2015 годов, а также досрочно погасивших кредит 2014 года (пропорционально долгу по рыночным обязательствам, подлежащим к погашению в 2015 году)</t>
  </si>
  <si>
    <t>ВАРИАНТ 3 Дополнительное распределение субъектам, выполнившим условия соглашений 2014-2015 годов, а также досрочно погасивших кредит 2014 года (пропорционально уточненному распределению)</t>
  </si>
  <si>
    <t xml:space="preserve">ВАРИАНТ 1 Дополнительное распределение всем регионам (пропорционально распределению в соответствии с протоколом № 11 ТРГ) </t>
  </si>
  <si>
    <t>ВАРИАНТ 2 Дополнительное распределение субъектам, выполнившим условия 2014-2015 годов (пропорционально распределению в соответствии с протоколом № 11 ТРГ)</t>
  </si>
  <si>
    <t>ВАРИАНТ 6 Дополнительное распределение субъектам, выполнившим условия соглашений 2014-2015 года (пропорционально долгу  по рыночным обязательствам, подлежащим к погашению в 2015 году)***</t>
  </si>
  <si>
    <t>Дополнительное распределение субъектам, выполнившим условия соглашений заключенных с Минфином России в 2014-2015 годах (пропорционально распределению в соответствии с протоколом № 11 ТРГ)</t>
  </si>
  <si>
    <r>
      <t xml:space="preserve">Уточненный объем бюджетного кредита субъекту РФ на замещение рыночных долговых обязательств с учетом изменения долговых книг субъектов Российской Федерации** </t>
    </r>
    <r>
      <rPr>
        <i/>
        <sz val="10"/>
        <rFont val="Times New Roman"/>
        <family val="1"/>
        <charset val="204"/>
      </rPr>
      <t>(50% от подлежащей погашению в 2015 году задолженности по рыночным обязательствам</t>
    </r>
    <r>
      <rPr>
        <b/>
        <sz val="10"/>
        <rFont val="Times New Roman"/>
        <family val="1"/>
        <charset val="204"/>
      </rPr>
      <t>)</t>
    </r>
  </si>
  <si>
    <r>
      <t xml:space="preserve">Отклонение  уточненного объема бюджетного кредита субъекту РФ на замещение рыночных долговых обязательств от распределенного объема на ТРГ </t>
    </r>
    <r>
      <rPr>
        <i/>
        <sz val="10"/>
        <rFont val="Times New Roman"/>
        <family val="1"/>
        <charset val="204"/>
      </rPr>
      <t/>
    </r>
  </si>
  <si>
    <t>Уточненный объем бюджетного кредита субъекту РФ на замещение рыночных долговых обязательств с учетом изменения долговых книг субъектов Российской Федерации** (50% от подлежащей погашению в 2015 году задолженности по рыночным обязательствам)</t>
  </si>
  <si>
    <t>Дополнительное распределение объема бюджетного кредита субъектам Российской Федерации на замещение рыночных обязательств, выполнившим условия соглашений заключенных с Минфином России в 2014-2015 годах (пропорционально уточненному распределению)***</t>
  </si>
  <si>
    <t>Вариант 2 с учетом уточненных объемов погашения рыночных обязательств в 2015 году</t>
  </si>
  <si>
    <t>Уровень бюджетной обеспеченности на 2015 год</t>
  </si>
  <si>
    <t>Объем рыночных обязательств подлежащих к погашению в 2015 году с учетом РБО</t>
  </si>
  <si>
    <t>% покрытия потребности погашения рыночных обязательств в 2015 году с учетом предоставления 2 траншей</t>
  </si>
  <si>
    <t xml:space="preserve">Ростовская область </t>
  </si>
  <si>
    <t>Распределение в соответствии с протоколом                  № 11 заседания трехсторонней комиссии по вопросам межбюджетных отношений от 10.03.2015 (с учетом корректировки)</t>
  </si>
  <si>
    <t xml:space="preserve">Распределение             50 000 млн.рублей бюджетных кредитов пропорционально погашению рыночных обязательств с учетом бюджетной обеспеченности </t>
  </si>
  <si>
    <t xml:space="preserve">Распределение             75 000 млн.рублей бюджетных кредитов пропорционально погашению рыночных обязательств с учетом бюджетной обеспеченности </t>
  </si>
  <si>
    <t>Распределение в соответствии с протоколом № 11 заседания трехсторонней комиссии по вопросам межбюджетных отношений от 10.03.2015</t>
  </si>
  <si>
    <t xml:space="preserve"> (млн. рублей)</t>
  </si>
  <si>
    <t>Бюджетные кредиты на замещение рыночных обязательст, подлежащие возврату в федеральный бюджет, субъектами Российской Федерации нарушившими условия соглашений на замещение рыночных обязательств 2014 года</t>
  </si>
  <si>
    <t>Остаток к погашению рыночных обязательств с учетом распределения ТРГ</t>
  </si>
  <si>
    <t>Объем бюджетных кредитов  подлежащих погашению в 2015 году</t>
  </si>
  <si>
    <t xml:space="preserve">Распределение 120 000 млн.рублей бюджетных кредитов пропорционально погашению рыночных обязательств и бюджетных кредитов с учетом бюджетной обеспеченности </t>
  </si>
  <si>
    <t>Объем помощи субъектам при отрицательной разнице между возвратом и дополнительным распределением</t>
  </si>
  <si>
    <t xml:space="preserve">Предложения по распределению бюджетных кредитов на рефинансирование задолженности по подлежащим к погашению в 2015 году рыночным заимствованиям и бюджетным кредитам
субъектов Российской Федерации </t>
  </si>
  <si>
    <t>к погашению в 2015 году*</t>
  </si>
  <si>
    <t>в т.ч. без Москвы, Тюменской области и ЯНАО**</t>
  </si>
  <si>
    <t>** Уровень расчетной бюджетной обеспеченности г. Москвы, Тюменской области и Ямало-Ненецкого автономного округа на 2015 год более чем в 2 раза превышает среднероссийское значение.</t>
  </si>
  <si>
    <t>* Уточненный объем долга по рыночным обязательствам подлежащий погашению в 2015 году в связи с уточнением субъектами Российской Федерации данных долговых книг на 01.01.2015</t>
  </si>
  <si>
    <t xml:space="preserve">*** Уточненный объем бюджетного кредита субъекту РФ на замещение долговых обязательств в 2015 году  не превышает размер определенный протоколом № 11 ТРГ. </t>
  </si>
  <si>
    <t>Нижегородская область***</t>
  </si>
  <si>
    <t>По "ВЫБОРНЫМ" регионам</t>
  </si>
  <si>
    <t>% покрытия потребности погашения бюджетных кредитов рыночных обязательств в 2015 году с учетом предоставления 2 траншей</t>
  </si>
  <si>
    <t>Принято решений о предоставлении ВСЕГО, в т.ч.</t>
  </si>
  <si>
    <t>Разница между досрочным погашением регионами- нарушителями бюджетных кредитов и распределением 120 млрд. рублей</t>
  </si>
  <si>
    <t>На рефинансирование бюджетных кредитов</t>
  </si>
  <si>
    <t xml:space="preserve">На рефинансирование досрочно погашеных регионами - нарушителями бюджетных кредитов </t>
  </si>
  <si>
    <t xml:space="preserve">На частичное погашение дефицита бюджета субъекта Российской Федерации </t>
  </si>
  <si>
    <t>Оказание помощи регионам-нарушителям досрочно вернувшим бюджетные кредиты</t>
  </si>
  <si>
    <t>Объем рыночных обязательств с учетом распределенных лимитов ТРГ 10.03.2015  и бюджетных кредитов подлежащих погашению в 2015 году  с учетом бюджетной обеспеченности</t>
  </si>
  <si>
    <t>Нижегородская область</t>
  </si>
  <si>
    <t xml:space="preserve">Распределение 120 000 млн. рублей бюджетных кредитов </t>
  </si>
  <si>
    <t xml:space="preserve">Распределение бюджетных кредитов из федерального бюджета бюджетам субъектов Российской Федерации на 2016 год  в целях рефинансирования бюджетных кредитов, а также частичного замещения долговых обязательств субъектов Российской Федерации по государственным ценным бумагам субъекта Российской Федерации и кредитам, полученным субъектом Российской Федерации от кредитных организаций, иностранных банков и международных финансовых организаций, подлежащих погашению в 2016 году      </t>
  </si>
  <si>
    <t>тыс. рублей</t>
  </si>
  <si>
    <t>г. Москва</t>
  </si>
  <si>
    <t>Ямало-Ненецкий автономный округ</t>
  </si>
  <si>
    <t>Тюменская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</si>
</sst>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"/>
    <numFmt numFmtId="165" formatCode="0.0"/>
    <numFmt numFmtId="166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charset val="204"/>
    </font>
    <font>
      <sz val="9"/>
      <name val="Arial"/>
      <family val="2"/>
      <charset val="204"/>
    </font>
    <font>
      <i/>
      <sz val="10"/>
      <name val="Times New Roman"/>
      <family val="1"/>
      <charset val="204"/>
    </font>
    <font>
      <sz val="10"/>
      <name val="Times New Roman Cyr"/>
      <family val="1"/>
      <charset val="204"/>
    </font>
    <font>
      <i/>
      <sz val="12"/>
      <color rgb="FF000000"/>
      <name val="Times New Roman"/>
      <family val="1"/>
      <charset val="204"/>
    </font>
    <font>
      <sz val="11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 Cyr"/>
      <charset val="204"/>
    </font>
    <font>
      <sz val="11"/>
      <color rgb="FFFF0000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4" fontId="0" fillId="0" borderId="1">
      <alignment horizontal="right"/>
    </xf>
    <xf numFmtId="0" fontId="2" fillId="0" borderId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4" fontId="1" fillId="0" borderId="1">
      <alignment horizontal="right"/>
    </xf>
    <xf numFmtId="44" fontId="1" fillId="0" borderId="0" applyFont="0" applyFill="0" applyBorder="0" applyAlignment="0" applyProtection="0"/>
    <xf numFmtId="0" fontId="9" fillId="0" borderId="0"/>
  </cellStyleXfs>
  <cellXfs count="108">
    <xf numFmtId="4" fontId="0" fillId="0" borderId="1" xfId="0">
      <alignment horizontal="right"/>
    </xf>
    <xf numFmtId="10" fontId="8" fillId="0" borderId="0" xfId="0" applyNumberFormat="1" applyFont="1" applyFill="1" applyBorder="1" applyAlignment="1"/>
    <xf numFmtId="4" fontId="8" fillId="0" borderId="0" xfId="0" applyFont="1" applyFill="1" applyBorder="1" applyAlignment="1"/>
    <xf numFmtId="4" fontId="4" fillId="0" borderId="0" xfId="0" applyFont="1" applyFill="1" applyBorder="1" applyAlignment="1"/>
    <xf numFmtId="4" fontId="8" fillId="2" borderId="0" xfId="0" applyFont="1" applyFill="1" applyBorder="1" applyAlignment="1"/>
    <xf numFmtId="4" fontId="8" fillId="0" borderId="1" xfId="0" applyFont="1" applyFill="1" applyBorder="1" applyAlignment="1"/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0" xfId="0" applyFont="1" applyFill="1" applyBorder="1" applyAlignment="1">
      <alignment horizontal="right" vertical="center" wrapText="1"/>
    </xf>
    <xf numFmtId="4" fontId="6" fillId="2" borderId="8" xfId="0" applyFont="1" applyFill="1" applyBorder="1" applyAlignment="1">
      <alignment vertical="center" wrapText="1"/>
    </xf>
    <xf numFmtId="4" fontId="6" fillId="2" borderId="0" xfId="0" applyFont="1" applyFill="1" applyBorder="1" applyAlignment="1">
      <alignment vertical="center" wrapText="1"/>
    </xf>
    <xf numFmtId="4" fontId="6" fillId="2" borderId="8" xfId="0" applyFont="1" applyFill="1" applyBorder="1" applyAlignment="1">
      <alignment horizontal="right" vertical="center" wrapText="1"/>
    </xf>
    <xf numFmtId="4" fontId="6" fillId="2" borderId="1" xfId="0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 applyProtection="1">
      <alignment horizontal="left" vertical="center" wrapText="1"/>
    </xf>
    <xf numFmtId="4" fontId="4" fillId="2" borderId="0" xfId="0" applyFont="1" applyFill="1" applyBorder="1" applyAlignment="1"/>
    <xf numFmtId="10" fontId="4" fillId="2" borderId="0" xfId="0" applyNumberFormat="1" applyFont="1" applyFill="1" applyBorder="1" applyAlignment="1"/>
    <xf numFmtId="0" fontId="3" fillId="2" borderId="1" xfId="2" applyNumberFormat="1" applyFont="1" applyFill="1" applyBorder="1" applyAlignment="1" applyProtection="1">
      <alignment horizontal="left" vertical="center" wrapText="1" indent="1"/>
    </xf>
    <xf numFmtId="4" fontId="3" fillId="2" borderId="1" xfId="2" applyNumberFormat="1" applyFont="1" applyFill="1" applyBorder="1" applyAlignment="1" applyProtection="1">
      <alignment horizontal="center" vertical="center" wrapText="1"/>
    </xf>
    <xf numFmtId="0" fontId="3" fillId="2" borderId="1" xfId="2" applyNumberFormat="1" applyFont="1" applyFill="1" applyBorder="1" applyAlignment="1" applyProtection="1">
      <alignment horizontal="left" vertical="center" wrapText="1"/>
    </xf>
    <xf numFmtId="0" fontId="3" fillId="2" borderId="3" xfId="2" applyNumberFormat="1" applyFont="1" applyFill="1" applyBorder="1" applyAlignment="1" applyProtection="1">
      <alignment horizontal="left" vertical="center" wrapText="1"/>
    </xf>
    <xf numFmtId="0" fontId="5" fillId="2" borderId="1" xfId="2" applyNumberFormat="1" applyFont="1" applyFill="1" applyBorder="1" applyAlignment="1" applyProtection="1">
      <alignment horizontal="left" vertical="center" wrapText="1"/>
    </xf>
    <xf numFmtId="4" fontId="5" fillId="2" borderId="1" xfId="2" applyNumberFormat="1" applyFont="1" applyFill="1" applyBorder="1" applyAlignment="1" applyProtection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15" fillId="2" borderId="1" xfId="2" applyNumberFormat="1" applyFont="1" applyFill="1" applyBorder="1" applyAlignment="1" applyProtection="1">
      <alignment horizontal="center" vertical="center" wrapText="1"/>
    </xf>
    <xf numFmtId="4" fontId="14" fillId="2" borderId="4" xfId="1" applyNumberFormat="1" applyFont="1" applyFill="1" applyBorder="1" applyAlignment="1">
      <alignment horizontal="center" vertical="center"/>
    </xf>
    <xf numFmtId="10" fontId="14" fillId="2" borderId="4" xfId="1" applyNumberFormat="1" applyFont="1" applyFill="1" applyBorder="1" applyAlignment="1">
      <alignment horizontal="center" vertical="center"/>
    </xf>
    <xf numFmtId="10" fontId="16" fillId="2" borderId="4" xfId="1" applyNumberFormat="1" applyFont="1" applyFill="1" applyBorder="1" applyAlignment="1">
      <alignment horizontal="center" vertical="center"/>
    </xf>
    <xf numFmtId="4" fontId="17" fillId="2" borderId="4" xfId="1" applyNumberFormat="1" applyFont="1" applyFill="1" applyBorder="1" applyAlignment="1">
      <alignment horizontal="center" vertical="center"/>
    </xf>
    <xf numFmtId="4" fontId="16" fillId="2" borderId="4" xfId="1" applyNumberFormat="1" applyFont="1" applyFill="1" applyBorder="1" applyAlignment="1">
      <alignment horizontal="center" vertical="center"/>
    </xf>
    <xf numFmtId="4" fontId="15" fillId="2" borderId="1" xfId="2" applyNumberFormat="1" applyFont="1" applyFill="1" applyBorder="1" applyAlignment="1" applyProtection="1">
      <alignment horizontal="center" vertical="center" wrapText="1"/>
    </xf>
    <xf numFmtId="4" fontId="5" fillId="2" borderId="4" xfId="2" applyNumberFormat="1" applyFont="1" applyFill="1" applyBorder="1" applyAlignment="1" applyProtection="1">
      <alignment horizontal="center" vertical="center" wrapText="1"/>
    </xf>
    <xf numFmtId="164" fontId="15" fillId="2" borderId="4" xfId="2" applyNumberFormat="1" applyFont="1" applyFill="1" applyBorder="1" applyAlignment="1" applyProtection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4" fillId="2" borderId="1" xfId="1" applyNumberFormat="1" applyFont="1" applyFill="1" applyBorder="1" applyAlignment="1">
      <alignment horizontal="center" vertical="center"/>
    </xf>
    <xf numFmtId="10" fontId="14" fillId="2" borderId="1" xfId="1" applyNumberFormat="1" applyFont="1" applyFill="1" applyBorder="1" applyAlignment="1">
      <alignment horizontal="center" vertical="center"/>
    </xf>
    <xf numFmtId="4" fontId="8" fillId="3" borderId="0" xfId="0" applyFont="1" applyFill="1" applyBorder="1" applyAlignment="1"/>
    <xf numFmtId="10" fontId="8" fillId="2" borderId="0" xfId="0" applyNumberFormat="1" applyFont="1" applyFill="1" applyBorder="1" applyAlignment="1"/>
    <xf numFmtId="4" fontId="14" fillId="2" borderId="0" xfId="1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 applyProtection="1">
      <alignment horizontal="left" vertical="center" wrapText="1"/>
    </xf>
    <xf numFmtId="4" fontId="12" fillId="2" borderId="0" xfId="1" applyNumberFormat="1" applyFont="1" applyFill="1" applyBorder="1" applyAlignment="1">
      <alignment horizontal="center" vertical="center"/>
    </xf>
    <xf numFmtId="10" fontId="14" fillId="2" borderId="0" xfId="1" applyNumberFormat="1" applyFont="1" applyFill="1" applyBorder="1" applyAlignment="1">
      <alignment horizontal="center" vertical="center"/>
    </xf>
    <xf numFmtId="10" fontId="8" fillId="2" borderId="0" xfId="0" applyNumberFormat="1" applyFont="1" applyFill="1" applyBorder="1" applyAlignment="1">
      <alignment horizontal="left"/>
    </xf>
    <xf numFmtId="166" fontId="18" fillId="2" borderId="0" xfId="2" applyNumberFormat="1" applyFont="1" applyFill="1" applyBorder="1" applyAlignment="1" applyProtection="1">
      <alignment horizontal="center" vertical="center" wrapText="1"/>
    </xf>
    <xf numFmtId="0" fontId="20" fillId="2" borderId="1" xfId="2" applyNumberFormat="1" applyFont="1" applyFill="1" applyBorder="1" applyAlignment="1" applyProtection="1">
      <alignment horizontal="left" vertical="center" wrapText="1"/>
    </xf>
    <xf numFmtId="165" fontId="20" fillId="2" borderId="1" xfId="2" applyNumberFormat="1" applyFont="1" applyFill="1" applyBorder="1" applyAlignment="1" applyProtection="1">
      <alignment horizontal="left" vertical="center" wrapText="1"/>
    </xf>
    <xf numFmtId="0" fontId="20" fillId="4" borderId="1" xfId="2" applyNumberFormat="1" applyFont="1" applyFill="1" applyBorder="1" applyAlignment="1" applyProtection="1">
      <alignment horizontal="left" vertical="center" wrapText="1"/>
    </xf>
    <xf numFmtId="4" fontId="14" fillId="4" borderId="4" xfId="1" applyNumberFormat="1" applyFont="1" applyFill="1" applyBorder="1" applyAlignment="1">
      <alignment horizontal="center" vertical="center"/>
    </xf>
    <xf numFmtId="4" fontId="14" fillId="4" borderId="1" xfId="1" applyNumberFormat="1" applyFont="1" applyFill="1" applyBorder="1" applyAlignment="1">
      <alignment horizontal="center" vertical="center"/>
    </xf>
    <xf numFmtId="4" fontId="17" fillId="4" borderId="4" xfId="1" applyNumberFormat="1" applyFont="1" applyFill="1" applyBorder="1" applyAlignment="1">
      <alignment horizontal="center" vertical="center"/>
    </xf>
    <xf numFmtId="4" fontId="8" fillId="4" borderId="0" xfId="0" applyFont="1" applyFill="1" applyBorder="1" applyAlignment="1"/>
    <xf numFmtId="0" fontId="3" fillId="4" borderId="1" xfId="2" applyNumberFormat="1" applyFont="1" applyFill="1" applyBorder="1" applyAlignment="1" applyProtection="1">
      <alignment horizontal="left" vertical="center" wrapText="1"/>
    </xf>
    <xf numFmtId="0" fontId="3" fillId="4" borderId="3" xfId="2" applyNumberFormat="1" applyFont="1" applyFill="1" applyBorder="1" applyAlignment="1" applyProtection="1">
      <alignment horizontal="left" vertical="center" wrapText="1"/>
    </xf>
    <xf numFmtId="4" fontId="14" fillId="4" borderId="5" xfId="1" applyNumberFormat="1" applyFont="1" applyFill="1" applyBorder="1" applyAlignment="1">
      <alignment horizontal="center" vertical="center"/>
    </xf>
    <xf numFmtId="10" fontId="14" fillId="4" borderId="4" xfId="1" applyNumberFormat="1" applyFont="1" applyFill="1" applyBorder="1" applyAlignment="1">
      <alignment horizontal="center" vertical="center"/>
    </xf>
    <xf numFmtId="10" fontId="14" fillId="4" borderId="5" xfId="1" applyNumberFormat="1" applyFont="1" applyFill="1" applyBorder="1" applyAlignment="1">
      <alignment horizontal="center" vertical="center"/>
    </xf>
    <xf numFmtId="4" fontId="5" fillId="4" borderId="1" xfId="2" applyNumberFormat="1" applyFont="1" applyFill="1" applyBorder="1" applyAlignment="1" applyProtection="1">
      <alignment horizontal="center" vertical="center" wrapText="1"/>
    </xf>
    <xf numFmtId="166" fontId="21" fillId="2" borderId="1" xfId="2" applyNumberFormat="1" applyFont="1" applyFill="1" applyBorder="1" applyAlignment="1" applyProtection="1">
      <alignment horizontal="center" vertical="center" wrapText="1"/>
    </xf>
    <xf numFmtId="166" fontId="21" fillId="4" borderId="1" xfId="2" applyNumberFormat="1" applyFont="1" applyFill="1" applyBorder="1" applyAlignment="1" applyProtection="1">
      <alignment horizontal="center" vertical="center" wrapText="1"/>
    </xf>
    <xf numFmtId="164" fontId="21" fillId="2" borderId="1" xfId="2" applyNumberFormat="1" applyFont="1" applyFill="1" applyBorder="1" applyAlignment="1" applyProtection="1">
      <alignment horizontal="center" vertical="center" wrapText="1"/>
    </xf>
    <xf numFmtId="4" fontId="8" fillId="4" borderId="1" xfId="0" applyFont="1" applyFill="1" applyBorder="1" applyAlignment="1"/>
    <xf numFmtId="17" fontId="6" fillId="2" borderId="3" xfId="0" applyNumberFormat="1" applyFont="1" applyFill="1" applyBorder="1" applyAlignment="1">
      <alignment horizontal="center" vertical="center" wrapText="1"/>
    </xf>
    <xf numFmtId="17" fontId="6" fillId="2" borderId="4" xfId="0" applyNumberFormat="1" applyFont="1" applyFill="1" applyBorder="1" applyAlignment="1">
      <alignment horizontal="center" vertical="center" wrapText="1"/>
    </xf>
    <xf numFmtId="4" fontId="4" fillId="2" borderId="0" xfId="0" applyFont="1" applyFill="1" applyBorder="1" applyAlignment="1">
      <alignment horizontal="left" vertical="center" wrapText="1"/>
    </xf>
    <xf numFmtId="4" fontId="6" fillId="2" borderId="3" xfId="0" applyFont="1" applyFill="1" applyBorder="1" applyAlignment="1">
      <alignment horizontal="center" vertical="center" wrapText="1"/>
    </xf>
    <xf numFmtId="4" fontId="6" fillId="2" borderId="4" xfId="0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4" fontId="14" fillId="5" borderId="4" xfId="3" applyNumberFormat="1" applyFont="1" applyFill="1" applyBorder="1" applyAlignment="1">
      <alignment horizontal="center" vertical="center"/>
    </xf>
    <xf numFmtId="4" fontId="14" fillId="5" borderId="1" xfId="3" applyNumberFormat="1" applyFont="1" applyFill="1" applyBorder="1" applyAlignment="1">
      <alignment horizontal="center" vertical="center"/>
    </xf>
    <xf numFmtId="4" fontId="19" fillId="2" borderId="4" xfId="2" applyNumberFormat="1" applyFont="1" applyFill="1" applyBorder="1" applyAlignment="1" applyProtection="1">
      <alignment horizontal="center" vertical="center" wrapText="1"/>
    </xf>
    <xf numFmtId="4" fontId="14" fillId="6" borderId="4" xfId="3" applyNumberFormat="1" applyFont="1" applyFill="1" applyBorder="1" applyAlignment="1">
      <alignment horizontal="center" vertical="center"/>
    </xf>
    <xf numFmtId="4" fontId="4" fillId="2" borderId="1" xfId="0" applyFont="1" applyFill="1" applyBorder="1" applyAlignment="1"/>
    <xf numFmtId="4" fontId="14" fillId="7" borderId="1" xfId="3" applyNumberFormat="1" applyFont="1" applyFill="1" applyBorder="1" applyAlignment="1">
      <alignment horizontal="center" vertical="center"/>
    </xf>
    <xf numFmtId="4" fontId="14" fillId="7" borderId="4" xfId="3" applyNumberFormat="1" applyFont="1" applyFill="1" applyBorder="1" applyAlignment="1">
      <alignment horizontal="center" vertical="center"/>
    </xf>
    <xf numFmtId="4" fontId="14" fillId="7" borderId="5" xfId="3" applyNumberFormat="1" applyFont="1" applyFill="1" applyBorder="1" applyAlignment="1">
      <alignment horizontal="center" vertical="center"/>
    </xf>
    <xf numFmtId="4" fontId="4" fillId="2" borderId="0" xfId="0" applyFont="1" applyFill="1" applyBorder="1" applyAlignment="1">
      <alignment horizontal="left" vertical="center" wrapText="1"/>
    </xf>
    <xf numFmtId="4" fontId="4" fillId="2" borderId="0" xfId="0" applyFont="1" applyFill="1" applyBorder="1" applyAlignment="1">
      <alignment horizontal="left" wrapText="1"/>
    </xf>
    <xf numFmtId="49" fontId="23" fillId="2" borderId="0" xfId="0" applyNumberFormat="1" applyFont="1" applyFill="1" applyBorder="1" applyAlignment="1">
      <alignment horizontal="right" vertical="center" wrapText="1"/>
    </xf>
    <xf numFmtId="4" fontId="4" fillId="2" borderId="0" xfId="0" applyFont="1" applyFill="1" applyBorder="1" applyAlignment="1">
      <alignment horizontal="left" vertical="center" wrapText="1"/>
    </xf>
    <xf numFmtId="4" fontId="4" fillId="2" borderId="0" xfId="0" applyFont="1" applyFill="1" applyBorder="1" applyAlignment="1">
      <alignment horizontal="left" wrapText="1"/>
    </xf>
    <xf numFmtId="49" fontId="23" fillId="2" borderId="0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Border="1" applyAlignment="1">
      <alignment horizontal="center" vertical="center" wrapText="1"/>
    </xf>
    <xf numFmtId="4" fontId="4" fillId="2" borderId="0" xfId="0" applyFont="1" applyFill="1" applyBorder="1" applyAlignment="1">
      <alignment horizontal="left" vertical="center" wrapText="1"/>
    </xf>
    <xf numFmtId="4" fontId="4" fillId="2" borderId="0" xfId="0" applyFont="1" applyFill="1" applyBorder="1" applyAlignment="1">
      <alignment horizontal="left" wrapText="1"/>
    </xf>
    <xf numFmtId="4" fontId="24" fillId="2" borderId="0" xfId="0" applyFont="1" applyFill="1" applyBorder="1" applyAlignment="1">
      <alignment horizontal="left" wrapText="1"/>
    </xf>
    <xf numFmtId="17" fontId="6" fillId="2" borderId="3" xfId="0" applyNumberFormat="1" applyFont="1" applyFill="1" applyBorder="1" applyAlignment="1">
      <alignment horizontal="center" vertical="center" wrapText="1"/>
    </xf>
    <xf numFmtId="17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Font="1" applyFill="1" applyBorder="1" applyAlignment="1">
      <alignment horizontal="center" vertical="center" wrapText="1"/>
    </xf>
    <xf numFmtId="4" fontId="6" fillId="2" borderId="3" xfId="0" applyFont="1" applyFill="1" applyBorder="1" applyAlignment="1">
      <alignment horizontal="center" vertical="center" wrapText="1"/>
    </xf>
    <xf numFmtId="0" fontId="5" fillId="4" borderId="2" xfId="2" applyNumberFormat="1" applyFont="1" applyFill="1" applyBorder="1" applyAlignment="1" applyProtection="1">
      <alignment horizontal="right" vertical="center" wrapText="1"/>
    </xf>
    <xf numFmtId="0" fontId="5" fillId="4" borderId="6" xfId="2" applyNumberFormat="1" applyFont="1" applyFill="1" applyBorder="1" applyAlignment="1" applyProtection="1">
      <alignment horizontal="right" vertical="center" wrapText="1"/>
    </xf>
    <xf numFmtId="0" fontId="5" fillId="4" borderId="7" xfId="2" applyNumberFormat="1" applyFont="1" applyFill="1" applyBorder="1" applyAlignment="1" applyProtection="1">
      <alignment horizontal="right" vertical="center" wrapText="1"/>
    </xf>
    <xf numFmtId="0" fontId="5" fillId="2" borderId="2" xfId="2" applyNumberFormat="1" applyFont="1" applyFill="1" applyBorder="1" applyAlignment="1" applyProtection="1">
      <alignment horizontal="right" vertical="center" wrapText="1"/>
    </xf>
    <xf numFmtId="0" fontId="5" fillId="2" borderId="6" xfId="2" applyNumberFormat="1" applyFont="1" applyFill="1" applyBorder="1" applyAlignment="1" applyProtection="1">
      <alignment horizontal="right" vertical="center" wrapText="1"/>
    </xf>
    <xf numFmtId="0" fontId="5" fillId="2" borderId="7" xfId="2" applyNumberFormat="1" applyFont="1" applyFill="1" applyBorder="1" applyAlignment="1" applyProtection="1">
      <alignment horizontal="right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4" fontId="6" fillId="2" borderId="2" xfId="0" applyFont="1" applyFill="1" applyBorder="1" applyAlignment="1">
      <alignment horizontal="center" vertical="center" wrapText="1"/>
    </xf>
    <xf numFmtId="4" fontId="6" fillId="2" borderId="7" xfId="0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" fontId="26" fillId="2" borderId="1" xfId="0" applyFont="1" applyFill="1" applyBorder="1" applyAlignment="1">
      <alignment horizontal="center" vertical="center" wrapText="1"/>
    </xf>
    <xf numFmtId="17" fontId="26" fillId="2" borderId="1" xfId="0" applyNumberFormat="1" applyFont="1" applyFill="1" applyBorder="1" applyAlignment="1">
      <alignment horizontal="center" vertical="center" wrapText="1"/>
    </xf>
    <xf numFmtId="3" fontId="26" fillId="2" borderId="1" xfId="2" applyNumberFormat="1" applyFont="1" applyFill="1" applyBorder="1" applyAlignment="1" applyProtection="1">
      <alignment horizontal="center" vertical="center" wrapText="1"/>
    </xf>
    <xf numFmtId="3" fontId="28" fillId="2" borderId="1" xfId="1" applyNumberFormat="1" applyFont="1" applyFill="1" applyBorder="1" applyAlignment="1">
      <alignment horizontal="center" vertical="center"/>
    </xf>
    <xf numFmtId="0" fontId="27" fillId="2" borderId="0" xfId="2" applyNumberFormat="1" applyFont="1" applyFill="1" applyBorder="1" applyAlignment="1" applyProtection="1">
      <alignment horizontal="left" vertical="center" wrapText="1"/>
    </xf>
    <xf numFmtId="4" fontId="28" fillId="2" borderId="0" xfId="1" applyNumberFormat="1" applyFont="1" applyFill="1" applyBorder="1" applyAlignment="1">
      <alignment horizontal="center" vertical="center"/>
    </xf>
    <xf numFmtId="0" fontId="26" fillId="2" borderId="1" xfId="2" applyNumberFormat="1" applyFont="1" applyFill="1" applyBorder="1" applyAlignment="1" applyProtection="1">
      <alignment vertical="center" wrapText="1"/>
    </xf>
    <xf numFmtId="0" fontId="27" fillId="2" borderId="1" xfId="2" applyNumberFormat="1" applyFont="1" applyFill="1" applyBorder="1" applyAlignment="1" applyProtection="1">
      <alignment vertical="center" wrapText="1"/>
    </xf>
    <xf numFmtId="165" fontId="27" fillId="2" borderId="1" xfId="2" applyNumberFormat="1" applyFont="1" applyFill="1" applyBorder="1" applyAlignment="1" applyProtection="1">
      <alignment vertical="center" wrapText="1"/>
    </xf>
  </cellXfs>
  <cellStyles count="8">
    <cellStyle name="Денежный" xfId="2" builtinId="4"/>
    <cellStyle name="Денежный 2" xfId="6"/>
    <cellStyle name="Обычный" xfId="0" builtinId="0"/>
    <cellStyle name="Обычный 2" xfId="1"/>
    <cellStyle name="Обычный 2 2" xfId="3"/>
    <cellStyle name="Обычный 3" xfId="5"/>
    <cellStyle name="Обычный 4" xfId="4"/>
    <cellStyle name="Обычный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"/>
  <sheetViews>
    <sheetView tabSelected="1" view="pageBreakPreview" zoomScale="70" zoomScaleNormal="100" zoomScaleSheetLayoutView="70" workbookViewId="0">
      <selection activeCell="F20" sqref="F20"/>
    </sheetView>
  </sheetViews>
  <sheetFormatPr defaultColWidth="9.140625" defaultRowHeight="12.75" x14ac:dyDescent="0.2"/>
  <cols>
    <col min="1" max="1" width="78.5703125" style="13" customWidth="1"/>
    <col min="2" max="2" width="43.7109375" style="14" customWidth="1"/>
    <col min="3" max="16384" width="9.140625" style="13"/>
  </cols>
  <sheetData>
    <row r="1" spans="1:2" ht="15.75" x14ac:dyDescent="0.2">
      <c r="A1" s="79"/>
    </row>
    <row r="2" spans="1:2" ht="14.25" customHeight="1" x14ac:dyDescent="0.2">
      <c r="A2" s="80" t="s">
        <v>151</v>
      </c>
      <c r="B2" s="80"/>
    </row>
    <row r="3" spans="1:2" ht="114.75" customHeight="1" x14ac:dyDescent="0.2">
      <c r="A3" s="80"/>
      <c r="B3" s="80"/>
    </row>
    <row r="4" spans="1:2" ht="15" customHeight="1" x14ac:dyDescent="0.2">
      <c r="A4" s="79"/>
      <c r="B4" s="76" t="s">
        <v>152</v>
      </c>
    </row>
    <row r="5" spans="1:2" ht="82.5" customHeight="1" x14ac:dyDescent="0.2">
      <c r="A5" s="99" t="s">
        <v>72</v>
      </c>
      <c r="B5" s="100" t="s">
        <v>150</v>
      </c>
    </row>
    <row r="6" spans="1:2" ht="20.25" customHeight="1" x14ac:dyDescent="0.2">
      <c r="A6" s="99"/>
      <c r="B6" s="100"/>
    </row>
    <row r="7" spans="1:2" x14ac:dyDescent="0.2">
      <c r="A7" s="6">
        <v>1</v>
      </c>
      <c r="B7" s="6">
        <v>2</v>
      </c>
    </row>
    <row r="8" spans="1:2" ht="20.25" x14ac:dyDescent="0.2">
      <c r="A8" s="105" t="s">
        <v>78</v>
      </c>
      <c r="B8" s="101">
        <v>120000000</v>
      </c>
    </row>
    <row r="9" spans="1:2" ht="20.25" x14ac:dyDescent="0.2">
      <c r="A9" s="106" t="s">
        <v>79</v>
      </c>
      <c r="B9" s="102"/>
    </row>
    <row r="10" spans="1:2" ht="20.25" x14ac:dyDescent="0.2">
      <c r="A10" s="106" t="s">
        <v>0</v>
      </c>
      <c r="B10" s="102">
        <v>1305698</v>
      </c>
    </row>
    <row r="11" spans="1:2" ht="20.25" x14ac:dyDescent="0.2">
      <c r="A11" s="106" t="s">
        <v>1</v>
      </c>
      <c r="B11" s="102">
        <v>1883908</v>
      </c>
    </row>
    <row r="12" spans="1:2" ht="20.25" x14ac:dyDescent="0.2">
      <c r="A12" s="106" t="s">
        <v>2</v>
      </c>
      <c r="B12" s="102">
        <v>425804</v>
      </c>
    </row>
    <row r="13" spans="1:2" ht="20.25" x14ac:dyDescent="0.2">
      <c r="A13" s="106" t="s">
        <v>3</v>
      </c>
      <c r="B13" s="102">
        <v>1293643</v>
      </c>
    </row>
    <row r="14" spans="1:2" ht="20.25" x14ac:dyDescent="0.2">
      <c r="A14" s="106" t="s">
        <v>4</v>
      </c>
      <c r="B14" s="102">
        <v>69210</v>
      </c>
    </row>
    <row r="15" spans="1:2" ht="20.25" x14ac:dyDescent="0.2">
      <c r="A15" s="106" t="s">
        <v>5</v>
      </c>
      <c r="B15" s="102">
        <v>1515793</v>
      </c>
    </row>
    <row r="16" spans="1:2" ht="20.25" x14ac:dyDescent="0.2">
      <c r="A16" s="106" t="s">
        <v>6</v>
      </c>
      <c r="B16" s="102">
        <v>795957</v>
      </c>
    </row>
    <row r="17" spans="1:2" ht="20.25" x14ac:dyDescent="0.2">
      <c r="A17" s="106" t="s">
        <v>7</v>
      </c>
      <c r="B17" s="102"/>
    </row>
    <row r="18" spans="1:2" ht="20.25" x14ac:dyDescent="0.2">
      <c r="A18" s="106" t="s">
        <v>8</v>
      </c>
      <c r="B18" s="102">
        <v>986024</v>
      </c>
    </row>
    <row r="19" spans="1:2" ht="20.25" x14ac:dyDescent="0.2">
      <c r="A19" s="106" t="s">
        <v>9</v>
      </c>
      <c r="B19" s="102">
        <v>2197331</v>
      </c>
    </row>
    <row r="20" spans="1:2" ht="20.25" x14ac:dyDescent="0.2">
      <c r="A20" s="106" t="s">
        <v>10</v>
      </c>
      <c r="B20" s="102">
        <v>1498940</v>
      </c>
    </row>
    <row r="21" spans="1:2" ht="20.25" x14ac:dyDescent="0.2">
      <c r="A21" s="106" t="s">
        <v>11</v>
      </c>
      <c r="B21" s="102">
        <v>2665669</v>
      </c>
    </row>
    <row r="22" spans="1:2" ht="20.25" x14ac:dyDescent="0.2">
      <c r="A22" s="106" t="s">
        <v>12</v>
      </c>
      <c r="B22" s="102">
        <v>3688893</v>
      </c>
    </row>
    <row r="23" spans="1:2" ht="20.25" x14ac:dyDescent="0.2">
      <c r="A23" s="106" t="s">
        <v>13</v>
      </c>
      <c r="B23" s="102">
        <v>775955</v>
      </c>
    </row>
    <row r="24" spans="1:2" ht="20.25" x14ac:dyDescent="0.2">
      <c r="A24" s="106" t="s">
        <v>14</v>
      </c>
      <c r="B24" s="102">
        <v>3024821</v>
      </c>
    </row>
    <row r="25" spans="1:2" ht="20.25" x14ac:dyDescent="0.2">
      <c r="A25" s="106" t="s">
        <v>15</v>
      </c>
      <c r="B25" s="102">
        <v>2220460</v>
      </c>
    </row>
    <row r="26" spans="1:2" ht="20.25" x14ac:dyDescent="0.2">
      <c r="A26" s="106" t="s">
        <v>16</v>
      </c>
      <c r="B26" s="102">
        <v>1307310</v>
      </c>
    </row>
    <row r="27" spans="1:2" ht="20.25" x14ac:dyDescent="0.2">
      <c r="A27" s="106" t="s">
        <v>153</v>
      </c>
      <c r="B27" s="102"/>
    </row>
    <row r="28" spans="1:2" ht="20.25" x14ac:dyDescent="0.2">
      <c r="A28" s="106" t="s">
        <v>80</v>
      </c>
      <c r="B28" s="102"/>
    </row>
    <row r="29" spans="1:2" ht="15.75" customHeight="1" x14ac:dyDescent="0.2">
      <c r="A29" s="107" t="s">
        <v>17</v>
      </c>
      <c r="B29" s="102">
        <v>1542136</v>
      </c>
    </row>
    <row r="30" spans="1:2" ht="20.25" x14ac:dyDescent="0.2">
      <c r="A30" s="106" t="s">
        <v>18</v>
      </c>
      <c r="B30" s="102">
        <v>2233834</v>
      </c>
    </row>
    <row r="31" spans="1:2" ht="20.25" x14ac:dyDescent="0.2">
      <c r="A31" s="106" t="s">
        <v>19</v>
      </c>
      <c r="B31" s="102">
        <v>2668053</v>
      </c>
    </row>
    <row r="32" spans="1:2" ht="20.25" x14ac:dyDescent="0.2">
      <c r="A32" s="106" t="s">
        <v>20</v>
      </c>
      <c r="B32" s="102">
        <v>3603054</v>
      </c>
    </row>
    <row r="33" spans="1:2" ht="20.25" x14ac:dyDescent="0.2">
      <c r="A33" s="106" t="s">
        <v>21</v>
      </c>
      <c r="B33" s="102">
        <v>976076</v>
      </c>
    </row>
    <row r="34" spans="1:2" ht="20.25" x14ac:dyDescent="0.2">
      <c r="A34" s="106" t="s">
        <v>22</v>
      </c>
      <c r="B34" s="102">
        <v>630461</v>
      </c>
    </row>
    <row r="35" spans="1:2" ht="20.25" x14ac:dyDescent="0.2">
      <c r="A35" s="106" t="s">
        <v>23</v>
      </c>
      <c r="B35" s="102">
        <v>1439748</v>
      </c>
    </row>
    <row r="36" spans="1:2" ht="20.25" x14ac:dyDescent="0.2">
      <c r="A36" s="106" t="s">
        <v>24</v>
      </c>
      <c r="B36" s="102">
        <v>1522274</v>
      </c>
    </row>
    <row r="37" spans="1:2" ht="20.25" x14ac:dyDescent="0.2">
      <c r="A37" s="106" t="s">
        <v>25</v>
      </c>
      <c r="B37" s="102">
        <v>1520030</v>
      </c>
    </row>
    <row r="38" spans="1:2" ht="20.25" x14ac:dyDescent="0.2">
      <c r="A38" s="106" t="s">
        <v>81</v>
      </c>
      <c r="B38" s="102"/>
    </row>
    <row r="39" spans="1:2" ht="20.25" x14ac:dyDescent="0.2">
      <c r="A39" s="106" t="s">
        <v>26</v>
      </c>
      <c r="B39" s="102"/>
    </row>
    <row r="40" spans="1:2" ht="20.25" x14ac:dyDescent="0.2">
      <c r="A40" s="106" t="s">
        <v>82</v>
      </c>
      <c r="B40" s="102"/>
    </row>
    <row r="41" spans="1:2" ht="20.25" x14ac:dyDescent="0.2">
      <c r="A41" s="106" t="s">
        <v>83</v>
      </c>
      <c r="B41" s="102">
        <v>163802</v>
      </c>
    </row>
    <row r="42" spans="1:2" ht="20.25" x14ac:dyDescent="0.2">
      <c r="A42" s="106" t="s">
        <v>27</v>
      </c>
      <c r="B42" s="102">
        <v>405462</v>
      </c>
    </row>
    <row r="43" spans="1:2" ht="20.25" x14ac:dyDescent="0.2">
      <c r="A43" s="106" t="s">
        <v>28</v>
      </c>
      <c r="B43" s="102">
        <v>3215744</v>
      </c>
    </row>
    <row r="44" spans="1:2" ht="20.25" x14ac:dyDescent="0.2">
      <c r="A44" s="106" t="s">
        <v>29</v>
      </c>
      <c r="B44" s="102">
        <v>800854</v>
      </c>
    </row>
    <row r="45" spans="1:2" ht="20.25" x14ac:dyDescent="0.2">
      <c r="A45" s="106" t="s">
        <v>30</v>
      </c>
      <c r="B45" s="102">
        <v>3047857</v>
      </c>
    </row>
    <row r="46" spans="1:2" ht="20.25" x14ac:dyDescent="0.2">
      <c r="A46" s="106" t="s">
        <v>122</v>
      </c>
      <c r="B46" s="102">
        <v>2206035</v>
      </c>
    </row>
    <row r="47" spans="1:2" ht="20.25" x14ac:dyDescent="0.2">
      <c r="A47" s="106" t="s">
        <v>84</v>
      </c>
      <c r="B47" s="102"/>
    </row>
    <row r="48" spans="1:2" ht="20.25" x14ac:dyDescent="0.2">
      <c r="A48" s="106" t="s">
        <v>31</v>
      </c>
      <c r="B48" s="102">
        <v>1043647</v>
      </c>
    </row>
    <row r="49" spans="1:2" ht="20.25" x14ac:dyDescent="0.2">
      <c r="A49" s="106" t="s">
        <v>32</v>
      </c>
      <c r="B49" s="102">
        <v>289873</v>
      </c>
    </row>
    <row r="50" spans="1:2" ht="20.25" x14ac:dyDescent="0.2">
      <c r="A50" s="106" t="s">
        <v>33</v>
      </c>
      <c r="B50" s="102">
        <v>840487</v>
      </c>
    </row>
    <row r="51" spans="1:2" ht="20.25" x14ac:dyDescent="0.2">
      <c r="A51" s="106" t="s">
        <v>34</v>
      </c>
      <c r="B51" s="102">
        <v>984886</v>
      </c>
    </row>
    <row r="52" spans="1:2" ht="20.25" x14ac:dyDescent="0.2">
      <c r="A52" s="106" t="s">
        <v>85</v>
      </c>
      <c r="B52" s="102">
        <v>461403</v>
      </c>
    </row>
    <row r="53" spans="1:2" ht="20.25" x14ac:dyDescent="0.2">
      <c r="A53" s="106" t="s">
        <v>35</v>
      </c>
      <c r="B53" s="102">
        <v>772344</v>
      </c>
    </row>
    <row r="54" spans="1:2" ht="20.25" x14ac:dyDescent="0.2">
      <c r="A54" s="106" t="s">
        <v>36</v>
      </c>
      <c r="B54" s="102">
        <v>2522655</v>
      </c>
    </row>
    <row r="55" spans="1:2" ht="20.25" x14ac:dyDescent="0.2">
      <c r="A55" s="106" t="s">
        <v>86</v>
      </c>
      <c r="B55" s="102"/>
    </row>
    <row r="56" spans="1:2" ht="20.25" x14ac:dyDescent="0.2">
      <c r="A56" s="106" t="s">
        <v>37</v>
      </c>
      <c r="B56" s="102">
        <v>1281996</v>
      </c>
    </row>
    <row r="57" spans="1:2" ht="20.25" x14ac:dyDescent="0.2">
      <c r="A57" s="106" t="s">
        <v>38</v>
      </c>
      <c r="B57" s="102">
        <v>731773</v>
      </c>
    </row>
    <row r="58" spans="1:2" ht="20.25" x14ac:dyDescent="0.2">
      <c r="A58" s="106" t="s">
        <v>39</v>
      </c>
      <c r="B58" s="102">
        <v>1976491</v>
      </c>
    </row>
    <row r="59" spans="1:2" ht="20.25" x14ac:dyDescent="0.2">
      <c r="A59" s="106" t="s">
        <v>87</v>
      </c>
      <c r="B59" s="102">
        <v>440504</v>
      </c>
    </row>
    <row r="60" spans="1:2" ht="20.25" x14ac:dyDescent="0.2">
      <c r="A60" s="106" t="s">
        <v>40</v>
      </c>
      <c r="B60" s="102">
        <v>2861499</v>
      </c>
    </row>
    <row r="61" spans="1:2" ht="20.25" x14ac:dyDescent="0.2">
      <c r="A61" s="106" t="s">
        <v>88</v>
      </c>
      <c r="B61" s="102">
        <v>411433</v>
      </c>
    </row>
    <row r="62" spans="1:2" ht="20.25" x14ac:dyDescent="0.2">
      <c r="A62" s="106" t="s">
        <v>41</v>
      </c>
      <c r="B62" s="102">
        <v>155917</v>
      </c>
    </row>
    <row r="63" spans="1:2" ht="20.25" x14ac:dyDescent="0.2">
      <c r="A63" s="106" t="s">
        <v>42</v>
      </c>
      <c r="B63" s="102">
        <v>366732</v>
      </c>
    </row>
    <row r="64" spans="1:2" ht="20.25" x14ac:dyDescent="0.2">
      <c r="A64" s="106" t="s">
        <v>149</v>
      </c>
      <c r="B64" s="102">
        <v>2631308</v>
      </c>
    </row>
    <row r="65" spans="1:2" ht="20.25" x14ac:dyDescent="0.2">
      <c r="A65" s="106" t="s">
        <v>43</v>
      </c>
      <c r="B65" s="102">
        <v>759297</v>
      </c>
    </row>
    <row r="66" spans="1:2" ht="20.25" x14ac:dyDescent="0.2">
      <c r="A66" s="106" t="s">
        <v>44</v>
      </c>
      <c r="B66" s="102">
        <v>1409243</v>
      </c>
    </row>
    <row r="67" spans="1:2" ht="20.25" x14ac:dyDescent="0.2">
      <c r="A67" s="106" t="s">
        <v>45</v>
      </c>
      <c r="B67" s="102">
        <v>1358789</v>
      </c>
    </row>
    <row r="68" spans="1:2" ht="20.25" x14ac:dyDescent="0.2">
      <c r="A68" s="106" t="s">
        <v>46</v>
      </c>
      <c r="B68" s="102">
        <v>2165963</v>
      </c>
    </row>
    <row r="69" spans="1:2" ht="20.25" x14ac:dyDescent="0.2">
      <c r="A69" s="106" t="s">
        <v>47</v>
      </c>
      <c r="B69" s="102">
        <v>1809849</v>
      </c>
    </row>
    <row r="70" spans="1:2" ht="44.25" customHeight="1" x14ac:dyDescent="0.2">
      <c r="A70" s="106" t="s">
        <v>89</v>
      </c>
      <c r="B70" s="102"/>
    </row>
    <row r="71" spans="1:2" ht="20.25" x14ac:dyDescent="0.2">
      <c r="A71" s="106" t="s">
        <v>48</v>
      </c>
      <c r="B71" s="102">
        <v>414923</v>
      </c>
    </row>
    <row r="72" spans="1:2" ht="20.25" x14ac:dyDescent="0.2">
      <c r="A72" s="106" t="s">
        <v>49</v>
      </c>
      <c r="B72" s="102">
        <v>3005165</v>
      </c>
    </row>
    <row r="73" spans="1:2" ht="20.25" x14ac:dyDescent="0.2">
      <c r="A73" s="106" t="s">
        <v>155</v>
      </c>
      <c r="B73" s="102"/>
    </row>
    <row r="74" spans="1:2" ht="20.25" x14ac:dyDescent="0.2">
      <c r="A74" s="106" t="s">
        <v>50</v>
      </c>
      <c r="B74" s="102">
        <v>2575892</v>
      </c>
    </row>
    <row r="75" spans="1:2" ht="20.25" x14ac:dyDescent="0.2">
      <c r="A75" s="106" t="s">
        <v>90</v>
      </c>
      <c r="B75" s="102">
        <v>675170</v>
      </c>
    </row>
    <row r="76" spans="1:2" ht="20.25" x14ac:dyDescent="0.2">
      <c r="A76" s="106" t="s">
        <v>154</v>
      </c>
      <c r="B76" s="102"/>
    </row>
    <row r="77" spans="1:2" ht="38.25" customHeight="1" x14ac:dyDescent="0.2">
      <c r="A77" s="106" t="s">
        <v>91</v>
      </c>
      <c r="B77" s="102"/>
    </row>
    <row r="78" spans="1:2" ht="20.25" x14ac:dyDescent="0.2">
      <c r="A78" s="106" t="s">
        <v>51</v>
      </c>
      <c r="B78" s="102">
        <v>113825</v>
      </c>
    </row>
    <row r="79" spans="1:2" ht="20.25" x14ac:dyDescent="0.2">
      <c r="A79" s="106" t="s">
        <v>52</v>
      </c>
      <c r="B79" s="102">
        <v>567433</v>
      </c>
    </row>
    <row r="80" spans="1:2" ht="20.25" x14ac:dyDescent="0.2">
      <c r="A80" s="106" t="s">
        <v>53</v>
      </c>
      <c r="B80" s="102">
        <v>211853</v>
      </c>
    </row>
    <row r="81" spans="1:2" ht="20.25" x14ac:dyDescent="0.2">
      <c r="A81" s="106" t="s">
        <v>54</v>
      </c>
      <c r="B81" s="102">
        <v>615120</v>
      </c>
    </row>
    <row r="82" spans="1:2" ht="20.25" x14ac:dyDescent="0.2">
      <c r="A82" s="106" t="s">
        <v>55</v>
      </c>
      <c r="B82" s="102">
        <v>242354</v>
      </c>
    </row>
    <row r="83" spans="1:2" ht="20.25" x14ac:dyDescent="0.2">
      <c r="A83" s="106" t="s">
        <v>56</v>
      </c>
      <c r="B83" s="102">
        <v>3471069</v>
      </c>
    </row>
    <row r="84" spans="1:2" ht="20.25" x14ac:dyDescent="0.2">
      <c r="A84" s="106" t="s">
        <v>57</v>
      </c>
      <c r="B84" s="102">
        <v>3493069</v>
      </c>
    </row>
    <row r="85" spans="1:2" ht="20.25" x14ac:dyDescent="0.2">
      <c r="A85" s="106" t="s">
        <v>58</v>
      </c>
      <c r="B85" s="102">
        <v>1759839</v>
      </c>
    </row>
    <row r="86" spans="1:2" ht="20.25" x14ac:dyDescent="0.2">
      <c r="A86" s="106" t="s">
        <v>59</v>
      </c>
      <c r="B86" s="102">
        <v>3528493</v>
      </c>
    </row>
    <row r="87" spans="1:2" ht="20.25" x14ac:dyDescent="0.2">
      <c r="A87" s="106" t="s">
        <v>60</v>
      </c>
      <c r="B87" s="102">
        <v>4396180</v>
      </c>
    </row>
    <row r="88" spans="1:2" ht="20.25" x14ac:dyDescent="0.2">
      <c r="A88" s="106" t="s">
        <v>61</v>
      </c>
      <c r="B88" s="102">
        <v>5704670</v>
      </c>
    </row>
    <row r="89" spans="1:2" ht="20.25" x14ac:dyDescent="0.2">
      <c r="A89" s="106" t="s">
        <v>62</v>
      </c>
      <c r="B89" s="102">
        <v>1174442</v>
      </c>
    </row>
    <row r="90" spans="1:2" ht="20.25" x14ac:dyDescent="0.2">
      <c r="A90" s="106" t="s">
        <v>92</v>
      </c>
      <c r="B90" s="102"/>
    </row>
    <row r="91" spans="1:2" ht="20.25" x14ac:dyDescent="0.2">
      <c r="A91" s="106" t="s">
        <v>63</v>
      </c>
      <c r="B91" s="102">
        <v>3230454</v>
      </c>
    </row>
    <row r="92" spans="1:2" ht="20.25" x14ac:dyDescent="0.2">
      <c r="A92" s="106" t="s">
        <v>64</v>
      </c>
      <c r="B92" s="102"/>
    </row>
    <row r="93" spans="1:2" ht="20.25" x14ac:dyDescent="0.2">
      <c r="A93" s="106" t="s">
        <v>65</v>
      </c>
      <c r="B93" s="102"/>
    </row>
    <row r="94" spans="1:2" ht="20.25" x14ac:dyDescent="0.2">
      <c r="A94" s="106" t="s">
        <v>66</v>
      </c>
      <c r="B94" s="102">
        <v>99589</v>
      </c>
    </row>
    <row r="95" spans="1:2" ht="20.25" x14ac:dyDescent="0.2">
      <c r="A95" s="106" t="s">
        <v>67</v>
      </c>
      <c r="B95" s="102">
        <v>4987567</v>
      </c>
    </row>
    <row r="96" spans="1:2" ht="20.25" x14ac:dyDescent="0.2">
      <c r="A96" s="106" t="s">
        <v>68</v>
      </c>
      <c r="B96" s="102">
        <v>679328</v>
      </c>
    </row>
    <row r="97" spans="1:2" ht="20.25" x14ac:dyDescent="0.2">
      <c r="A97" s="106" t="s">
        <v>69</v>
      </c>
      <c r="B97" s="102"/>
    </row>
    <row r="98" spans="1:2" ht="20.25" x14ac:dyDescent="0.2">
      <c r="A98" s="106" t="s">
        <v>70</v>
      </c>
      <c r="B98" s="102">
        <v>291459</v>
      </c>
    </row>
    <row r="99" spans="1:2" s="70" customFormat="1" ht="20.25" x14ac:dyDescent="0.2">
      <c r="A99" s="106" t="s">
        <v>71</v>
      </c>
      <c r="B99" s="102">
        <v>1855181</v>
      </c>
    </row>
    <row r="100" spans="1:2" ht="20.25" hidden="1" x14ac:dyDescent="0.2">
      <c r="A100" s="103"/>
      <c r="B100" s="104"/>
    </row>
    <row r="101" spans="1:2" ht="5.25" customHeight="1" x14ac:dyDescent="0.2">
      <c r="A101" s="103"/>
      <c r="B101" s="104"/>
    </row>
    <row r="102" spans="1:2" ht="12.75" hidden="1" customHeight="1" x14ac:dyDescent="0.2">
      <c r="A102" s="78" t="s">
        <v>137</v>
      </c>
      <c r="B102" s="75"/>
    </row>
    <row r="103" spans="1:2" ht="30.75" customHeight="1" x14ac:dyDescent="0.25">
      <c r="A103" s="83"/>
      <c r="B103" s="83"/>
    </row>
    <row r="104" spans="1:2" ht="12.75" hidden="1" customHeight="1" x14ac:dyDescent="0.2">
      <c r="A104" s="77" t="s">
        <v>138</v>
      </c>
      <c r="B104" s="74"/>
    </row>
    <row r="105" spans="1:2" s="14" customFormat="1" x14ac:dyDescent="0.2">
      <c r="A105" s="13"/>
    </row>
  </sheetData>
  <mergeCells count="4">
    <mergeCell ref="B5:B6"/>
    <mergeCell ref="A103:B103"/>
    <mergeCell ref="A2:B3"/>
    <mergeCell ref="A5:A6"/>
  </mergeCells>
  <printOptions horizontalCentered="1"/>
  <pageMargins left="0" right="0" top="0.27559055118110237" bottom="0.15748031496062992" header="0.15748031496062992" footer="0.27559055118110237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08"/>
  <sheetViews>
    <sheetView view="pageBreakPreview" topLeftCell="A2" zoomScale="70" zoomScaleNormal="100" zoomScaleSheetLayoutView="70" workbookViewId="0">
      <selection activeCell="AK15" sqref="AK15"/>
    </sheetView>
  </sheetViews>
  <sheetFormatPr defaultColWidth="9.140625" defaultRowHeight="12.75" x14ac:dyDescent="0.2"/>
  <cols>
    <col min="1" max="1" width="44.85546875" style="13" customWidth="1"/>
    <col min="2" max="2" width="13.140625" style="13" customWidth="1"/>
    <col min="3" max="3" width="11.7109375" style="13" customWidth="1"/>
    <col min="4" max="4" width="11.28515625" style="13" hidden="1" customWidth="1"/>
    <col min="5" max="5" width="11.7109375" style="13" hidden="1" customWidth="1"/>
    <col min="6" max="6" width="12.42578125" style="13" hidden="1" customWidth="1"/>
    <col min="7" max="7" width="11.28515625" style="13" hidden="1" customWidth="1"/>
    <col min="8" max="8" width="13.28515625" style="13" hidden="1" customWidth="1"/>
    <col min="9" max="9" width="12.42578125" style="13" hidden="1" customWidth="1"/>
    <col min="10" max="10" width="30.140625" style="13" hidden="1" customWidth="1"/>
    <col min="11" max="11" width="31.85546875" style="13" hidden="1" customWidth="1"/>
    <col min="12" max="12" width="11.85546875" style="13" hidden="1" customWidth="1"/>
    <col min="13" max="13" width="16.42578125" style="13" hidden="1" customWidth="1"/>
    <col min="14" max="14" width="28.7109375" style="13" hidden="1" customWidth="1"/>
    <col min="15" max="15" width="30.140625" style="13" hidden="1" customWidth="1"/>
    <col min="16" max="16" width="40.85546875" style="14" hidden="1" customWidth="1"/>
    <col min="17" max="17" width="41.28515625" style="14" hidden="1" customWidth="1"/>
    <col min="18" max="18" width="40.85546875" style="14" hidden="1" customWidth="1"/>
    <col min="19" max="19" width="38.7109375" style="14" hidden="1" customWidth="1"/>
    <col min="20" max="20" width="9" style="14" hidden="1" customWidth="1"/>
    <col min="21" max="21" width="48.28515625" style="14" hidden="1" customWidth="1"/>
    <col min="22" max="22" width="28.5703125" style="14" hidden="1" customWidth="1"/>
    <col min="23" max="23" width="61.42578125" style="14" hidden="1" customWidth="1"/>
    <col min="24" max="24" width="48.28515625" style="14" hidden="1" customWidth="1"/>
    <col min="25" max="25" width="40" style="14" hidden="1" customWidth="1"/>
    <col min="26" max="26" width="26.7109375" style="14" hidden="1" customWidth="1"/>
    <col min="27" max="27" width="34.42578125" style="14" hidden="1" customWidth="1"/>
    <col min="28" max="28" width="40.5703125" style="14" hidden="1" customWidth="1"/>
    <col min="29" max="29" width="47.5703125" style="14" hidden="1" customWidth="1"/>
    <col min="30" max="30" width="51" style="14" hidden="1" customWidth="1"/>
    <col min="31" max="31" width="39.7109375" style="35" hidden="1" customWidth="1"/>
    <col min="32" max="32" width="22.28515625" style="35" hidden="1" customWidth="1"/>
    <col min="33" max="33" width="28.7109375" style="35" hidden="1" customWidth="1"/>
    <col min="34" max="34" width="22.28515625" style="35" hidden="1" customWidth="1"/>
    <col min="35" max="37" width="16.42578125" style="35" customWidth="1"/>
    <col min="38" max="38" width="12.28515625" style="13" customWidth="1"/>
    <col min="39" max="39" width="15.7109375" style="35" customWidth="1"/>
    <col min="40" max="40" width="20.7109375" style="35" customWidth="1"/>
    <col min="41" max="41" width="18" style="35" customWidth="1"/>
    <col min="42" max="42" width="20.5703125" style="35" customWidth="1"/>
    <col min="43" max="44" width="18.85546875" style="35" customWidth="1"/>
    <col min="45" max="45" width="15.42578125" style="35" customWidth="1"/>
    <col min="46" max="46" width="18.5703125" style="35" customWidth="1"/>
    <col min="47" max="47" width="19.42578125" style="2" customWidth="1"/>
    <col min="48" max="48" width="23.7109375" style="2" customWidth="1"/>
    <col min="49" max="16384" width="9.140625" style="2"/>
  </cols>
  <sheetData>
    <row r="1" spans="1:48" ht="15.75" hidden="1" x14ac:dyDescent="0.2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L1" s="35"/>
    </row>
    <row r="2" spans="1:48" ht="14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L2" s="35"/>
    </row>
    <row r="3" spans="1:48" ht="57.75" customHeight="1" x14ac:dyDescent="0.2">
      <c r="A3" s="98" t="s">
        <v>133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</row>
    <row r="4" spans="1:48" ht="14.25" hidden="1" customHeight="1" x14ac:dyDescent="0.2">
      <c r="A4" s="94" t="s">
        <v>118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8" ht="22.5" customHeight="1" x14ac:dyDescent="0.2">
      <c r="A5" s="8"/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0"/>
      <c r="P5" s="10"/>
      <c r="Q5" s="10" t="s">
        <v>93</v>
      </c>
      <c r="R5" s="10" t="s">
        <v>93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10"/>
      <c r="AM5" s="7"/>
      <c r="AN5" s="7"/>
      <c r="AO5" s="7"/>
      <c r="AP5" s="7"/>
      <c r="AQ5" s="7"/>
      <c r="AR5" s="7"/>
      <c r="AS5" s="7"/>
      <c r="AT5" s="7"/>
      <c r="AU5" s="7"/>
      <c r="AV5" s="7" t="s">
        <v>127</v>
      </c>
    </row>
    <row r="6" spans="1:48" ht="69" customHeight="1" x14ac:dyDescent="0.2">
      <c r="A6" s="87" t="s">
        <v>72</v>
      </c>
      <c r="B6" s="95" t="s">
        <v>73</v>
      </c>
      <c r="C6" s="96"/>
      <c r="D6" s="95" t="s">
        <v>74</v>
      </c>
      <c r="E6" s="96"/>
      <c r="F6" s="87" t="s">
        <v>98</v>
      </c>
      <c r="G6" s="95" t="s">
        <v>75</v>
      </c>
      <c r="H6" s="96"/>
      <c r="I6" s="87" t="s">
        <v>98</v>
      </c>
      <c r="J6" s="62" t="s">
        <v>107</v>
      </c>
      <c r="K6" s="87" t="s">
        <v>123</v>
      </c>
      <c r="L6" s="87" t="s">
        <v>119</v>
      </c>
      <c r="M6" s="87" t="s">
        <v>120</v>
      </c>
      <c r="N6" s="87" t="s">
        <v>124</v>
      </c>
      <c r="O6" s="87" t="s">
        <v>107</v>
      </c>
      <c r="P6" s="84" t="s">
        <v>101</v>
      </c>
      <c r="Q6" s="84" t="s">
        <v>99</v>
      </c>
      <c r="R6" s="84" t="s">
        <v>100</v>
      </c>
      <c r="S6" s="84" t="s">
        <v>113</v>
      </c>
      <c r="T6" s="59"/>
      <c r="U6" s="84" t="s">
        <v>114</v>
      </c>
      <c r="V6" s="97" t="s">
        <v>115</v>
      </c>
      <c r="W6" s="97" t="s">
        <v>104</v>
      </c>
      <c r="X6" s="64" t="s">
        <v>116</v>
      </c>
      <c r="Y6" s="97" t="s">
        <v>102</v>
      </c>
      <c r="Z6" s="84" t="s">
        <v>110</v>
      </c>
      <c r="AA6" s="84" t="s">
        <v>111</v>
      </c>
      <c r="AB6" s="84" t="s">
        <v>109</v>
      </c>
      <c r="AC6" s="84" t="s">
        <v>108</v>
      </c>
      <c r="AD6" s="84" t="s">
        <v>117</v>
      </c>
      <c r="AE6" s="84" t="s">
        <v>112</v>
      </c>
      <c r="AF6" s="84" t="s">
        <v>121</v>
      </c>
      <c r="AG6" s="87" t="s">
        <v>125</v>
      </c>
      <c r="AH6" s="84" t="s">
        <v>121</v>
      </c>
      <c r="AI6" s="84" t="s">
        <v>126</v>
      </c>
      <c r="AJ6" s="84" t="s">
        <v>129</v>
      </c>
      <c r="AK6" s="84" t="s">
        <v>130</v>
      </c>
      <c r="AL6" s="87" t="s">
        <v>119</v>
      </c>
      <c r="AM6" s="84" t="s">
        <v>148</v>
      </c>
      <c r="AN6" s="87" t="s">
        <v>131</v>
      </c>
      <c r="AO6" s="84" t="s">
        <v>141</v>
      </c>
      <c r="AP6" s="87" t="s">
        <v>128</v>
      </c>
      <c r="AQ6" s="84" t="s">
        <v>143</v>
      </c>
      <c r="AR6" s="84" t="s">
        <v>147</v>
      </c>
      <c r="AS6" s="84" t="s">
        <v>142</v>
      </c>
      <c r="AT6" s="84" t="s">
        <v>144</v>
      </c>
      <c r="AU6" s="84" t="s">
        <v>145</v>
      </c>
      <c r="AV6" s="84" t="s">
        <v>146</v>
      </c>
    </row>
    <row r="7" spans="1:48" ht="87" customHeight="1" x14ac:dyDescent="0.2">
      <c r="A7" s="86"/>
      <c r="B7" s="11" t="s">
        <v>76</v>
      </c>
      <c r="C7" s="11" t="s">
        <v>134</v>
      </c>
      <c r="D7" s="11" t="s">
        <v>76</v>
      </c>
      <c r="E7" s="11" t="s">
        <v>77</v>
      </c>
      <c r="F7" s="86"/>
      <c r="G7" s="11" t="s">
        <v>76</v>
      </c>
      <c r="H7" s="11" t="s">
        <v>77</v>
      </c>
      <c r="I7" s="86"/>
      <c r="J7" s="63"/>
      <c r="K7" s="86"/>
      <c r="L7" s="86"/>
      <c r="M7" s="86"/>
      <c r="N7" s="86"/>
      <c r="O7" s="86"/>
      <c r="P7" s="86"/>
      <c r="Q7" s="86"/>
      <c r="R7" s="86"/>
      <c r="S7" s="85"/>
      <c r="T7" s="60"/>
      <c r="U7" s="85"/>
      <c r="V7" s="97"/>
      <c r="W7" s="97"/>
      <c r="X7" s="64"/>
      <c r="Y7" s="97"/>
      <c r="Z7" s="85"/>
      <c r="AA7" s="85"/>
      <c r="AB7" s="85"/>
      <c r="AC7" s="85"/>
      <c r="AD7" s="85"/>
      <c r="AE7" s="85"/>
      <c r="AF7" s="85"/>
      <c r="AG7" s="86"/>
      <c r="AH7" s="85"/>
      <c r="AI7" s="85"/>
      <c r="AJ7" s="85"/>
      <c r="AK7" s="85"/>
      <c r="AL7" s="86"/>
      <c r="AM7" s="85"/>
      <c r="AN7" s="86"/>
      <c r="AO7" s="85"/>
      <c r="AP7" s="86"/>
      <c r="AQ7" s="85"/>
      <c r="AR7" s="85"/>
      <c r="AS7" s="85"/>
      <c r="AT7" s="85"/>
      <c r="AU7" s="85"/>
      <c r="AV7" s="85"/>
    </row>
    <row r="8" spans="1:48" s="4" customForma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6</v>
      </c>
      <c r="H8" s="6">
        <v>7</v>
      </c>
      <c r="I8" s="6">
        <v>9</v>
      </c>
      <c r="J8" s="6">
        <v>8</v>
      </c>
      <c r="K8" s="6">
        <v>2</v>
      </c>
      <c r="L8" s="6">
        <v>9</v>
      </c>
      <c r="M8" s="6">
        <v>10</v>
      </c>
      <c r="N8" s="6">
        <v>5</v>
      </c>
      <c r="O8" s="6">
        <v>2</v>
      </c>
      <c r="P8" s="11" t="s">
        <v>105</v>
      </c>
      <c r="Q8" s="11" t="s">
        <v>94</v>
      </c>
      <c r="R8" s="11" t="s">
        <v>94</v>
      </c>
      <c r="S8" s="6">
        <v>9</v>
      </c>
      <c r="T8" s="6"/>
      <c r="U8" s="6">
        <v>3</v>
      </c>
      <c r="V8" s="11">
        <v>4</v>
      </c>
      <c r="W8" s="11" t="s">
        <v>103</v>
      </c>
      <c r="X8" s="11" t="s">
        <v>105</v>
      </c>
      <c r="Y8" s="11" t="s">
        <v>106</v>
      </c>
      <c r="Z8" s="6">
        <v>10</v>
      </c>
      <c r="AA8" s="6">
        <v>11</v>
      </c>
      <c r="AB8" s="6">
        <v>12</v>
      </c>
      <c r="AC8" s="6">
        <v>13</v>
      </c>
      <c r="AD8" s="6">
        <v>4</v>
      </c>
      <c r="AE8" s="6">
        <v>15</v>
      </c>
      <c r="AF8" s="6">
        <v>6</v>
      </c>
      <c r="AG8" s="6">
        <v>7</v>
      </c>
      <c r="AH8" s="6">
        <v>8</v>
      </c>
      <c r="AI8" s="6">
        <v>4</v>
      </c>
      <c r="AJ8" s="6">
        <v>5</v>
      </c>
      <c r="AK8" s="6">
        <v>6</v>
      </c>
      <c r="AL8" s="6">
        <v>7</v>
      </c>
      <c r="AM8" s="6">
        <v>8</v>
      </c>
      <c r="AN8" s="6">
        <v>9</v>
      </c>
      <c r="AO8" s="6">
        <v>10</v>
      </c>
      <c r="AP8" s="6">
        <v>11</v>
      </c>
      <c r="AQ8" s="6">
        <v>12</v>
      </c>
      <c r="AR8" s="6">
        <v>13</v>
      </c>
      <c r="AS8" s="6">
        <v>14</v>
      </c>
      <c r="AT8" s="6">
        <v>15</v>
      </c>
      <c r="AU8" s="6">
        <v>16</v>
      </c>
      <c r="AV8" s="6">
        <v>17</v>
      </c>
    </row>
    <row r="9" spans="1:48" ht="15" x14ac:dyDescent="0.2">
      <c r="A9" s="19" t="s">
        <v>78</v>
      </c>
      <c r="B9" s="20">
        <f>SUM(B14:B103)</f>
        <v>1331450.0885899994</v>
      </c>
      <c r="C9" s="20">
        <f>SUM(C14:C103)</f>
        <v>332118.64520999999</v>
      </c>
      <c r="D9" s="20">
        <f>SUM(D14:D103)</f>
        <v>443363.51699999999</v>
      </c>
      <c r="E9" s="20">
        <f t="shared" ref="E9:G9" si="0">SUM(E14:E103)</f>
        <v>101205.26600000002</v>
      </c>
      <c r="F9" s="20">
        <f t="shared" si="0"/>
        <v>11127.5</v>
      </c>
      <c r="G9" s="20">
        <f t="shared" si="0"/>
        <v>888086.57158999983</v>
      </c>
      <c r="H9" s="20">
        <f>SUM(H14:H103)</f>
        <v>230913.37920999998</v>
      </c>
      <c r="I9" s="20">
        <f>SUM(I14:I103)</f>
        <v>228943.77520999999</v>
      </c>
      <c r="J9" s="20">
        <v>148287.01882167</v>
      </c>
      <c r="K9" s="20" t="e">
        <f>SUM(K14:K103)</f>
        <v>#REF!</v>
      </c>
      <c r="L9" s="20"/>
      <c r="M9" s="20">
        <f>SUM(M14:M103)</f>
        <v>379898.07712042844</v>
      </c>
      <c r="N9" s="20">
        <v>50000</v>
      </c>
      <c r="O9" s="20">
        <f>SUM(O14:O103)</f>
        <v>148287.01882167</v>
      </c>
      <c r="P9" s="20">
        <f>SUM(P14:P103)</f>
        <v>152564.45210500003</v>
      </c>
      <c r="Q9" s="20" t="e">
        <f t="shared" ref="Q9:R9" si="1">SUM(Q14:Q103)</f>
        <v>#REF!</v>
      </c>
      <c r="R9" s="20">
        <f t="shared" si="1"/>
        <v>12877.574000000001</v>
      </c>
      <c r="S9" s="20">
        <f t="shared" ref="S9" si="2">SUM(S13:S103)</f>
        <v>22905.874843456761</v>
      </c>
      <c r="T9" s="20"/>
      <c r="U9" s="20" t="e">
        <f>SUM(U14:U103)</f>
        <v>#REF!</v>
      </c>
      <c r="V9" s="20">
        <f>SUM(V14:V103)</f>
        <v>-3334.8896666700002</v>
      </c>
      <c r="W9" s="20">
        <f>SUM(W14:W103)</f>
        <v>89528.113150000005</v>
      </c>
      <c r="X9" s="20">
        <f>SUM(X13:X103)</f>
        <v>78014.238199999993</v>
      </c>
      <c r="Y9" s="20">
        <f>SUM(Y14:Y103)</f>
        <v>-56891.823066670004</v>
      </c>
      <c r="Z9" s="20">
        <f t="shared" ref="Z9:AA9" si="3">SUM(Z13:Z103)</f>
        <v>11712.98</v>
      </c>
      <c r="AA9" s="20">
        <f t="shared" si="3"/>
        <v>11712.98</v>
      </c>
      <c r="AB9" s="20">
        <f>SUM(AB13:AB103)</f>
        <v>13511.27</v>
      </c>
      <c r="AC9" s="20" t="e">
        <f>SUM(AC13:AC103)</f>
        <v>#REF!</v>
      </c>
      <c r="AD9" s="20">
        <f>SUM(AD13:AD103)</f>
        <v>15047.87</v>
      </c>
      <c r="AE9" s="20" t="e">
        <f>SUM(AE13:AE103)</f>
        <v>#REF!</v>
      </c>
      <c r="AF9" s="25" t="e">
        <f>(K9+N9)/C12</f>
        <v>#REF!</v>
      </c>
      <c r="AG9" s="20">
        <v>75000</v>
      </c>
      <c r="AH9" s="25" t="e">
        <f>(K9+AG9)/C9</f>
        <v>#REF!</v>
      </c>
      <c r="AI9" s="27">
        <v>148287.01882167</v>
      </c>
      <c r="AJ9" s="20">
        <f>AJ12</f>
        <v>148851.88538833003</v>
      </c>
      <c r="AK9" s="29">
        <v>99714.259485999995</v>
      </c>
      <c r="AL9" s="23"/>
      <c r="AM9" s="20">
        <f>SUM(AM14:AM103)</f>
        <v>300224.5875685059</v>
      </c>
      <c r="AN9" s="29">
        <v>120000</v>
      </c>
      <c r="AO9" s="25">
        <f>(AN9+AI9)/(C9+AK9)</f>
        <v>0.62127507168666918</v>
      </c>
      <c r="AP9" s="20">
        <f>SUM(AP14:AP103)</f>
        <v>63333</v>
      </c>
      <c r="AQ9" s="20">
        <f>SUM(AQ14:AQ103)</f>
        <v>-19775.015447559341</v>
      </c>
      <c r="AR9" s="20"/>
      <c r="AS9" s="20">
        <f>SUM(AS10:AS103)</f>
        <v>43688.597999999998</v>
      </c>
      <c r="AT9" s="20">
        <f t="shared" ref="AT9:AU9" si="4">SUM(AT10:AT103)</f>
        <v>14060.598000000002</v>
      </c>
      <c r="AU9" s="20">
        <f t="shared" si="4"/>
        <v>3875.2</v>
      </c>
      <c r="AV9" s="20">
        <f>SUM(AV10:AV103)</f>
        <v>25752.799999999999</v>
      </c>
    </row>
    <row r="10" spans="1:48" ht="15" customHeight="1" x14ac:dyDescent="0.2">
      <c r="A10" s="91" t="s">
        <v>132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3"/>
      <c r="AQ10" s="20">
        <f>AQ20+AQ33+AQ34+AQ47+AQ48+AQ61+AQ62+AQ64+AQ71+AQ85+AQ87+AQ92+AQ93+AQ99</f>
        <v>-30247.390823718106</v>
      </c>
      <c r="AR10" s="20">
        <f>AR20+AR33+AR34+AR47+AR48+AR61+AR62+AR64+AR71+AR85+AR87+AR92+AR93+AR99</f>
        <v>-23793.540913579716</v>
      </c>
      <c r="AS10" s="20"/>
      <c r="AT10" s="20"/>
      <c r="AU10" s="5"/>
      <c r="AV10" s="5"/>
    </row>
    <row r="11" spans="1:48" s="48" customFormat="1" ht="15" customHeight="1" x14ac:dyDescent="0.2">
      <c r="A11" s="88" t="s">
        <v>140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90"/>
      <c r="AQ11" s="54">
        <f>AQ20+AQ99</f>
        <v>-1205.8203865236635</v>
      </c>
      <c r="AR11" s="54">
        <f>AR20+AR99</f>
        <v>-1205.8203865236635</v>
      </c>
      <c r="AS11" s="54"/>
      <c r="AT11" s="54"/>
      <c r="AU11" s="58"/>
      <c r="AV11" s="58"/>
    </row>
    <row r="12" spans="1:48" ht="29.25" customHeight="1" x14ac:dyDescent="0.2">
      <c r="A12" s="19" t="s">
        <v>135</v>
      </c>
      <c r="B12" s="20">
        <v>1160687.4066899994</v>
      </c>
      <c r="C12" s="20">
        <v>307428.90421000001</v>
      </c>
      <c r="D12" s="20">
        <f t="shared" ref="D12:I12" si="5">D9-D31-D77-D80</f>
        <v>332108.27899999998</v>
      </c>
      <c r="E12" s="20">
        <f t="shared" si="5"/>
        <v>76515.525000000023</v>
      </c>
      <c r="F12" s="20">
        <f t="shared" si="5"/>
        <v>11127.5</v>
      </c>
      <c r="G12" s="20">
        <f t="shared" si="5"/>
        <v>828579.12768999988</v>
      </c>
      <c r="H12" s="20">
        <f t="shared" si="5"/>
        <v>230913.37920999998</v>
      </c>
      <c r="I12" s="20">
        <f t="shared" si="5"/>
        <v>228943.77520999999</v>
      </c>
      <c r="J12" s="20"/>
      <c r="K12" s="20"/>
      <c r="L12" s="22"/>
      <c r="M12" s="20">
        <f>M9-M31-M77-M80</f>
        <v>370420.77093795314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68">
        <f>AI9</f>
        <v>148287.01882167</v>
      </c>
      <c r="AJ12" s="68">
        <f>SUM(AJ13:AJ103)</f>
        <v>148851.88538833003</v>
      </c>
      <c r="AK12" s="30"/>
      <c r="AL12" s="23"/>
      <c r="AM12" s="28"/>
      <c r="AN12" s="28"/>
      <c r="AO12" s="25">
        <f>(AN9+AI9)/(C12+AK9)</f>
        <v>0.65895007639620051</v>
      </c>
      <c r="AP12" s="28"/>
      <c r="AQ12" s="22"/>
      <c r="AR12" s="22"/>
      <c r="AS12" s="22"/>
      <c r="AT12" s="22"/>
      <c r="AU12" s="5"/>
      <c r="AV12" s="5"/>
    </row>
    <row r="13" spans="1:48" ht="15" x14ac:dyDescent="0.2">
      <c r="A13" s="15" t="s">
        <v>79</v>
      </c>
      <c r="B13" s="16"/>
      <c r="C13" s="16"/>
      <c r="D13" s="16"/>
      <c r="E13" s="16"/>
      <c r="F13" s="16"/>
      <c r="G13" s="16"/>
      <c r="H13" s="16"/>
      <c r="I13" s="16"/>
      <c r="J13" s="16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32"/>
      <c r="AT13" s="32"/>
      <c r="AU13" s="5"/>
      <c r="AV13" s="5"/>
    </row>
    <row r="14" spans="1:48" ht="15" x14ac:dyDescent="0.2">
      <c r="A14" s="17" t="s">
        <v>0</v>
      </c>
      <c r="B14" s="23">
        <v>20200</v>
      </c>
      <c r="C14" s="23">
        <v>4500</v>
      </c>
      <c r="D14" s="23">
        <v>11000</v>
      </c>
      <c r="E14" s="23">
        <v>1500</v>
      </c>
      <c r="F14" s="23"/>
      <c r="G14" s="23">
        <v>9200</v>
      </c>
      <c r="H14" s="23">
        <v>3000</v>
      </c>
      <c r="I14" s="23">
        <f>H14</f>
        <v>3000</v>
      </c>
      <c r="J14" s="23">
        <v>2250</v>
      </c>
      <c r="K14" s="23">
        <v>2250</v>
      </c>
      <c r="L14" s="23">
        <v>0.93876757007018208</v>
      </c>
      <c r="M14" s="23">
        <f t="shared" ref="M14:M31" si="6">C14/L14</f>
        <v>4793.518804301666</v>
      </c>
      <c r="N14" s="23">
        <f t="shared" ref="N14:N30" si="7">IF(M14&gt;0,$N$9*(M14/$M$12),0)</f>
        <v>647.03698879572255</v>
      </c>
      <c r="O14" s="23">
        <v>2250</v>
      </c>
      <c r="P14" s="23">
        <f>C14*50%</f>
        <v>2250</v>
      </c>
      <c r="Q14" s="23">
        <v>2250</v>
      </c>
      <c r="R14" s="23">
        <v>0</v>
      </c>
      <c r="S14" s="23">
        <f>IF(P14&gt;0,11712.98*(P14/$X$9),0)</f>
        <v>337.81275838953206</v>
      </c>
      <c r="T14" s="23">
        <f>C14*50%</f>
        <v>2250</v>
      </c>
      <c r="U14" s="23">
        <v>2250</v>
      </c>
      <c r="V14" s="23"/>
      <c r="W14" s="23">
        <v>2250</v>
      </c>
      <c r="X14" s="23">
        <v>2250</v>
      </c>
      <c r="Y14" s="23"/>
      <c r="Z14" s="23">
        <f>IF(O14&gt;0,11712.98*(O14/$O$9),0)</f>
        <v>177.7242890808505</v>
      </c>
      <c r="AA14" s="23">
        <f>IF(X14&gt;0,11712.98*(X14/$X$9),0)</f>
        <v>337.81275838953206</v>
      </c>
      <c r="AB14" s="23">
        <f t="shared" ref="AB14:AB77" si="8">IF(W14&gt;0,13511.27*(W14/$W$9),0)</f>
        <v>339.56213786239056</v>
      </c>
      <c r="AC14" s="23" t="e">
        <f>IF(#REF!&gt;0,13511.27*(#REF!/#REF!),0)</f>
        <v>#REF!</v>
      </c>
      <c r="AD14" s="23">
        <f>IF(X14&gt;0,15047.87*(X14/$X$9),0)</f>
        <v>433.99395137591699</v>
      </c>
      <c r="AE14" s="23" t="e">
        <f>IF(#REF!&gt;0,13511.27*(#REF!/#REF!),0)</f>
        <v>#REF!</v>
      </c>
      <c r="AF14" s="24">
        <f>(K14+N14)/C14</f>
        <v>0.64378599751016063</v>
      </c>
      <c r="AG14" s="23">
        <f t="shared" ref="AG14:AG30" si="9">IF(M14&gt;0,$AG$9*(M14/$M$12),0)</f>
        <v>970.55548319358377</v>
      </c>
      <c r="AH14" s="24">
        <f>(K14+AG14)/C14</f>
        <v>0.71567899626524079</v>
      </c>
      <c r="AI14" s="23">
        <v>2250</v>
      </c>
      <c r="AJ14" s="23">
        <f>C14-AI14</f>
        <v>2250</v>
      </c>
      <c r="AK14" s="23">
        <v>2200</v>
      </c>
      <c r="AL14" s="55">
        <v>0.93876757007018208</v>
      </c>
      <c r="AM14" s="23">
        <f>(AJ14+AK14)/AL14</f>
        <v>4740.2574842538697</v>
      </c>
      <c r="AN14" s="23">
        <f t="shared" ref="AN14:AN30" si="10">IF(AM14&gt;0,$AN$9*(AM14/$AM$9),0)</f>
        <v>1894.6845850214293</v>
      </c>
      <c r="AO14" s="24">
        <f t="shared" ref="AO14:AO30" si="11">(AN14+AI14)/(C14+AK14)</f>
        <v>0.61860963955543724</v>
      </c>
      <c r="AP14" s="23"/>
      <c r="AQ14" s="23"/>
      <c r="AR14" s="23"/>
      <c r="AS14" s="67"/>
      <c r="AT14" s="67"/>
      <c r="AU14" s="67"/>
      <c r="AV14" s="67"/>
    </row>
    <row r="15" spans="1:48" s="48" customFormat="1" ht="15" x14ac:dyDescent="0.2">
      <c r="A15" s="49" t="s">
        <v>1</v>
      </c>
      <c r="B15" s="45">
        <v>8734.165210000001</v>
      </c>
      <c r="C15" s="45">
        <v>3734.1652100000001</v>
      </c>
      <c r="D15" s="45">
        <v>0</v>
      </c>
      <c r="E15" s="45">
        <v>0</v>
      </c>
      <c r="F15" s="45"/>
      <c r="G15" s="45">
        <v>8734.165210000001</v>
      </c>
      <c r="H15" s="45">
        <v>3734.1652100000001</v>
      </c>
      <c r="I15" s="45">
        <f>H15</f>
        <v>3734.1652100000001</v>
      </c>
      <c r="J15" s="45"/>
      <c r="K15" s="45">
        <v>1867.0826050000001</v>
      </c>
      <c r="L15" s="45">
        <v>0.66226738507143301</v>
      </c>
      <c r="M15" s="45">
        <f t="shared" si="6"/>
        <v>5638.4555455606924</v>
      </c>
      <c r="N15" s="45">
        <f t="shared" si="7"/>
        <v>761.08792863901726</v>
      </c>
      <c r="O15" s="45">
        <v>1867.0826050000001</v>
      </c>
      <c r="P15" s="45">
        <f t="shared" ref="P15:P78" si="12">C15*50%</f>
        <v>1867.0826050000001</v>
      </c>
      <c r="Q15" s="45">
        <v>0</v>
      </c>
      <c r="R15" s="45">
        <v>0</v>
      </c>
      <c r="S15" s="45">
        <f t="shared" ref="S15:S78" si="13">IF(P15&gt;0,11712.98*(P15/$X$9),0)</f>
        <v>280.32192219385024</v>
      </c>
      <c r="T15" s="45">
        <f t="shared" ref="T15:T78" si="14">C15*50%</f>
        <v>1867.0826050000001</v>
      </c>
      <c r="U15" s="45">
        <v>1867.0826050000001</v>
      </c>
      <c r="V15" s="45"/>
      <c r="W15" s="45"/>
      <c r="X15" s="45"/>
      <c r="Y15" s="45"/>
      <c r="Z15" s="45">
        <f t="shared" ref="Z15:Z78" si="15">IF(O15&gt;0,11712.98*(O15/$O$9),0)</f>
        <v>147.47819050170997</v>
      </c>
      <c r="AA15" s="45">
        <f t="shared" ref="AA15:AA78" si="16">IF(X15&gt;0,11712.98*(X15/$X$9),0)</f>
        <v>0</v>
      </c>
      <c r="AB15" s="45">
        <f t="shared" si="8"/>
        <v>0</v>
      </c>
      <c r="AC15" s="45" t="e">
        <f>IF(#REF!&gt;0,13511.27*(#REF!/#REF!),0)</f>
        <v>#REF!</v>
      </c>
      <c r="AD15" s="45"/>
      <c r="AE15" s="45" t="e">
        <f>IF(#REF!&gt;0,13511.27*(#REF!/#REF!),0)</f>
        <v>#REF!</v>
      </c>
      <c r="AF15" s="52">
        <f t="shared" ref="AF15:AF76" si="17">(K15+N15)/C15</f>
        <v>0.70381742259309876</v>
      </c>
      <c r="AG15" s="45">
        <f t="shared" si="9"/>
        <v>1141.6318929585259</v>
      </c>
      <c r="AH15" s="52">
        <f t="shared" ref="AH15:AH76" si="18">(K15+AG15)/C15</f>
        <v>0.80572613388964809</v>
      </c>
      <c r="AI15" s="45">
        <v>1867.0826050000001</v>
      </c>
      <c r="AJ15" s="45">
        <f t="shared" ref="AJ15:AJ76" si="19">C15-AI15</f>
        <v>1867.0826050000001</v>
      </c>
      <c r="AK15" s="45">
        <v>410</v>
      </c>
      <c r="AL15" s="56">
        <v>0.66226738507143301</v>
      </c>
      <c r="AM15" s="45">
        <f t="shared" ref="AM15:AM78" si="20">(AJ15+AK15)/AL15</f>
        <v>3438.3130686020286</v>
      </c>
      <c r="AN15" s="45">
        <f t="shared" si="10"/>
        <v>1374.2963944886626</v>
      </c>
      <c r="AO15" s="52">
        <f t="shared" si="11"/>
        <v>0.78215486961453995</v>
      </c>
      <c r="AP15" s="45">
        <v>1125.8</v>
      </c>
      <c r="AQ15" s="45">
        <f>AN15-AP15</f>
        <v>248.49639448866265</v>
      </c>
      <c r="AR15" s="45"/>
      <c r="AS15" s="71"/>
      <c r="AT15" s="71"/>
      <c r="AU15" s="71"/>
      <c r="AV15" s="71"/>
    </row>
    <row r="16" spans="1:48" ht="15" x14ac:dyDescent="0.2">
      <c r="A16" s="17" t="s">
        <v>2</v>
      </c>
      <c r="B16" s="23"/>
      <c r="C16" s="23"/>
      <c r="D16" s="23">
        <v>0</v>
      </c>
      <c r="E16" s="23">
        <v>0</v>
      </c>
      <c r="F16" s="23"/>
      <c r="G16" s="23">
        <v>0</v>
      </c>
      <c r="H16" s="23">
        <v>0</v>
      </c>
      <c r="I16" s="23">
        <v>0</v>
      </c>
      <c r="J16" s="23">
        <v>0</v>
      </c>
      <c r="K16" s="23"/>
      <c r="L16" s="23">
        <v>0.7368166003754939</v>
      </c>
      <c r="M16" s="23">
        <f t="shared" si="6"/>
        <v>0</v>
      </c>
      <c r="N16" s="23">
        <f t="shared" si="7"/>
        <v>0</v>
      </c>
      <c r="O16" s="23"/>
      <c r="P16" s="23">
        <f t="shared" si="12"/>
        <v>0</v>
      </c>
      <c r="Q16" s="23">
        <v>0</v>
      </c>
      <c r="R16" s="23">
        <v>0</v>
      </c>
      <c r="S16" s="23">
        <f t="shared" si="13"/>
        <v>0</v>
      </c>
      <c r="T16" s="23">
        <f t="shared" si="14"/>
        <v>0</v>
      </c>
      <c r="U16" s="23"/>
      <c r="V16" s="23"/>
      <c r="W16" s="23">
        <v>0</v>
      </c>
      <c r="X16" s="23">
        <v>0</v>
      </c>
      <c r="Y16" s="23"/>
      <c r="Z16" s="23">
        <f t="shared" si="15"/>
        <v>0</v>
      </c>
      <c r="AA16" s="23">
        <f t="shared" si="16"/>
        <v>0</v>
      </c>
      <c r="AB16" s="23">
        <f t="shared" si="8"/>
        <v>0</v>
      </c>
      <c r="AC16" s="23" t="e">
        <f>IF(#REF!&gt;0,13511.27*(#REF!/#REF!),0)</f>
        <v>#REF!</v>
      </c>
      <c r="AD16" s="23"/>
      <c r="AE16" s="23" t="e">
        <f>IF(#REF!&gt;0,13511.27*(#REF!/#REF!),0)</f>
        <v>#REF!</v>
      </c>
      <c r="AF16" s="24"/>
      <c r="AG16" s="23">
        <f t="shared" si="9"/>
        <v>0</v>
      </c>
      <c r="AH16" s="24"/>
      <c r="AI16" s="23"/>
      <c r="AJ16" s="23"/>
      <c r="AK16" s="23">
        <v>810</v>
      </c>
      <c r="AL16" s="55">
        <v>0.7368166003754939</v>
      </c>
      <c r="AM16" s="23">
        <f t="shared" si="20"/>
        <v>1099.3237660324301</v>
      </c>
      <c r="AN16" s="23">
        <f t="shared" si="10"/>
        <v>439.40056006835243</v>
      </c>
      <c r="AO16" s="24">
        <f t="shared" si="11"/>
        <v>0.54246982724487958</v>
      </c>
      <c r="AP16" s="23"/>
      <c r="AQ16" s="23"/>
      <c r="AR16" s="23"/>
      <c r="AS16" s="67"/>
      <c r="AT16" s="67"/>
      <c r="AU16" s="67"/>
      <c r="AV16" s="67"/>
    </row>
    <row r="17" spans="1:48" ht="15" x14ac:dyDescent="0.2">
      <c r="A17" s="17" t="s">
        <v>3</v>
      </c>
      <c r="B17" s="23">
        <v>22971.031900000002</v>
      </c>
      <c r="C17" s="23">
        <v>5387.3714999999993</v>
      </c>
      <c r="D17" s="23">
        <v>14313</v>
      </c>
      <c r="E17" s="23">
        <v>3121.95</v>
      </c>
      <c r="F17" s="23"/>
      <c r="G17" s="23">
        <v>8658.0319</v>
      </c>
      <c r="H17" s="23">
        <v>2265.4214999999999</v>
      </c>
      <c r="I17" s="23">
        <f>H17</f>
        <v>2265.4214999999999</v>
      </c>
      <c r="J17" s="23">
        <v>2693.6857499999996</v>
      </c>
      <c r="K17" s="23">
        <v>2693.6857499999996</v>
      </c>
      <c r="L17" s="23">
        <v>0.82254571640362251</v>
      </c>
      <c r="M17" s="23">
        <f t="shared" si="6"/>
        <v>6549.6317013903463</v>
      </c>
      <c r="N17" s="23">
        <f t="shared" si="7"/>
        <v>884.0799727301785</v>
      </c>
      <c r="O17" s="23">
        <v>2693.6857499999996</v>
      </c>
      <c r="P17" s="23">
        <f t="shared" si="12"/>
        <v>2693.6857499999996</v>
      </c>
      <c r="Q17" s="23">
        <v>0</v>
      </c>
      <c r="R17" s="23">
        <v>0</v>
      </c>
      <c r="S17" s="23">
        <f t="shared" si="13"/>
        <v>404.4272948631446</v>
      </c>
      <c r="T17" s="23">
        <f t="shared" si="14"/>
        <v>2693.6857499999996</v>
      </c>
      <c r="U17" s="23">
        <v>2693.6857499999996</v>
      </c>
      <c r="V17" s="23"/>
      <c r="W17" s="23">
        <v>2693.6857500000001</v>
      </c>
      <c r="X17" s="23">
        <v>2693.6857500000001</v>
      </c>
      <c r="Y17" s="23"/>
      <c r="Z17" s="23">
        <f t="shared" si="15"/>
        <v>212.77039330043002</v>
      </c>
      <c r="AA17" s="23">
        <f t="shared" si="16"/>
        <v>404.42729486314465</v>
      </c>
      <c r="AB17" s="23">
        <f t="shared" si="8"/>
        <v>406.52164088864754</v>
      </c>
      <c r="AC17" s="23" t="e">
        <f>IF(#REF!&gt;0,13511.27*(#REF!/#REF!),0)</f>
        <v>#REF!</v>
      </c>
      <c r="AD17" s="23">
        <f>IF(X17&gt;0,15047.87*(X17/$X$9),0)</f>
        <v>519.57480995888909</v>
      </c>
      <c r="AE17" s="23" t="e">
        <f>IF(#REF!&gt;0,13511.27*(#REF!/#REF!),0)</f>
        <v>#REF!</v>
      </c>
      <c r="AF17" s="24">
        <f t="shared" si="17"/>
        <v>0.6641022848953666</v>
      </c>
      <c r="AG17" s="23">
        <f t="shared" si="9"/>
        <v>1326.1199590952676</v>
      </c>
      <c r="AH17" s="24">
        <f t="shared" si="18"/>
        <v>0.7461534273430499</v>
      </c>
      <c r="AI17" s="23">
        <v>2693.6857499999996</v>
      </c>
      <c r="AJ17" s="23">
        <f t="shared" si="19"/>
        <v>2693.6857499999996</v>
      </c>
      <c r="AK17" s="23">
        <v>1167.7903999999999</v>
      </c>
      <c r="AL17" s="55">
        <v>0.82254571640362251</v>
      </c>
      <c r="AM17" s="23">
        <f t="shared" si="20"/>
        <v>4694.5428965132151</v>
      </c>
      <c r="AN17" s="23">
        <f t="shared" si="10"/>
        <v>1876.4124289221998</v>
      </c>
      <c r="AO17" s="24">
        <f t="shared" si="11"/>
        <v>0.69717548531062223</v>
      </c>
      <c r="AP17" s="23"/>
      <c r="AQ17" s="23"/>
      <c r="AR17" s="23"/>
      <c r="AS17" s="66"/>
      <c r="AT17" s="66"/>
      <c r="AU17" s="66"/>
      <c r="AV17" s="66"/>
    </row>
    <row r="18" spans="1:48" ht="15" x14ac:dyDescent="0.2">
      <c r="A18" s="17" t="s">
        <v>4</v>
      </c>
      <c r="B18" s="23">
        <v>9294.8080000000009</v>
      </c>
      <c r="C18" s="23">
        <v>9284.8080000000009</v>
      </c>
      <c r="D18" s="23">
        <v>0</v>
      </c>
      <c r="E18" s="23">
        <v>0</v>
      </c>
      <c r="F18" s="23"/>
      <c r="G18" s="23">
        <v>9294.8080000000009</v>
      </c>
      <c r="H18" s="23">
        <v>9284.8080000000009</v>
      </c>
      <c r="I18" s="23">
        <f>H18</f>
        <v>9284.8080000000009</v>
      </c>
      <c r="J18" s="23"/>
      <c r="K18" s="23">
        <v>4642.4040000000005</v>
      </c>
      <c r="L18" s="23">
        <v>0.70009845249508795</v>
      </c>
      <c r="M18" s="23">
        <f t="shared" si="6"/>
        <v>13262.146155172575</v>
      </c>
      <c r="N18" s="23">
        <f t="shared" si="7"/>
        <v>1790.14612512024</v>
      </c>
      <c r="O18" s="23">
        <v>4642.4040000000005</v>
      </c>
      <c r="P18" s="23">
        <f t="shared" si="12"/>
        <v>4642.4040000000005</v>
      </c>
      <c r="Q18" s="23">
        <v>4642.4040000000005</v>
      </c>
      <c r="R18" s="23">
        <v>0</v>
      </c>
      <c r="S18" s="23">
        <f t="shared" si="13"/>
        <v>697.00591146604324</v>
      </c>
      <c r="T18" s="23">
        <f t="shared" si="14"/>
        <v>4642.4040000000005</v>
      </c>
      <c r="U18" s="23">
        <v>4642.4040000000005</v>
      </c>
      <c r="V18" s="23"/>
      <c r="W18" s="23"/>
      <c r="X18" s="23"/>
      <c r="Y18" s="23">
        <f>W18-O18</f>
        <v>-4642.4040000000005</v>
      </c>
      <c r="Z18" s="23">
        <f t="shared" si="15"/>
        <v>366.69686690048746</v>
      </c>
      <c r="AA18" s="23">
        <f t="shared" si="16"/>
        <v>0</v>
      </c>
      <c r="AB18" s="23">
        <f t="shared" si="8"/>
        <v>0</v>
      </c>
      <c r="AC18" s="23" t="e">
        <f>IF(#REF!&gt;0,13511.27*(#REF!/#REF!),0)</f>
        <v>#REF!</v>
      </c>
      <c r="AD18" s="23"/>
      <c r="AE18" s="23" t="e">
        <f>IF(#REF!&gt;0,13511.27*(#REF!/#REF!),0)</f>
        <v>#REF!</v>
      </c>
      <c r="AF18" s="24">
        <f t="shared" si="17"/>
        <v>0.69280378497005424</v>
      </c>
      <c r="AG18" s="23">
        <f t="shared" si="9"/>
        <v>2685.2191876803599</v>
      </c>
      <c r="AH18" s="24">
        <f t="shared" si="18"/>
        <v>0.78920567745508141</v>
      </c>
      <c r="AI18" s="23">
        <v>4642.4040000000005</v>
      </c>
      <c r="AJ18" s="23">
        <f t="shared" si="19"/>
        <v>4642.4040000000005</v>
      </c>
      <c r="AK18" s="23"/>
      <c r="AL18" s="55">
        <v>0.70009845249508795</v>
      </c>
      <c r="AM18" s="23">
        <f t="shared" si="20"/>
        <v>6631.0730775862876</v>
      </c>
      <c r="AN18" s="23">
        <f t="shared" si="10"/>
        <v>2650.4450410104514</v>
      </c>
      <c r="AO18" s="24">
        <f t="shared" si="11"/>
        <v>0.78546040381346072</v>
      </c>
      <c r="AP18" s="23">
        <v>2173.6999999999998</v>
      </c>
      <c r="AQ18" s="23">
        <f>AN18-AP18</f>
        <v>476.74504101045159</v>
      </c>
      <c r="AR18" s="23"/>
      <c r="AS18" s="66"/>
      <c r="AT18" s="66"/>
      <c r="AU18" s="66"/>
      <c r="AV18" s="66"/>
    </row>
    <row r="19" spans="1:48" s="48" customFormat="1" ht="15" x14ac:dyDescent="0.2">
      <c r="A19" s="49" t="s">
        <v>5</v>
      </c>
      <c r="B19" s="45">
        <v>14037.704</v>
      </c>
      <c r="C19" s="45">
        <v>1987.3040000000001</v>
      </c>
      <c r="D19" s="45">
        <v>2500</v>
      </c>
      <c r="E19" s="45">
        <v>1250</v>
      </c>
      <c r="F19" s="45"/>
      <c r="G19" s="45">
        <v>11537.704</v>
      </c>
      <c r="H19" s="45">
        <v>737.30399999999997</v>
      </c>
      <c r="I19" s="45">
        <v>737.7</v>
      </c>
      <c r="J19" s="45">
        <v>993.65200000000004</v>
      </c>
      <c r="K19" s="45">
        <v>993.65200000000004</v>
      </c>
      <c r="L19" s="45">
        <v>1.0750041484330359</v>
      </c>
      <c r="M19" s="45">
        <f t="shared" si="6"/>
        <v>1848.6477497754447</v>
      </c>
      <c r="N19" s="45">
        <f t="shared" si="7"/>
        <v>249.53348932005491</v>
      </c>
      <c r="O19" s="45">
        <v>993.65200000000004</v>
      </c>
      <c r="P19" s="45">
        <f>C19*50%</f>
        <v>993.65200000000004</v>
      </c>
      <c r="Q19" s="45" t="e">
        <f>P19-#REF!</f>
        <v>#REF!</v>
      </c>
      <c r="R19" s="45">
        <v>0</v>
      </c>
      <c r="S19" s="45">
        <f t="shared" si="13"/>
        <v>149.18592133301124</v>
      </c>
      <c r="T19" s="45">
        <f t="shared" si="14"/>
        <v>993.65200000000004</v>
      </c>
      <c r="U19" s="45">
        <f>P19</f>
        <v>993.65200000000004</v>
      </c>
      <c r="V19" s="45"/>
      <c r="W19" s="45">
        <f>U19</f>
        <v>993.65200000000004</v>
      </c>
      <c r="X19" s="45">
        <v>993.65200000000004</v>
      </c>
      <c r="Y19" s="45"/>
      <c r="Z19" s="45">
        <f t="shared" si="15"/>
        <v>78.48715346389568</v>
      </c>
      <c r="AA19" s="45">
        <f t="shared" si="16"/>
        <v>149.18592133301124</v>
      </c>
      <c r="AB19" s="45">
        <f t="shared" si="8"/>
        <v>149.95848773832896</v>
      </c>
      <c r="AC19" s="45" t="e">
        <f>IF(#REF!&gt;0,13511.27*(#REF!/#REF!),0)</f>
        <v>#REF!</v>
      </c>
      <c r="AD19" s="45">
        <f>IF(X19&gt;0,15047.87*(X19/$X$9),0)</f>
        <v>191.66175901003675</v>
      </c>
      <c r="AE19" s="45" t="e">
        <f>IF(#REF!&gt;0,13511.27*(#REF!/#REF!),0)</f>
        <v>#REF!</v>
      </c>
      <c r="AF19" s="52">
        <f t="shared" si="17"/>
        <v>0.62556382381359621</v>
      </c>
      <c r="AG19" s="45">
        <f t="shared" si="9"/>
        <v>374.3002339800824</v>
      </c>
      <c r="AH19" s="52">
        <f t="shared" si="18"/>
        <v>0.68834573572039426</v>
      </c>
      <c r="AI19" s="45">
        <v>993.65200000000004</v>
      </c>
      <c r="AJ19" s="45">
        <f t="shared" si="19"/>
        <v>993.65200000000004</v>
      </c>
      <c r="AK19" s="45">
        <v>1016.8304000000001</v>
      </c>
      <c r="AL19" s="56">
        <v>1.0750041484330359</v>
      </c>
      <c r="AM19" s="45">
        <f t="shared" si="20"/>
        <v>1870.2089688961205</v>
      </c>
      <c r="AN19" s="45">
        <f t="shared" si="10"/>
        <v>747.52397225402024</v>
      </c>
      <c r="AO19" s="52">
        <f t="shared" si="11"/>
        <v>0.57959323399579599</v>
      </c>
      <c r="AP19" s="45"/>
      <c r="AQ19" s="45"/>
      <c r="AR19" s="45"/>
      <c r="AS19" s="72">
        <v>3000</v>
      </c>
      <c r="AT19" s="72">
        <v>1000</v>
      </c>
      <c r="AU19" s="72"/>
      <c r="AV19" s="72"/>
    </row>
    <row r="20" spans="1:48" s="48" customFormat="1" ht="15" x14ac:dyDescent="0.2">
      <c r="A20" s="44" t="s">
        <v>6</v>
      </c>
      <c r="B20" s="45">
        <v>9252.57</v>
      </c>
      <c r="C20" s="45">
        <v>5433.57</v>
      </c>
      <c r="D20" s="45">
        <v>4400</v>
      </c>
      <c r="E20" s="45">
        <v>1700</v>
      </c>
      <c r="F20" s="45"/>
      <c r="G20" s="45">
        <v>4852.57</v>
      </c>
      <c r="H20" s="45">
        <v>3733.57</v>
      </c>
      <c r="I20" s="45">
        <f>H20</f>
        <v>3733.57</v>
      </c>
      <c r="J20" s="45"/>
      <c r="K20" s="45">
        <v>2716.7849999999999</v>
      </c>
      <c r="L20" s="45">
        <v>0.67968521218135691</v>
      </c>
      <c r="M20" s="45">
        <f t="shared" si="6"/>
        <v>7994.2448395510892</v>
      </c>
      <c r="N20" s="45">
        <f t="shared" si="7"/>
        <v>1079.0762109949492</v>
      </c>
      <c r="O20" s="45">
        <v>2716.7849999999999</v>
      </c>
      <c r="P20" s="45">
        <f t="shared" si="12"/>
        <v>2716.7849999999999</v>
      </c>
      <c r="Q20" s="45">
        <v>2716.7849999999999</v>
      </c>
      <c r="R20" s="45">
        <v>0</v>
      </c>
      <c r="S20" s="45">
        <f t="shared" si="13"/>
        <v>407.89539324502437</v>
      </c>
      <c r="T20" s="45">
        <f t="shared" si="14"/>
        <v>2716.7849999999999</v>
      </c>
      <c r="U20" s="45">
        <v>2716.7849999999999</v>
      </c>
      <c r="V20" s="45"/>
      <c r="W20" s="45"/>
      <c r="X20" s="45"/>
      <c r="Y20" s="45">
        <f>W20-O20</f>
        <v>-2716.7849999999999</v>
      </c>
      <c r="Z20" s="45">
        <f t="shared" si="15"/>
        <v>214.59497009356372</v>
      </c>
      <c r="AA20" s="45">
        <f t="shared" si="16"/>
        <v>0</v>
      </c>
      <c r="AB20" s="45">
        <f t="shared" si="8"/>
        <v>0</v>
      </c>
      <c r="AC20" s="45" t="e">
        <f>IF(#REF!&gt;0,13511.27*(#REF!/#REF!),0)</f>
        <v>#REF!</v>
      </c>
      <c r="AD20" s="45"/>
      <c r="AE20" s="45" t="e">
        <f>IF(#REF!&gt;0,13511.27*(#REF!/#REF!),0)</f>
        <v>#REF!</v>
      </c>
      <c r="AF20" s="52">
        <f t="shared" si="17"/>
        <v>0.6985943331906922</v>
      </c>
      <c r="AG20" s="45">
        <f t="shared" si="9"/>
        <v>1618.6143164924238</v>
      </c>
      <c r="AH20" s="52">
        <f t="shared" si="18"/>
        <v>0.79789149978603813</v>
      </c>
      <c r="AI20" s="45">
        <v>2716.7849999999999</v>
      </c>
      <c r="AJ20" s="45">
        <f t="shared" si="19"/>
        <v>2716.7849999999999</v>
      </c>
      <c r="AK20" s="45">
        <v>1394.3989999999999</v>
      </c>
      <c r="AL20" s="56">
        <v>0.67968521218135691</v>
      </c>
      <c r="AM20" s="45">
        <f t="shared" si="20"/>
        <v>6048.6588884370685</v>
      </c>
      <c r="AN20" s="45">
        <f t="shared" si="10"/>
        <v>2417.6536388673521</v>
      </c>
      <c r="AO20" s="52">
        <f t="shared" si="11"/>
        <v>0.75197158025576161</v>
      </c>
      <c r="AP20" s="45">
        <v>3361.4</v>
      </c>
      <c r="AQ20" s="47">
        <f>AN20-AP20</f>
        <v>-943.74636113264796</v>
      </c>
      <c r="AR20" s="47">
        <f>AQ20</f>
        <v>-943.74636113264796</v>
      </c>
      <c r="AS20" s="72"/>
      <c r="AT20" s="72"/>
      <c r="AU20" s="72"/>
      <c r="AV20" s="72">
        <v>2000</v>
      </c>
    </row>
    <row r="21" spans="1:48" ht="15" x14ac:dyDescent="0.2">
      <c r="A21" s="17" t="s">
        <v>7</v>
      </c>
      <c r="B21" s="23">
        <v>6000</v>
      </c>
      <c r="C21" s="23">
        <v>6000</v>
      </c>
      <c r="D21" s="23">
        <v>0</v>
      </c>
      <c r="E21" s="23">
        <v>0</v>
      </c>
      <c r="F21" s="23"/>
      <c r="G21" s="23">
        <v>6000</v>
      </c>
      <c r="H21" s="23">
        <v>6000</v>
      </c>
      <c r="I21" s="23">
        <f>H21</f>
        <v>6000</v>
      </c>
      <c r="J21" s="23">
        <v>3000</v>
      </c>
      <c r="K21" s="23">
        <v>3000</v>
      </c>
      <c r="L21" s="23">
        <v>0.81194396902130961</v>
      </c>
      <c r="M21" s="23">
        <f t="shared" si="6"/>
        <v>7389.6724760850202</v>
      </c>
      <c r="N21" s="23">
        <f t="shared" si="7"/>
        <v>997.47004701888306</v>
      </c>
      <c r="O21" s="23">
        <v>3000</v>
      </c>
      <c r="P21" s="23">
        <f t="shared" si="12"/>
        <v>3000</v>
      </c>
      <c r="Q21" s="23">
        <v>0</v>
      </c>
      <c r="R21" s="23">
        <v>0</v>
      </c>
      <c r="S21" s="23">
        <f t="shared" si="13"/>
        <v>450.41701118604271</v>
      </c>
      <c r="T21" s="23">
        <f t="shared" si="14"/>
        <v>3000</v>
      </c>
      <c r="U21" s="23">
        <v>3000</v>
      </c>
      <c r="V21" s="23"/>
      <c r="W21" s="23">
        <v>3000</v>
      </c>
      <c r="X21" s="23">
        <v>3000</v>
      </c>
      <c r="Y21" s="23"/>
      <c r="Z21" s="23">
        <f t="shared" si="15"/>
        <v>236.96571877446732</v>
      </c>
      <c r="AA21" s="23">
        <f t="shared" si="16"/>
        <v>450.41701118604271</v>
      </c>
      <c r="AB21" s="23">
        <f t="shared" si="8"/>
        <v>452.74951714985406</v>
      </c>
      <c r="AC21" s="23" t="e">
        <f>IF(#REF!&gt;0,13511.27*(#REF!/#REF!),0)</f>
        <v>#REF!</v>
      </c>
      <c r="AD21" s="23">
        <f>IF(X21&gt;0,15047.87*(X21/$X$9),0)</f>
        <v>578.65860183455595</v>
      </c>
      <c r="AE21" s="23" t="e">
        <f>IF(#REF!&gt;0,13511.27*(#REF!/#REF!),0)</f>
        <v>#REF!</v>
      </c>
      <c r="AF21" s="24">
        <f t="shared" si="17"/>
        <v>0.66624500783648055</v>
      </c>
      <c r="AG21" s="23">
        <f t="shared" si="9"/>
        <v>1496.2050705283245</v>
      </c>
      <c r="AH21" s="24">
        <f t="shared" si="18"/>
        <v>0.74936751175472072</v>
      </c>
      <c r="AI21" s="23">
        <v>3000</v>
      </c>
      <c r="AJ21" s="23">
        <f t="shared" si="19"/>
        <v>3000</v>
      </c>
      <c r="AK21" s="23">
        <v>180</v>
      </c>
      <c r="AL21" s="55">
        <v>0.81194396902130961</v>
      </c>
      <c r="AM21" s="23">
        <f t="shared" si="20"/>
        <v>3916.5264123250608</v>
      </c>
      <c r="AN21" s="23">
        <f t="shared" si="10"/>
        <v>1565.4386380721251</v>
      </c>
      <c r="AO21" s="24">
        <f t="shared" si="11"/>
        <v>0.73874411619290048</v>
      </c>
      <c r="AP21" s="23"/>
      <c r="AQ21" s="23"/>
      <c r="AR21" s="23"/>
      <c r="AS21" s="66"/>
      <c r="AT21" s="66"/>
      <c r="AU21" s="66"/>
      <c r="AV21" s="66"/>
    </row>
    <row r="22" spans="1:48" ht="15" x14ac:dyDescent="0.2">
      <c r="A22" s="17" t="s">
        <v>8</v>
      </c>
      <c r="B22" s="23">
        <v>17400</v>
      </c>
      <c r="C22" s="23">
        <v>4050</v>
      </c>
      <c r="D22" s="23">
        <v>9500</v>
      </c>
      <c r="E22" s="23">
        <v>1450</v>
      </c>
      <c r="F22" s="23"/>
      <c r="G22" s="23">
        <v>7900</v>
      </c>
      <c r="H22" s="23">
        <v>2600</v>
      </c>
      <c r="I22" s="23">
        <f>H22</f>
        <v>2600</v>
      </c>
      <c r="J22" s="23">
        <v>2025</v>
      </c>
      <c r="K22" s="23">
        <v>2025</v>
      </c>
      <c r="L22" s="23">
        <v>0.92257790845345333</v>
      </c>
      <c r="M22" s="23">
        <f t="shared" si="6"/>
        <v>4389.873161811498</v>
      </c>
      <c r="N22" s="23">
        <f t="shared" si="7"/>
        <v>592.55224142746818</v>
      </c>
      <c r="O22" s="23">
        <v>2025</v>
      </c>
      <c r="P22" s="23">
        <f t="shared" si="12"/>
        <v>2025</v>
      </c>
      <c r="Q22" s="23">
        <v>0</v>
      </c>
      <c r="R22" s="23">
        <v>0</v>
      </c>
      <c r="S22" s="23">
        <f t="shared" si="13"/>
        <v>304.03148255057886</v>
      </c>
      <c r="T22" s="23">
        <f t="shared" si="14"/>
        <v>2025</v>
      </c>
      <c r="U22" s="23">
        <v>2025</v>
      </c>
      <c r="V22" s="23"/>
      <c r="W22" s="23">
        <v>2025</v>
      </c>
      <c r="X22" s="23">
        <v>2025</v>
      </c>
      <c r="Y22" s="23"/>
      <c r="Z22" s="23">
        <f t="shared" si="15"/>
        <v>159.95186017276544</v>
      </c>
      <c r="AA22" s="23">
        <f t="shared" si="16"/>
        <v>304.03148255057886</v>
      </c>
      <c r="AB22" s="23">
        <f t="shared" si="8"/>
        <v>305.6059240761515</v>
      </c>
      <c r="AC22" s="23" t="e">
        <f>IF(#REF!&gt;0,13511.27*(#REF!/#REF!),0)</f>
        <v>#REF!</v>
      </c>
      <c r="AD22" s="23">
        <f>IF(X22&gt;0,15047.87*(X22/$X$9),0)</f>
        <v>390.59455623832525</v>
      </c>
      <c r="AE22" s="23" t="e">
        <f>IF(#REF!&gt;0,13511.27*(#REF!/#REF!),0)</f>
        <v>#REF!</v>
      </c>
      <c r="AF22" s="24">
        <f t="shared" si="17"/>
        <v>0.64630919541418974</v>
      </c>
      <c r="AG22" s="23">
        <f t="shared" si="9"/>
        <v>888.82836214120232</v>
      </c>
      <c r="AH22" s="24">
        <f t="shared" si="18"/>
        <v>0.7194637931212845</v>
      </c>
      <c r="AI22" s="23">
        <v>2025</v>
      </c>
      <c r="AJ22" s="23">
        <f t="shared" si="19"/>
        <v>2025</v>
      </c>
      <c r="AK22" s="23"/>
      <c r="AL22" s="55">
        <v>0.92257790845345333</v>
      </c>
      <c r="AM22" s="23">
        <f t="shared" si="20"/>
        <v>2194.936580905749</v>
      </c>
      <c r="AN22" s="23">
        <f t="shared" si="10"/>
        <v>877.31785008644056</v>
      </c>
      <c r="AO22" s="24">
        <f t="shared" si="11"/>
        <v>0.71662169137936804</v>
      </c>
      <c r="AP22" s="23"/>
      <c r="AQ22" s="23"/>
      <c r="AR22" s="23"/>
      <c r="AS22" s="66"/>
      <c r="AT22" s="66"/>
      <c r="AU22" s="66"/>
      <c r="AV22" s="66"/>
    </row>
    <row r="23" spans="1:48" ht="15" x14ac:dyDescent="0.2">
      <c r="A23" s="17" t="s">
        <v>9</v>
      </c>
      <c r="B23" s="23">
        <v>64103.733999999997</v>
      </c>
      <c r="C23" s="23"/>
      <c r="D23" s="23">
        <v>0</v>
      </c>
      <c r="E23" s="23">
        <v>0</v>
      </c>
      <c r="F23" s="23"/>
      <c r="G23" s="23">
        <v>64103.733999999997</v>
      </c>
      <c r="H23" s="23">
        <v>0</v>
      </c>
      <c r="I23" s="23">
        <v>0</v>
      </c>
      <c r="J23" s="23">
        <v>0</v>
      </c>
      <c r="K23" s="23"/>
      <c r="L23" s="23">
        <v>1.2185984648096568</v>
      </c>
      <c r="M23" s="23">
        <f t="shared" si="6"/>
        <v>0</v>
      </c>
      <c r="N23" s="23">
        <f t="shared" si="7"/>
        <v>0</v>
      </c>
      <c r="O23" s="23"/>
      <c r="P23" s="23">
        <f t="shared" si="12"/>
        <v>0</v>
      </c>
      <c r="Q23" s="23">
        <v>0</v>
      </c>
      <c r="R23" s="23">
        <v>0</v>
      </c>
      <c r="S23" s="23">
        <f t="shared" si="13"/>
        <v>0</v>
      </c>
      <c r="T23" s="23">
        <f t="shared" si="14"/>
        <v>0</v>
      </c>
      <c r="U23" s="23"/>
      <c r="V23" s="23"/>
      <c r="W23" s="23">
        <v>0</v>
      </c>
      <c r="X23" s="23">
        <v>0</v>
      </c>
      <c r="Y23" s="23"/>
      <c r="Z23" s="23">
        <f t="shared" si="15"/>
        <v>0</v>
      </c>
      <c r="AA23" s="23">
        <f t="shared" si="16"/>
        <v>0</v>
      </c>
      <c r="AB23" s="23">
        <f t="shared" si="8"/>
        <v>0</v>
      </c>
      <c r="AC23" s="23" t="e">
        <f>IF(#REF!&gt;0,13511.27*(#REF!/#REF!),0)</f>
        <v>#REF!</v>
      </c>
      <c r="AD23" s="23"/>
      <c r="AE23" s="23" t="e">
        <f>IF(#REF!&gt;0,13511.27*(#REF!/#REF!),0)</f>
        <v>#REF!</v>
      </c>
      <c r="AF23" s="24"/>
      <c r="AG23" s="23">
        <f t="shared" si="9"/>
        <v>0</v>
      </c>
      <c r="AH23" s="24"/>
      <c r="AI23" s="23"/>
      <c r="AJ23" s="23"/>
      <c r="AK23" s="23">
        <v>12693.038199999999</v>
      </c>
      <c r="AL23" s="55">
        <v>1.2185984648096568</v>
      </c>
      <c r="AM23" s="23">
        <f t="shared" si="20"/>
        <v>10416.095675930981</v>
      </c>
      <c r="AN23" s="23">
        <f t="shared" si="10"/>
        <v>4163.3215028616059</v>
      </c>
      <c r="AO23" s="24">
        <f t="shared" si="11"/>
        <v>0.32800039181018192</v>
      </c>
      <c r="AP23" s="23"/>
      <c r="AQ23" s="23"/>
      <c r="AR23" s="23"/>
      <c r="AS23" s="66"/>
      <c r="AT23" s="66"/>
      <c r="AU23" s="66"/>
      <c r="AV23" s="66"/>
    </row>
    <row r="24" spans="1:48" ht="15" x14ac:dyDescent="0.2">
      <c r="A24" s="17" t="s">
        <v>10</v>
      </c>
      <c r="B24" s="23">
        <v>6622.8742000000002</v>
      </c>
      <c r="C24" s="23">
        <v>2474.3176000000003</v>
      </c>
      <c r="D24" s="23">
        <v>0</v>
      </c>
      <c r="E24" s="23">
        <v>0</v>
      </c>
      <c r="F24" s="23"/>
      <c r="G24" s="23">
        <v>6622.8742000000002</v>
      </c>
      <c r="H24" s="23">
        <v>2474.3176000000003</v>
      </c>
      <c r="I24" s="23">
        <f>H24</f>
        <v>2474.3176000000003</v>
      </c>
      <c r="J24" s="23"/>
      <c r="K24" s="23">
        <v>1237.1587999999999</v>
      </c>
      <c r="L24" s="23">
        <v>0.68352809390061642</v>
      </c>
      <c r="M24" s="23">
        <f t="shared" si="6"/>
        <v>3619.9208519434478</v>
      </c>
      <c r="N24" s="23">
        <f t="shared" si="7"/>
        <v>488.62282246988224</v>
      </c>
      <c r="O24" s="23">
        <v>1237.1587999999999</v>
      </c>
      <c r="P24" s="23">
        <f t="shared" si="12"/>
        <v>1237.1588000000002</v>
      </c>
      <c r="Q24" s="23">
        <v>1237.1588000000002</v>
      </c>
      <c r="R24" s="23">
        <v>0</v>
      </c>
      <c r="S24" s="23">
        <f t="shared" si="13"/>
        <v>185.74578968617041</v>
      </c>
      <c r="T24" s="23">
        <f t="shared" si="14"/>
        <v>1237.1588000000002</v>
      </c>
      <c r="U24" s="23">
        <v>1237.1588000000002</v>
      </c>
      <c r="V24" s="23"/>
      <c r="W24" s="23"/>
      <c r="X24" s="23"/>
      <c r="Y24" s="23">
        <f t="shared" ref="Y24:Y71" si="21">W24-O24</f>
        <v>-1237.1587999999999</v>
      </c>
      <c r="Z24" s="23">
        <f t="shared" si="15"/>
        <v>97.721408093385818</v>
      </c>
      <c r="AA24" s="23">
        <f t="shared" si="16"/>
        <v>0</v>
      </c>
      <c r="AB24" s="23">
        <f t="shared" si="8"/>
        <v>0</v>
      </c>
      <c r="AC24" s="23" t="e">
        <f>IF(#REF!&gt;0,13511.27*(#REF!/#REF!),0)</f>
        <v>#REF!</v>
      </c>
      <c r="AD24" s="23"/>
      <c r="AE24" s="23" t="e">
        <f>IF(#REF!&gt;0,13511.27*(#REF!/#REF!),0)</f>
        <v>#REF!</v>
      </c>
      <c r="AF24" s="24">
        <f t="shared" si="17"/>
        <v>0.69747781063751957</v>
      </c>
      <c r="AG24" s="23">
        <f t="shared" si="9"/>
        <v>732.93423370482333</v>
      </c>
      <c r="AH24" s="24">
        <f t="shared" si="18"/>
        <v>0.79621671595627941</v>
      </c>
      <c r="AI24" s="23">
        <v>1237.1588000000002</v>
      </c>
      <c r="AJ24" s="23">
        <f t="shared" si="19"/>
        <v>1237.1588000000002</v>
      </c>
      <c r="AK24" s="23">
        <v>120</v>
      </c>
      <c r="AL24" s="55">
        <v>0.68352809390061642</v>
      </c>
      <c r="AM24" s="23">
        <f t="shared" si="20"/>
        <v>1985.5201448344978</v>
      </c>
      <c r="AN24" s="23">
        <f t="shared" si="10"/>
        <v>793.61393851785203</v>
      </c>
      <c r="AO24" s="24">
        <f t="shared" si="11"/>
        <v>0.78277722762928181</v>
      </c>
      <c r="AP24" s="23">
        <v>250.1</v>
      </c>
      <c r="AQ24" s="23">
        <f>AN24-AP24</f>
        <v>543.51393851785201</v>
      </c>
      <c r="AR24" s="23"/>
      <c r="AS24" s="66"/>
      <c r="AT24" s="66"/>
      <c r="AU24" s="66"/>
      <c r="AV24" s="66"/>
    </row>
    <row r="25" spans="1:48" s="48" customFormat="1" ht="15" x14ac:dyDescent="0.2">
      <c r="A25" s="49" t="s">
        <v>11</v>
      </c>
      <c r="B25" s="45">
        <v>15978.628000000001</v>
      </c>
      <c r="C25" s="45">
        <v>625</v>
      </c>
      <c r="D25" s="45">
        <v>2500</v>
      </c>
      <c r="E25" s="45">
        <v>625</v>
      </c>
      <c r="F25" s="45"/>
      <c r="G25" s="45">
        <v>13478.628000000001</v>
      </c>
      <c r="H25" s="45">
        <v>0</v>
      </c>
      <c r="I25" s="45">
        <v>0</v>
      </c>
      <c r="J25" s="45">
        <v>312.5</v>
      </c>
      <c r="K25" s="45">
        <v>312.5</v>
      </c>
      <c r="L25" s="45">
        <v>0.77610074879260071</v>
      </c>
      <c r="M25" s="45">
        <f t="shared" si="6"/>
        <v>805.30781728058901</v>
      </c>
      <c r="N25" s="45">
        <f t="shared" si="7"/>
        <v>108.70176303038377</v>
      </c>
      <c r="O25" s="45">
        <v>312.5</v>
      </c>
      <c r="P25" s="45">
        <f t="shared" si="12"/>
        <v>312.5</v>
      </c>
      <c r="Q25" s="45">
        <v>312.5</v>
      </c>
      <c r="R25" s="45">
        <v>0</v>
      </c>
      <c r="S25" s="45">
        <f t="shared" si="13"/>
        <v>46.918438665212783</v>
      </c>
      <c r="T25" s="45">
        <f t="shared" si="14"/>
        <v>312.5</v>
      </c>
      <c r="U25" s="45">
        <v>312.5</v>
      </c>
      <c r="V25" s="45"/>
      <c r="W25" s="45">
        <v>312.5</v>
      </c>
      <c r="X25" s="45">
        <v>312.5</v>
      </c>
      <c r="Y25" s="45"/>
      <c r="Z25" s="45">
        <f t="shared" si="15"/>
        <v>24.683929039007015</v>
      </c>
      <c r="AA25" s="45">
        <f t="shared" si="16"/>
        <v>46.918438665212783</v>
      </c>
      <c r="AB25" s="45">
        <f t="shared" si="8"/>
        <v>47.161408036443127</v>
      </c>
      <c r="AC25" s="45" t="e">
        <f>IF(#REF!&gt;0,13511.27*(#REF!/#REF!),0)</f>
        <v>#REF!</v>
      </c>
      <c r="AD25" s="45">
        <f>IF(X25&gt;0,15047.87*(X25/$X$9),0)</f>
        <v>60.276937691099583</v>
      </c>
      <c r="AE25" s="45" t="e">
        <f>IF(#REF!&gt;0,13511.27*(#REF!/#REF!),0)</f>
        <v>#REF!</v>
      </c>
      <c r="AF25" s="52">
        <f t="shared" si="17"/>
        <v>0.67392282084861399</v>
      </c>
      <c r="AG25" s="45">
        <f t="shared" si="9"/>
        <v>163.05264454557567</v>
      </c>
      <c r="AH25" s="52">
        <f t="shared" si="18"/>
        <v>0.76088423127292104</v>
      </c>
      <c r="AI25" s="45">
        <v>312.5</v>
      </c>
      <c r="AJ25" s="45">
        <f t="shared" si="19"/>
        <v>312.5</v>
      </c>
      <c r="AK25" s="45">
        <v>2940</v>
      </c>
      <c r="AL25" s="56">
        <v>0.77610074879260071</v>
      </c>
      <c r="AM25" s="45">
        <f t="shared" si="20"/>
        <v>4190.8218811281849</v>
      </c>
      <c r="AN25" s="45">
        <f t="shared" si="10"/>
        <v>1675.07474923462</v>
      </c>
      <c r="AO25" s="52">
        <f t="shared" si="11"/>
        <v>0.55752447383860304</v>
      </c>
      <c r="AP25" s="45"/>
      <c r="AQ25" s="45"/>
      <c r="AR25" s="45"/>
      <c r="AS25" s="72"/>
      <c r="AT25" s="72"/>
      <c r="AU25" s="72"/>
      <c r="AV25" s="72"/>
    </row>
    <row r="26" spans="1:48" s="48" customFormat="1" ht="15" x14ac:dyDescent="0.2">
      <c r="A26" s="49" t="s">
        <v>12</v>
      </c>
      <c r="B26" s="45">
        <v>11460</v>
      </c>
      <c r="C26" s="45">
        <v>750</v>
      </c>
      <c r="D26" s="45">
        <v>3000</v>
      </c>
      <c r="E26" s="45">
        <v>750</v>
      </c>
      <c r="F26" s="45"/>
      <c r="G26" s="45">
        <v>8460</v>
      </c>
      <c r="H26" s="45">
        <v>0</v>
      </c>
      <c r="I26" s="45">
        <v>0</v>
      </c>
      <c r="J26" s="45"/>
      <c r="K26" s="45">
        <v>375</v>
      </c>
      <c r="L26" s="45">
        <v>0.77876210595069773</v>
      </c>
      <c r="M26" s="45">
        <f t="shared" si="6"/>
        <v>963.06689073477003</v>
      </c>
      <c r="N26" s="45">
        <f t="shared" si="7"/>
        <v>129.99634014801066</v>
      </c>
      <c r="O26" s="45">
        <v>375</v>
      </c>
      <c r="P26" s="45">
        <f t="shared" si="12"/>
        <v>375</v>
      </c>
      <c r="Q26" s="45">
        <v>375</v>
      </c>
      <c r="R26" s="45">
        <v>0</v>
      </c>
      <c r="S26" s="45">
        <f t="shared" si="13"/>
        <v>56.302126398255339</v>
      </c>
      <c r="T26" s="45">
        <f t="shared" si="14"/>
        <v>375</v>
      </c>
      <c r="U26" s="45">
        <v>375</v>
      </c>
      <c r="V26" s="45"/>
      <c r="W26" s="45"/>
      <c r="X26" s="45"/>
      <c r="Y26" s="45">
        <f t="shared" si="21"/>
        <v>-375</v>
      </c>
      <c r="Z26" s="45">
        <f t="shared" si="15"/>
        <v>29.620714846808415</v>
      </c>
      <c r="AA26" s="45">
        <f t="shared" si="16"/>
        <v>0</v>
      </c>
      <c r="AB26" s="45">
        <f t="shared" si="8"/>
        <v>0</v>
      </c>
      <c r="AC26" s="45" t="e">
        <f>IF(#REF!&gt;0,13511.27*(#REF!/#REF!),0)</f>
        <v>#REF!</v>
      </c>
      <c r="AD26" s="45"/>
      <c r="AE26" s="45" t="e">
        <f>IF(#REF!&gt;0,13511.27*(#REF!/#REF!),0)</f>
        <v>#REF!</v>
      </c>
      <c r="AF26" s="52">
        <f t="shared" si="17"/>
        <v>0.67332845353068083</v>
      </c>
      <c r="AG26" s="45">
        <f t="shared" si="9"/>
        <v>194.994510222016</v>
      </c>
      <c r="AH26" s="52">
        <f t="shared" si="18"/>
        <v>0.75999268029602141</v>
      </c>
      <c r="AI26" s="45">
        <v>375</v>
      </c>
      <c r="AJ26" s="45">
        <f t="shared" si="19"/>
        <v>375</v>
      </c>
      <c r="AK26" s="45">
        <v>3613.6164000000003</v>
      </c>
      <c r="AL26" s="56">
        <v>0.77876210595069773</v>
      </c>
      <c r="AM26" s="45">
        <f t="shared" si="20"/>
        <v>5121.739192908949</v>
      </c>
      <c r="AN26" s="45">
        <f t="shared" si="10"/>
        <v>2047.1631192059881</v>
      </c>
      <c r="AO26" s="52">
        <f t="shared" si="11"/>
        <v>0.55508158764963567</v>
      </c>
      <c r="AP26" s="45">
        <v>1150.2</v>
      </c>
      <c r="AQ26" s="45">
        <f>AN26-AP26</f>
        <v>896.96311920598805</v>
      </c>
      <c r="AR26" s="45"/>
      <c r="AS26" s="72"/>
      <c r="AT26" s="72"/>
      <c r="AU26" s="72"/>
      <c r="AV26" s="72"/>
    </row>
    <row r="27" spans="1:48" s="48" customFormat="1" ht="15" x14ac:dyDescent="0.2">
      <c r="A27" s="49" t="s">
        <v>13</v>
      </c>
      <c r="B27" s="45">
        <v>7766.8635999999997</v>
      </c>
      <c r="C27" s="45">
        <v>3012.8281000000002</v>
      </c>
      <c r="D27" s="45">
        <v>0</v>
      </c>
      <c r="E27" s="45">
        <v>0</v>
      </c>
      <c r="F27" s="45"/>
      <c r="G27" s="45">
        <v>7766.8635999999997</v>
      </c>
      <c r="H27" s="45">
        <v>3012.8281000000002</v>
      </c>
      <c r="I27" s="45">
        <f>H27</f>
        <v>3012.8281000000002</v>
      </c>
      <c r="J27" s="45"/>
      <c r="K27" s="45">
        <v>1506.4140500000001</v>
      </c>
      <c r="L27" s="45">
        <v>0.72133356588957476</v>
      </c>
      <c r="M27" s="45">
        <f t="shared" si="6"/>
        <v>4176.7474057365835</v>
      </c>
      <c r="N27" s="45">
        <f t="shared" si="7"/>
        <v>563.78417915935449</v>
      </c>
      <c r="O27" s="45">
        <v>1506.4140500000001</v>
      </c>
      <c r="P27" s="45">
        <f t="shared" si="12"/>
        <v>1506.4140500000001</v>
      </c>
      <c r="Q27" s="45">
        <v>1506.4140500000001</v>
      </c>
      <c r="R27" s="45">
        <v>0</v>
      </c>
      <c r="S27" s="45">
        <f t="shared" si="13"/>
        <v>226.17150466988733</v>
      </c>
      <c r="T27" s="45">
        <f t="shared" si="14"/>
        <v>1506.4140500000001</v>
      </c>
      <c r="U27" s="45">
        <v>1506.4140500000001</v>
      </c>
      <c r="V27" s="45"/>
      <c r="W27" s="45"/>
      <c r="X27" s="45"/>
      <c r="Y27" s="45">
        <f>W27-O27</f>
        <v>-1506.4140500000001</v>
      </c>
      <c r="Z27" s="45">
        <f t="shared" si="15"/>
        <v>118.98949604340213</v>
      </c>
      <c r="AA27" s="45">
        <f t="shared" si="16"/>
        <v>0</v>
      </c>
      <c r="AB27" s="45">
        <f t="shared" si="8"/>
        <v>0</v>
      </c>
      <c r="AC27" s="45" t="e">
        <f>IF(#REF!&gt;0,13511.27*(#REF!/#REF!),0)</f>
        <v>#REF!</v>
      </c>
      <c r="AD27" s="45"/>
      <c r="AE27" s="45" t="e">
        <f>IF(#REF!&gt;0,13511.27*(#REF!/#REF!),0)</f>
        <v>#REF!</v>
      </c>
      <c r="AF27" s="52">
        <f t="shared" si="17"/>
        <v>0.6871278946048579</v>
      </c>
      <c r="AG27" s="45">
        <f t="shared" si="9"/>
        <v>845.67626873903168</v>
      </c>
      <c r="AH27" s="52">
        <f t="shared" si="18"/>
        <v>0.78069184190728691</v>
      </c>
      <c r="AI27" s="45">
        <v>1506.4140500000001</v>
      </c>
      <c r="AJ27" s="45">
        <f t="shared" si="19"/>
        <v>1506.4140500000001</v>
      </c>
      <c r="AK27" s="45">
        <v>817.10260000000005</v>
      </c>
      <c r="AL27" s="56">
        <v>0.72133356588957476</v>
      </c>
      <c r="AM27" s="45">
        <f t="shared" si="20"/>
        <v>3221.1403432121656</v>
      </c>
      <c r="AN27" s="45">
        <f t="shared" si="10"/>
        <v>1287.4922880767022</v>
      </c>
      <c r="AO27" s="52">
        <f t="shared" si="11"/>
        <v>0.7294926610752257</v>
      </c>
      <c r="AP27" s="45">
        <v>461.4</v>
      </c>
      <c r="AQ27" s="45">
        <f>AN27-AP27</f>
        <v>826.09228807670218</v>
      </c>
      <c r="AR27" s="45"/>
      <c r="AS27" s="72"/>
      <c r="AT27" s="72"/>
      <c r="AU27" s="72"/>
      <c r="AV27" s="72"/>
    </row>
    <row r="28" spans="1:48" ht="15" x14ac:dyDescent="0.2">
      <c r="A28" s="17" t="s">
        <v>14</v>
      </c>
      <c r="B28" s="23">
        <v>19236.573</v>
      </c>
      <c r="C28" s="23">
        <v>5186.5730000000003</v>
      </c>
      <c r="D28" s="23">
        <v>6450</v>
      </c>
      <c r="E28" s="23">
        <v>3450</v>
      </c>
      <c r="F28" s="23"/>
      <c r="G28" s="23">
        <v>12786.573</v>
      </c>
      <c r="H28" s="23">
        <v>1736.5730000000001</v>
      </c>
      <c r="I28" s="23">
        <f>H28</f>
        <v>1736.5730000000001</v>
      </c>
      <c r="J28" s="23">
        <v>2593.2865000000002</v>
      </c>
      <c r="K28" s="23">
        <v>2593.2865000000002</v>
      </c>
      <c r="L28" s="23">
        <v>0.83757481438439596</v>
      </c>
      <c r="M28" s="23">
        <f t="shared" si="6"/>
        <v>6192.3698169124727</v>
      </c>
      <c r="N28" s="23">
        <f t="shared" si="7"/>
        <v>835.85618069318764</v>
      </c>
      <c r="O28" s="23">
        <v>2593.2865000000002</v>
      </c>
      <c r="P28" s="23">
        <f t="shared" si="12"/>
        <v>2593.2865000000002</v>
      </c>
      <c r="Q28" s="23">
        <v>0</v>
      </c>
      <c r="R28" s="23">
        <v>0</v>
      </c>
      <c r="S28" s="23">
        <f t="shared" si="13"/>
        <v>389.35345149303794</v>
      </c>
      <c r="T28" s="23">
        <f t="shared" si="14"/>
        <v>2593.2865000000002</v>
      </c>
      <c r="U28" s="23">
        <v>2593.2865000000002</v>
      </c>
      <c r="V28" s="23"/>
      <c r="W28" s="23">
        <v>2593.2865000000002</v>
      </c>
      <c r="X28" s="23">
        <v>2593.2865000000002</v>
      </c>
      <c r="Y28" s="23"/>
      <c r="Z28" s="23">
        <f t="shared" si="15"/>
        <v>204.83999982020759</v>
      </c>
      <c r="AA28" s="23">
        <f t="shared" si="16"/>
        <v>389.35345149303794</v>
      </c>
      <c r="AB28" s="23">
        <f t="shared" si="8"/>
        <v>391.36973690207833</v>
      </c>
      <c r="AC28" s="23" t="e">
        <f>IF(#REF!&gt;0,13511.27*(#REF!/#REF!),0)</f>
        <v>#REF!</v>
      </c>
      <c r="AD28" s="23">
        <f>IF(X28&gt;0,15047.87*(X28/$X$9),0)</f>
        <v>500.20918008214318</v>
      </c>
      <c r="AE28" s="23" t="e">
        <f>IF(#REF!&gt;0,13511.27*(#REF!/#REF!),0)</f>
        <v>#REF!</v>
      </c>
      <c r="AF28" s="24">
        <f t="shared" si="17"/>
        <v>0.66115770098930204</v>
      </c>
      <c r="AG28" s="23">
        <f t="shared" si="9"/>
        <v>1253.7842710397813</v>
      </c>
      <c r="AH28" s="24">
        <f t="shared" si="18"/>
        <v>0.74173655148395312</v>
      </c>
      <c r="AI28" s="23">
        <v>2593.2865000000002</v>
      </c>
      <c r="AJ28" s="23">
        <f t="shared" si="19"/>
        <v>2593.2865000000002</v>
      </c>
      <c r="AK28" s="23">
        <v>300</v>
      </c>
      <c r="AL28" s="55">
        <v>0.83757481438439596</v>
      </c>
      <c r="AM28" s="23">
        <f t="shared" si="20"/>
        <v>3454.361867514509</v>
      </c>
      <c r="AN28" s="23">
        <f t="shared" si="10"/>
        <v>1380.7111118344169</v>
      </c>
      <c r="AO28" s="24">
        <f t="shared" si="11"/>
        <v>0.7243132665571782</v>
      </c>
      <c r="AP28" s="23"/>
      <c r="AQ28" s="23"/>
      <c r="AR28" s="23"/>
      <c r="AS28" s="66"/>
      <c r="AT28" s="66"/>
      <c r="AU28" s="66"/>
      <c r="AV28" s="66"/>
    </row>
    <row r="29" spans="1:48" ht="15" x14ac:dyDescent="0.2">
      <c r="A29" s="17" t="s">
        <v>15</v>
      </c>
      <c r="B29" s="23">
        <v>13841.331</v>
      </c>
      <c r="C29" s="23">
        <v>3250</v>
      </c>
      <c r="D29" s="23">
        <v>6500</v>
      </c>
      <c r="E29" s="23">
        <v>3250</v>
      </c>
      <c r="F29" s="23"/>
      <c r="G29" s="23">
        <v>7341.3310000000001</v>
      </c>
      <c r="H29" s="23">
        <v>0</v>
      </c>
      <c r="I29" s="23">
        <v>0</v>
      </c>
      <c r="J29" s="23">
        <v>1625</v>
      </c>
      <c r="K29" s="23">
        <v>1625</v>
      </c>
      <c r="L29" s="23">
        <v>0.9155431088282171</v>
      </c>
      <c r="M29" s="23">
        <f t="shared" si="6"/>
        <v>3549.80554018871</v>
      </c>
      <c r="N29" s="23">
        <f t="shared" si="7"/>
        <v>479.15854329660624</v>
      </c>
      <c r="O29" s="23">
        <v>1625</v>
      </c>
      <c r="P29" s="23">
        <f t="shared" si="12"/>
        <v>1625</v>
      </c>
      <c r="Q29" s="23">
        <v>0</v>
      </c>
      <c r="R29" s="23">
        <v>0</v>
      </c>
      <c r="S29" s="23">
        <f t="shared" si="13"/>
        <v>243.97588105910646</v>
      </c>
      <c r="T29" s="23">
        <f t="shared" si="14"/>
        <v>1625</v>
      </c>
      <c r="U29" s="23">
        <v>1625</v>
      </c>
      <c r="V29" s="23"/>
      <c r="W29" s="23">
        <v>1625</v>
      </c>
      <c r="X29" s="23">
        <v>1625</v>
      </c>
      <c r="Y29" s="23"/>
      <c r="Z29" s="23">
        <f t="shared" si="15"/>
        <v>128.35643100283647</v>
      </c>
      <c r="AA29" s="23">
        <f t="shared" si="16"/>
        <v>243.97588105910646</v>
      </c>
      <c r="AB29" s="23">
        <f t="shared" si="8"/>
        <v>245.23932178950426</v>
      </c>
      <c r="AC29" s="23" t="e">
        <f>IF(#REF!&gt;0,13511.27*(#REF!/#REF!),0)</f>
        <v>#REF!</v>
      </c>
      <c r="AD29" s="23">
        <f>IF(X29&gt;0,15047.87*(X29/$X$9),0)</f>
        <v>313.44007599371781</v>
      </c>
      <c r="AE29" s="23" t="e">
        <f>IF(#REF!&gt;0,13511.27*(#REF!/#REF!),0)</f>
        <v>#REF!</v>
      </c>
      <c r="AF29" s="24">
        <f t="shared" si="17"/>
        <v>0.64743339793741728</v>
      </c>
      <c r="AG29" s="23">
        <f t="shared" si="9"/>
        <v>718.73781494490936</v>
      </c>
      <c r="AH29" s="24">
        <f t="shared" si="18"/>
        <v>0.72115009690612608</v>
      </c>
      <c r="AI29" s="23">
        <v>1625</v>
      </c>
      <c r="AJ29" s="23">
        <f t="shared" si="19"/>
        <v>1625</v>
      </c>
      <c r="AK29" s="23">
        <v>600</v>
      </c>
      <c r="AL29" s="55">
        <v>0.9155431088282171</v>
      </c>
      <c r="AM29" s="23">
        <f t="shared" si="20"/>
        <v>2430.2514852061167</v>
      </c>
      <c r="AN29" s="23">
        <f t="shared" si="10"/>
        <v>971.37339944946791</v>
      </c>
      <c r="AO29" s="24">
        <f t="shared" si="11"/>
        <v>0.67438270115570587</v>
      </c>
      <c r="AP29" s="23"/>
      <c r="AQ29" s="23"/>
      <c r="AR29" s="23"/>
      <c r="AS29" s="66"/>
      <c r="AT29" s="66"/>
      <c r="AU29" s="66"/>
      <c r="AV29" s="66"/>
    </row>
    <row r="30" spans="1:48" ht="15" x14ac:dyDescent="0.2">
      <c r="A30" s="17" t="s">
        <v>16</v>
      </c>
      <c r="B30" s="23">
        <v>24330</v>
      </c>
      <c r="C30" s="23">
        <v>10215</v>
      </c>
      <c r="D30" s="23">
        <v>12100</v>
      </c>
      <c r="E30" s="23">
        <v>2100</v>
      </c>
      <c r="F30" s="23"/>
      <c r="G30" s="23">
        <v>12230</v>
      </c>
      <c r="H30" s="23">
        <f>8115</f>
        <v>8115</v>
      </c>
      <c r="I30" s="23">
        <f>H30</f>
        <v>8115</v>
      </c>
      <c r="J30" s="23"/>
      <c r="K30" s="23">
        <v>5107.5</v>
      </c>
      <c r="L30" s="23">
        <v>1.0651120636024403</v>
      </c>
      <c r="M30" s="23">
        <f t="shared" si="6"/>
        <v>9590.5401403967317</v>
      </c>
      <c r="N30" s="23">
        <f t="shared" si="7"/>
        <v>1294.5467550472733</v>
      </c>
      <c r="O30" s="23">
        <v>5107.5</v>
      </c>
      <c r="P30" s="23">
        <f>C30*50%</f>
        <v>5107.5</v>
      </c>
      <c r="Q30" s="23">
        <v>5107.5</v>
      </c>
      <c r="R30" s="23">
        <v>0</v>
      </c>
      <c r="S30" s="23">
        <f t="shared" si="13"/>
        <v>766.83496154423779</v>
      </c>
      <c r="T30" s="23">
        <f t="shared" si="14"/>
        <v>5107.5</v>
      </c>
      <c r="U30" s="23">
        <f>P30-392.314</f>
        <v>4715.1859999999997</v>
      </c>
      <c r="V30" s="23">
        <f t="shared" ref="V30:V50" si="22">U30-O30</f>
        <v>-392.31400000000031</v>
      </c>
      <c r="W30" s="23"/>
      <c r="X30" s="23"/>
      <c r="Y30" s="23">
        <f t="shared" si="21"/>
        <v>-5107.5</v>
      </c>
      <c r="Z30" s="23">
        <f t="shared" si="15"/>
        <v>403.43413621353062</v>
      </c>
      <c r="AA30" s="23">
        <f t="shared" si="16"/>
        <v>0</v>
      </c>
      <c r="AB30" s="23">
        <f t="shared" si="8"/>
        <v>0</v>
      </c>
      <c r="AC30" s="23" t="e">
        <f>IF(#REF!&gt;0,13511.27*(#REF!/#REF!),0)</f>
        <v>#REF!</v>
      </c>
      <c r="AD30" s="23"/>
      <c r="AE30" s="23" t="e">
        <f>IF(#REF!&gt;0,13511.27*(#REF!/#REF!),0)</f>
        <v>#REF!</v>
      </c>
      <c r="AF30" s="24">
        <f t="shared" si="17"/>
        <v>0.62672998091505361</v>
      </c>
      <c r="AG30" s="23">
        <f t="shared" si="9"/>
        <v>1941.8201325709101</v>
      </c>
      <c r="AH30" s="24">
        <f t="shared" si="18"/>
        <v>0.69009497137258058</v>
      </c>
      <c r="AI30" s="23">
        <v>5107.5</v>
      </c>
      <c r="AJ30" s="23">
        <f t="shared" si="19"/>
        <v>5107.5</v>
      </c>
      <c r="AK30" s="23">
        <v>437.60859999999997</v>
      </c>
      <c r="AL30" s="55">
        <v>1.0651120636024403</v>
      </c>
      <c r="AM30" s="23">
        <f>(AJ30+AK30)/AL30</f>
        <v>5206.1269320762722</v>
      </c>
      <c r="AN30" s="23">
        <f t="shared" si="10"/>
        <v>2080.8929638602608</v>
      </c>
      <c r="AO30" s="24">
        <f t="shared" si="11"/>
        <v>0.67480119037324438</v>
      </c>
      <c r="AP30" s="23"/>
      <c r="AQ30" s="23"/>
      <c r="AR30" s="23"/>
      <c r="AS30" s="66"/>
      <c r="AT30" s="66"/>
      <c r="AU30" s="66"/>
      <c r="AV30" s="66"/>
    </row>
    <row r="31" spans="1:48" ht="15" x14ac:dyDescent="0.2">
      <c r="A31" s="17" t="s">
        <v>95</v>
      </c>
      <c r="B31" s="23">
        <v>139070.7169</v>
      </c>
      <c r="C31" s="23">
        <v>24689.741000000002</v>
      </c>
      <c r="D31" s="23">
        <v>111255.238</v>
      </c>
      <c r="E31" s="23">
        <v>24689.741000000002</v>
      </c>
      <c r="F31" s="23"/>
      <c r="G31" s="23">
        <v>27815.478899999998</v>
      </c>
      <c r="H31" s="23">
        <v>0</v>
      </c>
      <c r="I31" s="23">
        <f>H31</f>
        <v>0</v>
      </c>
      <c r="J31" s="23"/>
      <c r="K31" s="23"/>
      <c r="L31" s="23">
        <v>2.6051433313038204</v>
      </c>
      <c r="M31" s="23">
        <f t="shared" si="6"/>
        <v>9477.3061824753022</v>
      </c>
      <c r="N31" s="23"/>
      <c r="O31" s="23"/>
      <c r="P31" s="23">
        <v>0</v>
      </c>
      <c r="Q31" s="23">
        <v>0</v>
      </c>
      <c r="R31" s="23">
        <v>0</v>
      </c>
      <c r="S31" s="23">
        <f t="shared" si="13"/>
        <v>0</v>
      </c>
      <c r="T31" s="23">
        <f t="shared" si="14"/>
        <v>12344.870500000001</v>
      </c>
      <c r="U31" s="23"/>
      <c r="V31" s="23"/>
      <c r="W31" s="23">
        <v>0</v>
      </c>
      <c r="X31" s="23">
        <v>0</v>
      </c>
      <c r="Y31" s="23"/>
      <c r="Z31" s="23">
        <f t="shared" si="15"/>
        <v>0</v>
      </c>
      <c r="AA31" s="23">
        <f t="shared" si="16"/>
        <v>0</v>
      </c>
      <c r="AB31" s="23">
        <f t="shared" si="8"/>
        <v>0</v>
      </c>
      <c r="AC31" s="23" t="e">
        <f>IF(#REF!&gt;0,13511.27*(#REF!/#REF!),0)</f>
        <v>#REF!</v>
      </c>
      <c r="AD31" s="23"/>
      <c r="AE31" s="23" t="e">
        <f>IF(#REF!&gt;0,13511.27*(D28B26/#REF!),0)</f>
        <v>#REF!</v>
      </c>
      <c r="AF31" s="24"/>
      <c r="AG31" s="23"/>
      <c r="AH31" s="24"/>
      <c r="AI31" s="23"/>
      <c r="AJ31" s="23"/>
      <c r="AK31" s="23"/>
      <c r="AL31" s="55">
        <v>2.6051433313038204</v>
      </c>
      <c r="AM31" s="23"/>
      <c r="AN31" s="23"/>
      <c r="AO31" s="24"/>
      <c r="AP31" s="23"/>
      <c r="AQ31" s="23"/>
      <c r="AR31" s="23"/>
      <c r="AS31" s="66"/>
      <c r="AT31" s="66"/>
      <c r="AU31" s="66"/>
      <c r="AV31" s="66"/>
    </row>
    <row r="32" spans="1:48" ht="30" x14ac:dyDescent="0.2">
      <c r="A32" s="15" t="s">
        <v>80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4"/>
      <c r="AG32" s="23"/>
      <c r="AH32" s="24"/>
      <c r="AI32" s="23"/>
      <c r="AJ32" s="23"/>
      <c r="AK32" s="23"/>
      <c r="AL32" s="55"/>
      <c r="AM32" s="23"/>
      <c r="AN32" s="23"/>
      <c r="AO32" s="24"/>
      <c r="AP32" s="23"/>
      <c r="AQ32" s="23"/>
      <c r="AR32" s="23"/>
      <c r="AS32" s="66"/>
      <c r="AT32" s="66"/>
      <c r="AU32" s="66"/>
      <c r="AV32" s="66"/>
    </row>
    <row r="33" spans="1:48" ht="15.75" customHeight="1" x14ac:dyDescent="0.2">
      <c r="A33" s="43" t="s">
        <v>17</v>
      </c>
      <c r="B33" s="23">
        <v>10465.689999999999</v>
      </c>
      <c r="C33" s="23">
        <v>1425.8779999999999</v>
      </c>
      <c r="D33" s="23">
        <v>5750</v>
      </c>
      <c r="E33" s="23">
        <f>1400</f>
        <v>1400</v>
      </c>
      <c r="F33" s="23"/>
      <c r="G33" s="23">
        <v>4715.6899999999996</v>
      </c>
      <c r="H33" s="23">
        <f>25.878</f>
        <v>25.878</v>
      </c>
      <c r="I33" s="23">
        <f>H33</f>
        <v>25.878</v>
      </c>
      <c r="J33" s="23"/>
      <c r="K33" s="23">
        <v>712.93899999999996</v>
      </c>
      <c r="L33" s="23">
        <v>0.66395788587167814</v>
      </c>
      <c r="M33" s="23">
        <f t="shared" ref="M33:M42" si="23">C33/L33</f>
        <v>2147.5428341784568</v>
      </c>
      <c r="N33" s="23">
        <f t="shared" ref="N33:N42" si="24">IF(M33&gt;0,$N$9*(M33/$M$12),0)</f>
        <v>289.8788354579309</v>
      </c>
      <c r="O33" s="23">
        <v>712.93899999999996</v>
      </c>
      <c r="P33" s="23">
        <f t="shared" si="12"/>
        <v>712.93899999999996</v>
      </c>
      <c r="Q33" s="23">
        <v>712.93899999999996</v>
      </c>
      <c r="R33" s="23">
        <v>0</v>
      </c>
      <c r="S33" s="23">
        <f t="shared" si="13"/>
        <v>107.03995117932203</v>
      </c>
      <c r="T33" s="23">
        <f t="shared" si="14"/>
        <v>712.93899999999996</v>
      </c>
      <c r="U33" s="23">
        <f>P33-325.878</f>
        <v>387.06099999999998</v>
      </c>
      <c r="V33" s="23">
        <f t="shared" si="22"/>
        <v>-325.87799999999999</v>
      </c>
      <c r="W33" s="23"/>
      <c r="X33" s="23"/>
      <c r="Y33" s="23">
        <f>W33-O33</f>
        <v>-712.93899999999996</v>
      </c>
      <c r="Z33" s="23">
        <f>IF(O33&gt;0,11712.98*(O33/$O$9),0)</f>
        <v>56.314034192449988</v>
      </c>
      <c r="AA33" s="23">
        <f t="shared" si="16"/>
        <v>0</v>
      </c>
      <c r="AB33" s="23">
        <f t="shared" si="8"/>
        <v>0</v>
      </c>
      <c r="AC33" s="23" t="e">
        <f>IF(#REF!&gt;0,13511.27*(#REF!/#REF!),0)</f>
        <v>#REF!</v>
      </c>
      <c r="AD33" s="23"/>
      <c r="AE33" s="23" t="e">
        <f>IF(#REF!&gt;0,13511.27*(#REF!/#REF!),0)</f>
        <v>#REF!</v>
      </c>
      <c r="AF33" s="24">
        <f t="shared" si="17"/>
        <v>0.70329848378187398</v>
      </c>
      <c r="AG33" s="23">
        <f t="shared" ref="AG33:AG42" si="25">IF(M33&gt;0,$AG$9*(M33/$M$12),0)</f>
        <v>434.81825318689641</v>
      </c>
      <c r="AH33" s="24">
        <f t="shared" si="18"/>
        <v>0.80494772567281103</v>
      </c>
      <c r="AI33" s="23">
        <v>712.93899999999996</v>
      </c>
      <c r="AJ33" s="23">
        <f t="shared" si="19"/>
        <v>712.93899999999996</v>
      </c>
      <c r="AK33" s="23">
        <v>1240</v>
      </c>
      <c r="AL33" s="55">
        <v>0.66395788587167814</v>
      </c>
      <c r="AM33" s="23">
        <f t="shared" si="20"/>
        <v>2941.3597481955967</v>
      </c>
      <c r="AN33" s="23">
        <f t="shared" ref="AN33:AN42" si="26">IF(AM33&gt;0,$AN$9*(AM33/$AM$9),0)</f>
        <v>1175.6637677216615</v>
      </c>
      <c r="AO33" s="24">
        <f t="shared" ref="AO33:AO42" si="27">(AN33+AI33)/(C33+AK33)</f>
        <v>0.70843555771181643</v>
      </c>
      <c r="AP33" s="23">
        <v>3875.2</v>
      </c>
      <c r="AQ33" s="26">
        <f>AN33-AP33</f>
        <v>-2699.5362322783385</v>
      </c>
      <c r="AR33" s="26">
        <f>AQ33</f>
        <v>-2699.5362322783385</v>
      </c>
      <c r="AS33" s="66">
        <v>3900</v>
      </c>
      <c r="AT33" s="66"/>
      <c r="AU33" s="66">
        <f>AP33</f>
        <v>3875.2</v>
      </c>
      <c r="AV33" s="66">
        <f>3900-AU33</f>
        <v>24.800000000000182</v>
      </c>
    </row>
    <row r="34" spans="1:48" ht="15" x14ac:dyDescent="0.2">
      <c r="A34" s="42" t="s">
        <v>18</v>
      </c>
      <c r="B34" s="23">
        <v>24915</v>
      </c>
      <c r="C34" s="23">
        <v>10705</v>
      </c>
      <c r="D34" s="23">
        <v>11860</v>
      </c>
      <c r="E34" s="23">
        <v>1130</v>
      </c>
      <c r="F34" s="23"/>
      <c r="G34" s="23">
        <v>13055</v>
      </c>
      <c r="H34" s="23">
        <v>9575</v>
      </c>
      <c r="I34" s="23">
        <f>H34</f>
        <v>9575</v>
      </c>
      <c r="J34" s="23"/>
      <c r="K34" s="23">
        <v>5352.5</v>
      </c>
      <c r="L34" s="23">
        <v>1.0139700426144393</v>
      </c>
      <c r="M34" s="23">
        <f t="shared" si="23"/>
        <v>10557.51111975461</v>
      </c>
      <c r="N34" s="23">
        <f t="shared" si="24"/>
        <v>1425.0700754471234</v>
      </c>
      <c r="O34" s="23">
        <v>5352.5</v>
      </c>
      <c r="P34" s="23">
        <f t="shared" si="12"/>
        <v>5352.5</v>
      </c>
      <c r="Q34" s="23">
        <v>5352.5</v>
      </c>
      <c r="R34" s="23">
        <v>0</v>
      </c>
      <c r="S34" s="23">
        <f t="shared" si="13"/>
        <v>803.61901745776458</v>
      </c>
      <c r="T34" s="23">
        <f t="shared" si="14"/>
        <v>5352.5</v>
      </c>
      <c r="U34" s="23">
        <v>5352.5</v>
      </c>
      <c r="V34" s="23"/>
      <c r="W34" s="23">
        <v>5352.5</v>
      </c>
      <c r="X34" s="23"/>
      <c r="Y34" s="23"/>
      <c r="Z34" s="23">
        <f t="shared" si="15"/>
        <v>422.78633658011216</v>
      </c>
      <c r="AA34" s="23">
        <f t="shared" si="16"/>
        <v>0</v>
      </c>
      <c r="AB34" s="23">
        <f t="shared" si="8"/>
        <v>807.780596848198</v>
      </c>
      <c r="AC34" s="23" t="e">
        <f>IF(#REF!&gt;0,13511.27*(#REF!/#REF!),0)</f>
        <v>#REF!</v>
      </c>
      <c r="AD34" s="23"/>
      <c r="AE34" s="23" t="e">
        <f>IF(#REF!&gt;0,13511.27*(#REF!/#REF!),0)</f>
        <v>#REF!</v>
      </c>
      <c r="AF34" s="24">
        <f t="shared" si="17"/>
        <v>0.63312191269940432</v>
      </c>
      <c r="AG34" s="23">
        <f t="shared" si="25"/>
        <v>2137.6051131706849</v>
      </c>
      <c r="AH34" s="24">
        <f t="shared" si="18"/>
        <v>0.69968286904910648</v>
      </c>
      <c r="AI34" s="23">
        <v>5352.5</v>
      </c>
      <c r="AJ34" s="23">
        <f t="shared" si="19"/>
        <v>5352.5</v>
      </c>
      <c r="AK34" s="23">
        <v>16.5</v>
      </c>
      <c r="AL34" s="55">
        <v>1.0139700426144393</v>
      </c>
      <c r="AM34" s="23">
        <f t="shared" si="20"/>
        <v>5295.0282299824858</v>
      </c>
      <c r="AN34" s="23">
        <f t="shared" si="26"/>
        <v>2116.4268814355873</v>
      </c>
      <c r="AO34" s="24">
        <f t="shared" si="27"/>
        <v>0.69663077754377534</v>
      </c>
      <c r="AP34" s="23">
        <v>2479.1</v>
      </c>
      <c r="AQ34" s="26">
        <f>AN34-AP34</f>
        <v>-362.67311856441256</v>
      </c>
      <c r="AR34" s="26">
        <f>AQ34*75%</f>
        <v>-272.00483892330942</v>
      </c>
      <c r="AS34" s="66"/>
      <c r="AT34" s="66"/>
      <c r="AU34" s="66"/>
      <c r="AV34" s="66"/>
    </row>
    <row r="35" spans="1:48" s="48" customFormat="1" ht="15" x14ac:dyDescent="0.2">
      <c r="A35" s="49" t="s">
        <v>19</v>
      </c>
      <c r="B35" s="45">
        <v>21608.404500000001</v>
      </c>
      <c r="C35" s="45">
        <v>5700</v>
      </c>
      <c r="D35" s="45">
        <v>0</v>
      </c>
      <c r="E35" s="45">
        <v>0</v>
      </c>
      <c r="F35" s="45"/>
      <c r="G35" s="45">
        <v>21608.404500000001</v>
      </c>
      <c r="H35" s="45">
        <v>5700</v>
      </c>
      <c r="I35" s="45">
        <f>H35</f>
        <v>5700</v>
      </c>
      <c r="J35" s="45">
        <v>2850</v>
      </c>
      <c r="K35" s="45">
        <v>2850</v>
      </c>
      <c r="L35" s="45">
        <v>0.67337658738367634</v>
      </c>
      <c r="M35" s="45">
        <f t="shared" si="23"/>
        <v>8464.8027668242285</v>
      </c>
      <c r="N35" s="45">
        <f t="shared" si="24"/>
        <v>1142.5928877301153</v>
      </c>
      <c r="O35" s="45">
        <v>2850</v>
      </c>
      <c r="P35" s="45">
        <f t="shared" si="12"/>
        <v>2850</v>
      </c>
      <c r="Q35" s="45">
        <v>0</v>
      </c>
      <c r="R35" s="45">
        <v>0</v>
      </c>
      <c r="S35" s="45">
        <f t="shared" si="13"/>
        <v>427.89616062674054</v>
      </c>
      <c r="T35" s="45">
        <f t="shared" si="14"/>
        <v>2850</v>
      </c>
      <c r="U35" s="45">
        <v>2850</v>
      </c>
      <c r="V35" s="45"/>
      <c r="W35" s="45">
        <v>2850</v>
      </c>
      <c r="X35" s="45">
        <v>2850</v>
      </c>
      <c r="Y35" s="45"/>
      <c r="Z35" s="45">
        <f t="shared" si="15"/>
        <v>225.11743283574398</v>
      </c>
      <c r="AA35" s="45">
        <f t="shared" si="16"/>
        <v>427.89616062674054</v>
      </c>
      <c r="AB35" s="45">
        <f t="shared" si="8"/>
        <v>430.11204129236137</v>
      </c>
      <c r="AC35" s="45" t="e">
        <f>IF(#REF!&gt;0,13511.27*(#REF!/#REF!),0)</f>
        <v>#REF!</v>
      </c>
      <c r="AD35" s="45">
        <f>IF(X35&gt;0,15047.87*(X35/$X$9),0)</f>
        <v>549.72567174282813</v>
      </c>
      <c r="AE35" s="45" t="e">
        <f>IF(#REF!&gt;0,13511.27*(#REF!/#REF!),0)</f>
        <v>#REF!</v>
      </c>
      <c r="AF35" s="52">
        <f t="shared" si="17"/>
        <v>0.70045489258423077</v>
      </c>
      <c r="AG35" s="45">
        <f t="shared" si="25"/>
        <v>1713.8893315951727</v>
      </c>
      <c r="AH35" s="52">
        <f t="shared" si="18"/>
        <v>0.8006823388763461</v>
      </c>
      <c r="AI35" s="45">
        <v>2850</v>
      </c>
      <c r="AJ35" s="45">
        <f t="shared" si="19"/>
        <v>2850</v>
      </c>
      <c r="AK35" s="45">
        <v>1495.5</v>
      </c>
      <c r="AL35" s="56">
        <v>0.67337658738367634</v>
      </c>
      <c r="AM35" s="45">
        <f t="shared" si="20"/>
        <v>6453.2983198657339</v>
      </c>
      <c r="AN35" s="45">
        <f t="shared" si="26"/>
        <v>2579.3883327666654</v>
      </c>
      <c r="AO35" s="52">
        <f t="shared" si="27"/>
        <v>0.75455330870219794</v>
      </c>
      <c r="AP35" s="45"/>
      <c r="AQ35" s="45"/>
      <c r="AR35" s="45"/>
      <c r="AS35" s="72"/>
      <c r="AT35" s="72"/>
      <c r="AU35" s="72"/>
      <c r="AV35" s="72"/>
    </row>
    <row r="36" spans="1:48" s="34" customFormat="1" ht="15" x14ac:dyDescent="0.2">
      <c r="A36" s="17" t="s">
        <v>20</v>
      </c>
      <c r="B36" s="23">
        <v>18936.502699999997</v>
      </c>
      <c r="C36" s="23">
        <v>2165</v>
      </c>
      <c r="D36" s="23">
        <v>4935</v>
      </c>
      <c r="E36" s="23">
        <v>2133</v>
      </c>
      <c r="F36" s="23"/>
      <c r="G36" s="23">
        <v>14001.502699999999</v>
      </c>
      <c r="H36" s="23">
        <v>32</v>
      </c>
      <c r="I36" s="23">
        <f>H36</f>
        <v>32</v>
      </c>
      <c r="J36" s="23">
        <v>1082.5</v>
      </c>
      <c r="K36" s="23">
        <v>1082.5</v>
      </c>
      <c r="L36" s="23">
        <v>0.82782661779037381</v>
      </c>
      <c r="M36" s="23">
        <f t="shared" si="23"/>
        <v>2615.2819364262477</v>
      </c>
      <c r="N36" s="23">
        <f t="shared" si="24"/>
        <v>353.01502259228295</v>
      </c>
      <c r="O36" s="23">
        <v>1082.5</v>
      </c>
      <c r="P36" s="23">
        <f t="shared" si="12"/>
        <v>1082.5</v>
      </c>
      <c r="Q36" s="23">
        <v>1082.5</v>
      </c>
      <c r="R36" s="23">
        <v>0</v>
      </c>
      <c r="S36" s="23">
        <f t="shared" si="13"/>
        <v>162.52547153629709</v>
      </c>
      <c r="T36" s="23">
        <f t="shared" si="14"/>
        <v>1082.5</v>
      </c>
      <c r="U36" s="23">
        <v>1082.5</v>
      </c>
      <c r="V36" s="23"/>
      <c r="W36" s="23">
        <v>1082.5</v>
      </c>
      <c r="X36" s="23">
        <v>1082.5</v>
      </c>
      <c r="Y36" s="23"/>
      <c r="Z36" s="23">
        <f t="shared" si="15"/>
        <v>85.505130191120301</v>
      </c>
      <c r="AA36" s="23">
        <f t="shared" si="16"/>
        <v>162.52547153629709</v>
      </c>
      <c r="AB36" s="23">
        <f t="shared" si="8"/>
        <v>163.36711743823901</v>
      </c>
      <c r="AC36" s="23" t="e">
        <f>IF(#REF!&gt;0,13511.27*(#REF!/#REF!),0)</f>
        <v>#REF!</v>
      </c>
      <c r="AD36" s="23">
        <f>IF(X36&gt;0,15047.87*(X36/$X$9),0)</f>
        <v>208.79931216196894</v>
      </c>
      <c r="AE36" s="23" t="e">
        <f>IF(#REF!&gt;0,13511.27*(#REF!/#REF!),0)</f>
        <v>#REF!</v>
      </c>
      <c r="AF36" s="24">
        <f t="shared" si="17"/>
        <v>0.66305543768696673</v>
      </c>
      <c r="AG36" s="23">
        <f t="shared" si="25"/>
        <v>529.52253388842439</v>
      </c>
      <c r="AH36" s="24">
        <f t="shared" si="18"/>
        <v>0.74458315653045004</v>
      </c>
      <c r="AI36" s="23">
        <v>1082.5</v>
      </c>
      <c r="AJ36" s="23">
        <f t="shared" si="19"/>
        <v>1082.5</v>
      </c>
      <c r="AK36" s="23">
        <v>2275.9697999999999</v>
      </c>
      <c r="AL36" s="55">
        <v>0.82782661779037381</v>
      </c>
      <c r="AM36" s="23">
        <f t="shared" si="20"/>
        <v>4056.9724720429895</v>
      </c>
      <c r="AN36" s="23">
        <f t="shared" si="26"/>
        <v>1621.5750368349538</v>
      </c>
      <c r="AO36" s="24">
        <f t="shared" si="27"/>
        <v>0.60889291272256651</v>
      </c>
      <c r="AP36" s="23"/>
      <c r="AQ36" s="23"/>
      <c r="AR36" s="23"/>
      <c r="AS36" s="69">
        <v>660</v>
      </c>
      <c r="AT36" s="69">
        <v>660</v>
      </c>
      <c r="AU36" s="69"/>
      <c r="AV36" s="69"/>
    </row>
    <row r="37" spans="1:48" s="48" customFormat="1" ht="15" x14ac:dyDescent="0.2">
      <c r="A37" s="49" t="s">
        <v>21</v>
      </c>
      <c r="B37" s="45">
        <v>4750</v>
      </c>
      <c r="C37" s="45">
        <v>2000</v>
      </c>
      <c r="D37" s="45">
        <v>0</v>
      </c>
      <c r="E37" s="45">
        <v>0</v>
      </c>
      <c r="F37" s="45"/>
      <c r="G37" s="45">
        <v>4750</v>
      </c>
      <c r="H37" s="45">
        <f>2000</f>
        <v>2000</v>
      </c>
      <c r="I37" s="45">
        <v>2500</v>
      </c>
      <c r="J37" s="45"/>
      <c r="K37" s="47" t="e">
        <f>#REF!</f>
        <v>#REF!</v>
      </c>
      <c r="L37" s="45">
        <v>0.84996297512555641</v>
      </c>
      <c r="M37" s="45">
        <f t="shared" si="23"/>
        <v>2353.043671937075</v>
      </c>
      <c r="N37" s="45">
        <f t="shared" si="24"/>
        <v>317.61767381171217</v>
      </c>
      <c r="O37" s="45">
        <v>1604.16666667</v>
      </c>
      <c r="P37" s="45">
        <f>C37*50%</f>
        <v>1000</v>
      </c>
      <c r="Q37" s="45">
        <f>P37-212.531</f>
        <v>787.46900000000005</v>
      </c>
      <c r="R37" s="45">
        <f>Q37</f>
        <v>787.46900000000005</v>
      </c>
      <c r="S37" s="45">
        <f t="shared" si="13"/>
        <v>150.1390037286809</v>
      </c>
      <c r="T37" s="45">
        <f t="shared" si="14"/>
        <v>1000</v>
      </c>
      <c r="U37" s="45">
        <f>P37-212.531</f>
        <v>787.46900000000005</v>
      </c>
      <c r="V37" s="45">
        <f t="shared" si="22"/>
        <v>-816.69766666999999</v>
      </c>
      <c r="W37" s="45"/>
      <c r="X37" s="45"/>
      <c r="Y37" s="45">
        <f>W37-O37</f>
        <v>-1604.16666667</v>
      </c>
      <c r="Z37" s="45">
        <f t="shared" si="15"/>
        <v>126.71083573383264</v>
      </c>
      <c r="AA37" s="45">
        <f t="shared" si="16"/>
        <v>0</v>
      </c>
      <c r="AB37" s="45">
        <f t="shared" si="8"/>
        <v>0</v>
      </c>
      <c r="AC37" s="45" t="e">
        <f>IF(#REF!&gt;0,13511.27*(#REF!/#REF!),0)</f>
        <v>#REF!</v>
      </c>
      <c r="AD37" s="45"/>
      <c r="AE37" s="45" t="e">
        <f>IF(#REF!&gt;0,13511.27*(#REF!/#REF!),0)</f>
        <v>#REF!</v>
      </c>
      <c r="AF37" s="52" t="e">
        <f t="shared" si="17"/>
        <v>#REF!</v>
      </c>
      <c r="AG37" s="45">
        <f t="shared" si="25"/>
        <v>476.42651071756831</v>
      </c>
      <c r="AH37" s="52" t="e">
        <f t="shared" si="18"/>
        <v>#REF!</v>
      </c>
      <c r="AI37" s="45">
        <v>1604.1666666700003</v>
      </c>
      <c r="AJ37" s="45">
        <f t="shared" si="19"/>
        <v>395.83333332999973</v>
      </c>
      <c r="AK37" s="45">
        <v>1288.6197999999999</v>
      </c>
      <c r="AL37" s="56">
        <v>0.84996297512555641</v>
      </c>
      <c r="AM37" s="45">
        <f t="shared" si="20"/>
        <v>1981.7958930283669</v>
      </c>
      <c r="AN37" s="45">
        <f t="shared" si="26"/>
        <v>792.12535218868027</v>
      </c>
      <c r="AO37" s="52">
        <f t="shared" si="27"/>
        <v>0.72866192037725996</v>
      </c>
      <c r="AP37" s="45"/>
      <c r="AQ37" s="45"/>
      <c r="AR37" s="45"/>
      <c r="AS37" s="72"/>
      <c r="AT37" s="72"/>
      <c r="AU37" s="72"/>
      <c r="AV37" s="72"/>
    </row>
    <row r="38" spans="1:48" ht="15" x14ac:dyDescent="0.2">
      <c r="A38" s="17" t="s">
        <v>22</v>
      </c>
      <c r="B38" s="23">
        <v>7675</v>
      </c>
      <c r="C38" s="23">
        <v>2027.5</v>
      </c>
      <c r="D38" s="23">
        <v>275</v>
      </c>
      <c r="E38" s="23">
        <f>F38</f>
        <v>27.5</v>
      </c>
      <c r="F38" s="23">
        <v>27.5</v>
      </c>
      <c r="G38" s="23">
        <v>7400</v>
      </c>
      <c r="H38" s="23">
        <f>2000</f>
        <v>2000</v>
      </c>
      <c r="I38" s="23">
        <f>H38</f>
        <v>2000</v>
      </c>
      <c r="J38" s="23">
        <v>1000.00005</v>
      </c>
      <c r="K38" s="23">
        <v>1000.00005</v>
      </c>
      <c r="L38" s="23">
        <v>1.2941918856711487</v>
      </c>
      <c r="M38" s="23">
        <f t="shared" si="23"/>
        <v>1566.6146747231139</v>
      </c>
      <c r="N38" s="23">
        <f t="shared" si="24"/>
        <v>211.46420471457955</v>
      </c>
      <c r="O38" s="23">
        <v>1000.00005</v>
      </c>
      <c r="P38" s="23">
        <f t="shared" si="12"/>
        <v>1013.75</v>
      </c>
      <c r="Q38" s="23">
        <v>1013.75</v>
      </c>
      <c r="R38" s="23">
        <v>1013.75</v>
      </c>
      <c r="S38" s="23">
        <f t="shared" si="13"/>
        <v>152.20341502995026</v>
      </c>
      <c r="T38" s="23">
        <f>C38*50%</f>
        <v>1013.75</v>
      </c>
      <c r="U38" s="23">
        <f>O38</f>
        <v>1000.00005</v>
      </c>
      <c r="V38" s="23"/>
      <c r="W38" s="23">
        <v>1013.75</v>
      </c>
      <c r="X38" s="23">
        <v>1000.00005</v>
      </c>
      <c r="Y38" s="23">
        <f t="shared" si="21"/>
        <v>13.749950000000013</v>
      </c>
      <c r="Z38" s="23">
        <f t="shared" si="15"/>
        <v>78.988576874251095</v>
      </c>
      <c r="AA38" s="23">
        <f t="shared" si="16"/>
        <v>150.13901123563107</v>
      </c>
      <c r="AB38" s="23">
        <f t="shared" si="8"/>
        <v>152.99160767022153</v>
      </c>
      <c r="AC38" s="23" t="e">
        <f>IF(#REF!&gt;0,13511.27*(#REF!/#REF!),0)</f>
        <v>#REF!</v>
      </c>
      <c r="AD38" s="23">
        <f>IF(X38&gt;0,15047.87*(X38/$X$9),0)</f>
        <v>192.88621025582867</v>
      </c>
      <c r="AE38" s="23" t="e">
        <f>IF(#REF!&gt;0,13511.27*(#REF!/#REF!),0)</f>
        <v>#REF!</v>
      </c>
      <c r="AF38" s="24">
        <f t="shared" si="17"/>
        <v>0.59751627852753608</v>
      </c>
      <c r="AG38" s="23">
        <f t="shared" si="25"/>
        <v>317.19630707186934</v>
      </c>
      <c r="AH38" s="24">
        <f t="shared" si="18"/>
        <v>0.64966528092324016</v>
      </c>
      <c r="AI38" s="23">
        <v>1000.00005</v>
      </c>
      <c r="AJ38" s="23">
        <f t="shared" si="19"/>
        <v>1027.4999499999999</v>
      </c>
      <c r="AK38" s="23"/>
      <c r="AL38" s="55">
        <v>1.2941918856711487</v>
      </c>
      <c r="AM38" s="23">
        <f t="shared" si="20"/>
        <v>793.93168924649353</v>
      </c>
      <c r="AN38" s="23">
        <f t="shared" si="26"/>
        <v>317.33511062893842</v>
      </c>
      <c r="AO38" s="24">
        <f t="shared" si="27"/>
        <v>0.64973374137062312</v>
      </c>
      <c r="AP38" s="23"/>
      <c r="AQ38" s="23"/>
      <c r="AR38" s="23"/>
      <c r="AS38" s="66"/>
      <c r="AT38" s="66"/>
      <c r="AU38" s="66"/>
      <c r="AV38" s="66"/>
    </row>
    <row r="39" spans="1:48" ht="15" x14ac:dyDescent="0.2">
      <c r="A39" s="17" t="s">
        <v>23</v>
      </c>
      <c r="B39" s="23">
        <v>15480</v>
      </c>
      <c r="C39" s="23">
        <v>6000</v>
      </c>
      <c r="D39" s="23">
        <v>0</v>
      </c>
      <c r="E39" s="23">
        <v>0</v>
      </c>
      <c r="F39" s="23"/>
      <c r="G39" s="23">
        <v>15480</v>
      </c>
      <c r="H39" s="23">
        <f>I39</f>
        <v>6000</v>
      </c>
      <c r="I39" s="23">
        <v>6000</v>
      </c>
      <c r="J39" s="23"/>
      <c r="K39" s="26" t="e">
        <f>#REF!</f>
        <v>#REF!</v>
      </c>
      <c r="L39" s="23">
        <v>0.87598430309794972</v>
      </c>
      <c r="M39" s="23">
        <f t="shared" si="23"/>
        <v>6849.4378024592288</v>
      </c>
      <c r="N39" s="23">
        <f t="shared" si="24"/>
        <v>924.54828938393075</v>
      </c>
      <c r="O39" s="23">
        <v>3050</v>
      </c>
      <c r="P39" s="23">
        <f t="shared" si="12"/>
        <v>3000</v>
      </c>
      <c r="Q39" s="23">
        <v>3000</v>
      </c>
      <c r="R39" s="23">
        <v>3000</v>
      </c>
      <c r="S39" s="23">
        <f t="shared" si="13"/>
        <v>450.41701118604271</v>
      </c>
      <c r="T39" s="23">
        <f t="shared" si="14"/>
        <v>3000</v>
      </c>
      <c r="U39" s="23">
        <v>3000</v>
      </c>
      <c r="V39" s="23">
        <f t="shared" si="22"/>
        <v>-50</v>
      </c>
      <c r="W39" s="23"/>
      <c r="X39" s="23"/>
      <c r="Y39" s="23">
        <f>W39-O39</f>
        <v>-3050</v>
      </c>
      <c r="Z39" s="23">
        <f t="shared" si="15"/>
        <v>240.91514742070848</v>
      </c>
      <c r="AA39" s="23">
        <f t="shared" si="16"/>
        <v>0</v>
      </c>
      <c r="AB39" s="23">
        <f t="shared" si="8"/>
        <v>0</v>
      </c>
      <c r="AC39" s="23" t="e">
        <f>IF(#REF!&gt;0,13511.27*(#REF!/#REF!),0)</f>
        <v>#REF!</v>
      </c>
      <c r="AD39" s="23"/>
      <c r="AE39" s="23" t="e">
        <f>IF(#REF!&gt;0,13511.27*(#REF!/#REF!),0)</f>
        <v>#REF!</v>
      </c>
      <c r="AF39" s="24" t="e">
        <f t="shared" si="17"/>
        <v>#REF!</v>
      </c>
      <c r="AG39" s="23">
        <f t="shared" si="25"/>
        <v>1386.8224340758961</v>
      </c>
      <c r="AH39" s="24" t="e">
        <f t="shared" si="18"/>
        <v>#REF!</v>
      </c>
      <c r="AI39" s="23">
        <v>3050</v>
      </c>
      <c r="AJ39" s="23">
        <f t="shared" si="19"/>
        <v>2950</v>
      </c>
      <c r="AK39" s="23">
        <v>1183.2390800000001</v>
      </c>
      <c r="AL39" s="55">
        <v>0.87598430309794972</v>
      </c>
      <c r="AM39" s="23">
        <f t="shared" si="20"/>
        <v>4718.3940001923011</v>
      </c>
      <c r="AN39" s="23">
        <f t="shared" si="26"/>
        <v>1885.9457335215018</v>
      </c>
      <c r="AO39" s="24">
        <f t="shared" si="27"/>
        <v>0.68714763333778694</v>
      </c>
      <c r="AP39" s="23">
        <v>1231.4000000000001</v>
      </c>
      <c r="AQ39" s="23">
        <f>AN39-AP39</f>
        <v>654.54573352150169</v>
      </c>
      <c r="AR39" s="23"/>
      <c r="AS39" s="66"/>
      <c r="AT39" s="66"/>
      <c r="AU39" s="66"/>
      <c r="AV39" s="66"/>
    </row>
    <row r="40" spans="1:48" ht="15" x14ac:dyDescent="0.2">
      <c r="A40" s="18" t="s">
        <v>24</v>
      </c>
      <c r="B40" s="23">
        <v>8400</v>
      </c>
      <c r="C40" s="23">
        <v>4200</v>
      </c>
      <c r="D40" s="23">
        <v>0</v>
      </c>
      <c r="E40" s="23">
        <v>0</v>
      </c>
      <c r="F40" s="23"/>
      <c r="G40" s="23">
        <v>8400</v>
      </c>
      <c r="H40" s="23">
        <v>4200</v>
      </c>
      <c r="I40" s="23">
        <f>H40</f>
        <v>4200</v>
      </c>
      <c r="J40" s="23"/>
      <c r="K40" s="23">
        <v>2100</v>
      </c>
      <c r="L40" s="23">
        <v>0.90653172150912364</v>
      </c>
      <c r="M40" s="23">
        <f t="shared" si="23"/>
        <v>4633.0425073357237</v>
      </c>
      <c r="N40" s="23">
        <f t="shared" si="24"/>
        <v>625.37563641534769</v>
      </c>
      <c r="O40" s="23">
        <v>2100</v>
      </c>
      <c r="P40" s="23">
        <f t="shared" si="12"/>
        <v>2100</v>
      </c>
      <c r="Q40" s="23">
        <v>2100</v>
      </c>
      <c r="R40" s="23">
        <v>0</v>
      </c>
      <c r="S40" s="23">
        <f>IF(P40&gt;0,11712.98*(P40/$X$9),0)</f>
        <v>315.29190783022989</v>
      </c>
      <c r="T40" s="23">
        <f t="shared" si="14"/>
        <v>2100</v>
      </c>
      <c r="U40" s="23">
        <v>2100</v>
      </c>
      <c r="V40" s="23"/>
      <c r="W40" s="23">
        <f>U40</f>
        <v>2100</v>
      </c>
      <c r="X40" s="23"/>
      <c r="Y40" s="23"/>
      <c r="Z40" s="23">
        <f t="shared" si="15"/>
        <v>165.87600314212713</v>
      </c>
      <c r="AA40" s="23">
        <f>IF(X40&gt;0,11712.98*(X40/$X$9),0)</f>
        <v>0</v>
      </c>
      <c r="AB40" s="23">
        <f t="shared" si="8"/>
        <v>316.92466200489787</v>
      </c>
      <c r="AC40" s="23" t="e">
        <f>IF(#REF!&gt;0,13511.27*(#REF!/#REF!),0)</f>
        <v>#REF!</v>
      </c>
      <c r="AD40" s="23"/>
      <c r="AE40" s="23" t="e">
        <f>IF(#REF!&gt;0,13511.27*(#REF!/#REF!),0)</f>
        <v>#REF!</v>
      </c>
      <c r="AF40" s="24">
        <f t="shared" si="17"/>
        <v>0.64889896105127332</v>
      </c>
      <c r="AG40" s="23">
        <f t="shared" si="25"/>
        <v>938.06345462302158</v>
      </c>
      <c r="AH40" s="24">
        <f t="shared" si="18"/>
        <v>0.72334844157690992</v>
      </c>
      <c r="AI40" s="23">
        <v>2100</v>
      </c>
      <c r="AJ40" s="23">
        <f t="shared" si="19"/>
        <v>2100</v>
      </c>
      <c r="AK40" s="23">
        <v>1766</v>
      </c>
      <c r="AL40" s="55">
        <v>0.90653172150912364</v>
      </c>
      <c r="AM40" s="23">
        <f t="shared" si="20"/>
        <v>4264.6053174666449</v>
      </c>
      <c r="AN40" s="23">
        <f t="shared" si="26"/>
        <v>1704.5660458413472</v>
      </c>
      <c r="AO40" s="24">
        <f t="shared" si="27"/>
        <v>0.63770801975215341</v>
      </c>
      <c r="AP40" s="23">
        <v>784</v>
      </c>
      <c r="AQ40" s="23">
        <f>AN40-AP40</f>
        <v>920.5660458413472</v>
      </c>
      <c r="AR40" s="23"/>
      <c r="AS40" s="66"/>
      <c r="AT40" s="66"/>
      <c r="AU40" s="66"/>
      <c r="AV40" s="66"/>
    </row>
    <row r="41" spans="1:48" ht="15" x14ac:dyDescent="0.2">
      <c r="A41" s="17" t="s">
        <v>25</v>
      </c>
      <c r="B41" s="23">
        <v>6497.16</v>
      </c>
      <c r="C41" s="23">
        <v>2470</v>
      </c>
      <c r="D41" s="23">
        <v>0</v>
      </c>
      <c r="E41" s="23">
        <v>0</v>
      </c>
      <c r="F41" s="23"/>
      <c r="G41" s="23">
        <v>6497.16</v>
      </c>
      <c r="H41" s="23">
        <v>2470</v>
      </c>
      <c r="I41" s="23">
        <v>0</v>
      </c>
      <c r="J41" s="23">
        <v>1235</v>
      </c>
      <c r="K41" s="23">
        <v>1235</v>
      </c>
      <c r="L41" s="23">
        <v>0.71292807210192533</v>
      </c>
      <c r="M41" s="23">
        <f t="shared" si="23"/>
        <v>3464.5851336975702</v>
      </c>
      <c r="N41" s="23">
        <f t="shared" si="24"/>
        <v>467.65535379195853</v>
      </c>
      <c r="O41" s="23">
        <v>1235</v>
      </c>
      <c r="P41" s="23">
        <f t="shared" si="12"/>
        <v>1235</v>
      </c>
      <c r="Q41" s="23">
        <v>1235</v>
      </c>
      <c r="R41" s="23">
        <v>0</v>
      </c>
      <c r="S41" s="23">
        <f t="shared" si="13"/>
        <v>185.42166960492091</v>
      </c>
      <c r="T41" s="23">
        <f t="shared" si="14"/>
        <v>1235</v>
      </c>
      <c r="U41" s="23">
        <v>1235</v>
      </c>
      <c r="V41" s="23"/>
      <c r="W41" s="23">
        <v>1235</v>
      </c>
      <c r="X41" s="23"/>
      <c r="Y41" s="23"/>
      <c r="Z41" s="23">
        <f t="shared" si="15"/>
        <v>97.550887562155722</v>
      </c>
      <c r="AA41" s="23">
        <f t="shared" si="16"/>
        <v>0</v>
      </c>
      <c r="AB41" s="23">
        <f t="shared" si="8"/>
        <v>186.38188456002325</v>
      </c>
      <c r="AC41" s="23" t="e">
        <f>IF(#REF!&gt;0,13511.27*(#REF!/#REF!),0)</f>
        <v>#REF!</v>
      </c>
      <c r="AD41" s="23"/>
      <c r="AE41" s="23" t="e">
        <f>IF(#REF!&gt;0,13511.27*(#REF!/#REF!),0)</f>
        <v>#REF!</v>
      </c>
      <c r="AF41" s="24">
        <f t="shared" si="17"/>
        <v>0.68933415133277676</v>
      </c>
      <c r="AG41" s="23">
        <f t="shared" si="25"/>
        <v>701.4830306879378</v>
      </c>
      <c r="AH41" s="24">
        <f t="shared" si="18"/>
        <v>0.78400122699916508</v>
      </c>
      <c r="AI41" s="23">
        <v>1235</v>
      </c>
      <c r="AJ41" s="23">
        <f t="shared" si="19"/>
        <v>1235</v>
      </c>
      <c r="AK41" s="23">
        <v>1649.54</v>
      </c>
      <c r="AL41" s="55">
        <v>0.71292807210192533</v>
      </c>
      <c r="AM41" s="23">
        <f t="shared" si="20"/>
        <v>4046.0463164194289</v>
      </c>
      <c r="AN41" s="23">
        <f t="shared" si="26"/>
        <v>1617.2078439762806</v>
      </c>
      <c r="AO41" s="24">
        <f t="shared" si="27"/>
        <v>0.6923607596907132</v>
      </c>
      <c r="AP41" s="23">
        <v>1074.4000000000001</v>
      </c>
      <c r="AQ41" s="23">
        <f>AN41-AP41</f>
        <v>542.80784397628054</v>
      </c>
      <c r="AR41" s="23"/>
      <c r="AS41" s="66">
        <v>400</v>
      </c>
      <c r="AT41" s="66">
        <v>400</v>
      </c>
      <c r="AU41" s="66"/>
      <c r="AV41" s="66"/>
    </row>
    <row r="42" spans="1:48" ht="15" x14ac:dyDescent="0.2">
      <c r="A42" s="17" t="s">
        <v>81</v>
      </c>
      <c r="B42" s="23">
        <v>8858.8960000000006</v>
      </c>
      <c r="C42" s="23">
        <v>3000</v>
      </c>
      <c r="D42" s="23">
        <v>8858.8960000000006</v>
      </c>
      <c r="E42" s="23">
        <v>3000</v>
      </c>
      <c r="F42" s="23"/>
      <c r="G42" s="23">
        <v>0</v>
      </c>
      <c r="H42" s="23">
        <v>0</v>
      </c>
      <c r="I42" s="23">
        <f>H42</f>
        <v>0</v>
      </c>
      <c r="J42" s="23">
        <v>1500</v>
      </c>
      <c r="K42" s="23">
        <v>1500</v>
      </c>
      <c r="L42" s="23">
        <v>1.7926672475283751</v>
      </c>
      <c r="M42" s="23">
        <f t="shared" si="23"/>
        <v>1673.4840245094144</v>
      </c>
      <c r="N42" s="23">
        <f t="shared" si="24"/>
        <v>225.88960390530167</v>
      </c>
      <c r="O42" s="23">
        <v>1500</v>
      </c>
      <c r="P42" s="23">
        <f t="shared" si="12"/>
        <v>1500</v>
      </c>
      <c r="Q42" s="23">
        <v>1500</v>
      </c>
      <c r="R42" s="23">
        <v>0</v>
      </c>
      <c r="S42" s="23">
        <f t="shared" si="13"/>
        <v>225.20850559302136</v>
      </c>
      <c r="T42" s="23">
        <f t="shared" si="14"/>
        <v>1500</v>
      </c>
      <c r="U42" s="23">
        <v>1500</v>
      </c>
      <c r="V42" s="23"/>
      <c r="W42" s="23">
        <v>1500</v>
      </c>
      <c r="X42" s="23">
        <v>1500</v>
      </c>
      <c r="Y42" s="23"/>
      <c r="Z42" s="23">
        <f t="shared" si="15"/>
        <v>118.48285938723366</v>
      </c>
      <c r="AA42" s="23">
        <f t="shared" si="16"/>
        <v>225.20850559302136</v>
      </c>
      <c r="AB42" s="23">
        <f t="shared" si="8"/>
        <v>226.37475857492703</v>
      </c>
      <c r="AC42" s="23" t="e">
        <f>IF(#REF!&gt;0,13511.27*(#REF!/#REF!),0)</f>
        <v>#REF!</v>
      </c>
      <c r="AD42" s="23">
        <f>IF(X42&gt;0,15047.87*(X42/$X$9),0)</f>
        <v>289.32930091727798</v>
      </c>
      <c r="AE42" s="23" t="e">
        <f>IF(#REF!&gt;0,13511.27*(#REF!/#REF!),0)</f>
        <v>#REF!</v>
      </c>
      <c r="AF42" s="24">
        <f t="shared" si="17"/>
        <v>0.57529653463510055</v>
      </c>
      <c r="AG42" s="23">
        <f t="shared" si="25"/>
        <v>338.8344058579525</v>
      </c>
      <c r="AH42" s="24">
        <f t="shared" si="18"/>
        <v>0.61294480195265089</v>
      </c>
      <c r="AI42" s="23">
        <v>1500</v>
      </c>
      <c r="AJ42" s="23">
        <f t="shared" si="19"/>
        <v>1500</v>
      </c>
      <c r="AK42" s="23">
        <v>4800</v>
      </c>
      <c r="AL42" s="55">
        <v>1.7926672475283751</v>
      </c>
      <c r="AM42" s="23">
        <f t="shared" si="20"/>
        <v>3514.3164514697705</v>
      </c>
      <c r="AN42" s="23">
        <f t="shared" si="26"/>
        <v>1404.675005441198</v>
      </c>
      <c r="AO42" s="24">
        <f t="shared" si="27"/>
        <v>0.37239423146682021</v>
      </c>
      <c r="AP42" s="23"/>
      <c r="AQ42" s="23"/>
      <c r="AR42" s="23"/>
      <c r="AS42" s="66"/>
      <c r="AT42" s="66"/>
      <c r="AU42" s="66"/>
      <c r="AV42" s="66"/>
    </row>
    <row r="43" spans="1:48" ht="15" x14ac:dyDescent="0.2">
      <c r="A43" s="17" t="s">
        <v>26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4"/>
      <c r="AG43" s="23"/>
      <c r="AH43" s="24"/>
      <c r="AI43" s="23"/>
      <c r="AJ43" s="23"/>
      <c r="AK43" s="23"/>
      <c r="AL43" s="55">
        <v>1.2907049889393323</v>
      </c>
      <c r="AM43" s="23"/>
      <c r="AN43" s="23"/>
      <c r="AO43" s="24"/>
      <c r="AP43" s="23"/>
      <c r="AQ43" s="23"/>
      <c r="AR43" s="23"/>
      <c r="AS43" s="66"/>
      <c r="AT43" s="66"/>
      <c r="AU43" s="66"/>
      <c r="AV43" s="66"/>
    </row>
    <row r="44" spans="1:48" ht="15" x14ac:dyDescent="0.2">
      <c r="A44" s="15" t="s">
        <v>82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4"/>
      <c r="AG44" s="23"/>
      <c r="AH44" s="24"/>
      <c r="AI44" s="23"/>
      <c r="AJ44" s="23"/>
      <c r="AK44" s="23"/>
      <c r="AL44" s="57"/>
      <c r="AM44" s="23"/>
      <c r="AN44" s="23"/>
      <c r="AO44" s="24"/>
      <c r="AP44" s="23"/>
      <c r="AQ44" s="23"/>
      <c r="AR44" s="23"/>
      <c r="AS44" s="66"/>
      <c r="AT44" s="66"/>
      <c r="AU44" s="66"/>
      <c r="AV44" s="66"/>
    </row>
    <row r="45" spans="1:48" ht="15" x14ac:dyDescent="0.2">
      <c r="A45" s="17" t="s">
        <v>83</v>
      </c>
      <c r="B45" s="23">
        <v>1500</v>
      </c>
      <c r="C45" s="23">
        <v>1500</v>
      </c>
      <c r="D45" s="23">
        <v>0</v>
      </c>
      <c r="E45" s="23">
        <v>0</v>
      </c>
      <c r="F45" s="23"/>
      <c r="G45" s="23">
        <v>1500</v>
      </c>
      <c r="H45" s="23">
        <f>I45</f>
        <v>1500</v>
      </c>
      <c r="I45" s="23">
        <v>1500</v>
      </c>
      <c r="J45" s="23"/>
      <c r="K45" s="23">
        <v>300</v>
      </c>
      <c r="L45" s="23">
        <v>0.70098252444605158</v>
      </c>
      <c r="M45" s="23">
        <f t="shared" ref="M45:M50" si="28">C45/L45</f>
        <v>2139.8536307097934</v>
      </c>
      <c r="N45" s="23">
        <f t="shared" ref="N45:N50" si="29">IF(M45&gt;0,$N$9*(M45/$M$12),0)</f>
        <v>288.84093422885115</v>
      </c>
      <c r="O45" s="23">
        <v>300</v>
      </c>
      <c r="P45" s="23">
        <f>C45*50%</f>
        <v>750</v>
      </c>
      <c r="Q45" s="23">
        <v>750</v>
      </c>
      <c r="R45" s="23">
        <v>750</v>
      </c>
      <c r="S45" s="23">
        <f t="shared" si="13"/>
        <v>112.60425279651068</v>
      </c>
      <c r="T45" s="23">
        <f t="shared" si="14"/>
        <v>750</v>
      </c>
      <c r="U45" s="23">
        <f>O45</f>
        <v>300</v>
      </c>
      <c r="V45" s="23"/>
      <c r="W45" s="23"/>
      <c r="X45" s="23"/>
      <c r="Y45" s="23">
        <f>W45-O45</f>
        <v>-300</v>
      </c>
      <c r="Z45" s="23">
        <f t="shared" si="15"/>
        <v>23.696571877446733</v>
      </c>
      <c r="AA45" s="23">
        <f t="shared" si="16"/>
        <v>0</v>
      </c>
      <c r="AB45" s="23">
        <f t="shared" si="8"/>
        <v>0</v>
      </c>
      <c r="AC45" s="23" t="e">
        <f>IF(#REF!&gt;0,13511.27*(#REF!/#REF!),0)</f>
        <v>#REF!</v>
      </c>
      <c r="AD45" s="23"/>
      <c r="AE45" s="23" t="e">
        <f>IF(#REF!&gt;0,13511.27*(#REF!/#REF!),0)</f>
        <v>#REF!</v>
      </c>
      <c r="AF45" s="24">
        <f t="shared" si="17"/>
        <v>0.39256062281923415</v>
      </c>
      <c r="AG45" s="23">
        <f t="shared" ref="AG45:AG50" si="30">IF(M45&gt;0,$AG$9*(M45/$M$12),0)</f>
        <v>433.2614013432767</v>
      </c>
      <c r="AH45" s="24">
        <f t="shared" si="18"/>
        <v>0.48884093422885111</v>
      </c>
      <c r="AI45" s="23">
        <v>300</v>
      </c>
      <c r="AJ45" s="23">
        <f t="shared" si="19"/>
        <v>1200</v>
      </c>
      <c r="AK45" s="23">
        <v>293.1644</v>
      </c>
      <c r="AL45" s="55">
        <v>0.70098252444605158</v>
      </c>
      <c r="AM45" s="23">
        <f t="shared" si="20"/>
        <v>2130.1021750577402</v>
      </c>
      <c r="AN45" s="23">
        <f t="shared" ref="AN45:AN50" si="31">IF(AM45&gt;0,$AN$9*(AM45/$AM$9),0)</f>
        <v>851.40348789255188</v>
      </c>
      <c r="AO45" s="24">
        <f t="shared" ref="AO45:AO50" si="32">(AN45+AI45)/(C45+AK45)</f>
        <v>0.64210704154764153</v>
      </c>
      <c r="AP45" s="23">
        <v>141</v>
      </c>
      <c r="AQ45" s="23">
        <f>AN45-AP45</f>
        <v>710.40348789255188</v>
      </c>
      <c r="AR45" s="23"/>
      <c r="AS45" s="66"/>
      <c r="AT45" s="66"/>
      <c r="AU45" s="66"/>
      <c r="AV45" s="66"/>
    </row>
    <row r="46" spans="1:48" ht="15" x14ac:dyDescent="0.2">
      <c r="A46" s="17" t="s">
        <v>27</v>
      </c>
      <c r="B46" s="23">
        <v>500</v>
      </c>
      <c r="C46" s="23"/>
      <c r="D46" s="23">
        <v>0</v>
      </c>
      <c r="E46" s="23">
        <v>0</v>
      </c>
      <c r="F46" s="23"/>
      <c r="G46" s="23">
        <v>500</v>
      </c>
      <c r="H46" s="23">
        <v>0</v>
      </c>
      <c r="I46" s="23">
        <v>0</v>
      </c>
      <c r="J46" s="23">
        <v>0</v>
      </c>
      <c r="K46" s="23"/>
      <c r="L46" s="23">
        <v>0.65129867185422641</v>
      </c>
      <c r="M46" s="23">
        <f t="shared" si="28"/>
        <v>0</v>
      </c>
      <c r="N46" s="23">
        <f t="shared" si="29"/>
        <v>0</v>
      </c>
      <c r="O46" s="23"/>
      <c r="P46" s="23">
        <f t="shared" si="12"/>
        <v>0</v>
      </c>
      <c r="Q46" s="23">
        <v>0</v>
      </c>
      <c r="R46" s="23">
        <v>0</v>
      </c>
      <c r="S46" s="23">
        <f t="shared" si="13"/>
        <v>0</v>
      </c>
      <c r="T46" s="23">
        <f t="shared" si="14"/>
        <v>0</v>
      </c>
      <c r="U46" s="23"/>
      <c r="V46" s="23"/>
      <c r="W46" s="23">
        <v>0</v>
      </c>
      <c r="X46" s="23">
        <v>0</v>
      </c>
      <c r="Y46" s="23"/>
      <c r="Z46" s="23">
        <f t="shared" si="15"/>
        <v>0</v>
      </c>
      <c r="AA46" s="23">
        <f t="shared" si="16"/>
        <v>0</v>
      </c>
      <c r="AB46" s="23">
        <f t="shared" si="8"/>
        <v>0</v>
      </c>
      <c r="AC46" s="23" t="e">
        <f>IF(#REF!&gt;0,13511.27*(#REF!/#REF!),0)</f>
        <v>#REF!</v>
      </c>
      <c r="AD46" s="23"/>
      <c r="AE46" s="23" t="e">
        <f>IF(#REF!&gt;0,13511.27*(#REF!/#REF!),0)</f>
        <v>#REF!</v>
      </c>
      <c r="AF46" s="24"/>
      <c r="AG46" s="23">
        <f t="shared" si="30"/>
        <v>0</v>
      </c>
      <c r="AH46" s="24"/>
      <c r="AI46" s="23"/>
      <c r="AJ46" s="23"/>
      <c r="AK46" s="23">
        <v>503.09280000000001</v>
      </c>
      <c r="AL46" s="55">
        <v>0.65129867185422641</v>
      </c>
      <c r="AM46" s="23">
        <f t="shared" si="20"/>
        <v>772.44561019556659</v>
      </c>
      <c r="AN46" s="23">
        <f t="shared" si="31"/>
        <v>308.74710820384422</v>
      </c>
      <c r="AO46" s="24">
        <f t="shared" si="32"/>
        <v>0.61369812528393208</v>
      </c>
      <c r="AP46" s="23"/>
      <c r="AQ46" s="23"/>
      <c r="AR46" s="23"/>
      <c r="AS46" s="66">
        <v>503.09199999999998</v>
      </c>
      <c r="AT46" s="66">
        <v>503.09199999999998</v>
      </c>
      <c r="AU46" s="66"/>
      <c r="AV46" s="66"/>
    </row>
    <row r="47" spans="1:48" ht="15" x14ac:dyDescent="0.2">
      <c r="A47" s="42" t="s">
        <v>28</v>
      </c>
      <c r="B47" s="23">
        <v>60957.291899999997</v>
      </c>
      <c r="C47" s="23">
        <v>8352.7099999999991</v>
      </c>
      <c r="D47" s="23">
        <v>8400</v>
      </c>
      <c r="E47" s="23">
        <f>F47</f>
        <v>4800</v>
      </c>
      <c r="F47" s="23">
        <v>4800</v>
      </c>
      <c r="G47" s="23">
        <v>52557.291899999997</v>
      </c>
      <c r="H47" s="23">
        <v>3552.71</v>
      </c>
      <c r="I47" s="23">
        <f>H47</f>
        <v>3552.71</v>
      </c>
      <c r="J47" s="23"/>
      <c r="K47" s="26" t="e">
        <f>#REF!</f>
        <v>#REF!</v>
      </c>
      <c r="L47" s="23">
        <v>0.90143748788012046</v>
      </c>
      <c r="M47" s="23">
        <f t="shared" si="28"/>
        <v>9265.9891698566698</v>
      </c>
      <c r="N47" s="23">
        <f t="shared" si="29"/>
        <v>1250.7383355412267</v>
      </c>
      <c r="O47" s="23">
        <v>4776.3549999999996</v>
      </c>
      <c r="P47" s="23">
        <f t="shared" si="12"/>
        <v>4176.3549999999996</v>
      </c>
      <c r="Q47" s="23">
        <v>4176.3549999999996</v>
      </c>
      <c r="R47" s="23">
        <v>4176.3549999999996</v>
      </c>
      <c r="S47" s="23">
        <f t="shared" si="13"/>
        <v>627.03377891729508</v>
      </c>
      <c r="T47" s="23">
        <f t="shared" si="14"/>
        <v>4176.3549999999996</v>
      </c>
      <c r="U47" s="23">
        <v>4176.3549999999996</v>
      </c>
      <c r="V47" s="23">
        <f t="shared" si="22"/>
        <v>-600</v>
      </c>
      <c r="W47" s="23"/>
      <c r="X47" s="23"/>
      <c r="Y47" s="23">
        <f t="shared" si="21"/>
        <v>-4776.3549999999996</v>
      </c>
      <c r="Z47" s="23">
        <f t="shared" si="15"/>
        <v>377.27746523234026</v>
      </c>
      <c r="AA47" s="23">
        <f t="shared" si="16"/>
        <v>0</v>
      </c>
      <c r="AB47" s="23">
        <f t="shared" si="8"/>
        <v>0</v>
      </c>
      <c r="AC47" s="23" t="e">
        <f>IF(#REF!&gt;0,13511.27*(#REF!/#REF!),0)</f>
        <v>#REF!</v>
      </c>
      <c r="AD47" s="23"/>
      <c r="AE47" s="23" t="e">
        <f>IF(#REF!&gt;0,13511.27*(#REF!/#REF!),0)</f>
        <v>#REF!</v>
      </c>
      <c r="AF47" s="24" t="e">
        <f t="shared" si="17"/>
        <v>#REF!</v>
      </c>
      <c r="AG47" s="23">
        <f t="shared" si="30"/>
        <v>1876.10750331184</v>
      </c>
      <c r="AH47" s="24" t="e">
        <f t="shared" si="18"/>
        <v>#REF!</v>
      </c>
      <c r="AI47" s="23">
        <v>4776.3549999999996</v>
      </c>
      <c r="AJ47" s="23">
        <f t="shared" si="19"/>
        <v>3576.3549999999996</v>
      </c>
      <c r="AK47" s="23">
        <v>524.69059999999968</v>
      </c>
      <c r="AL47" s="55">
        <v>0.90143748788012046</v>
      </c>
      <c r="AM47" s="23">
        <f t="shared" si="20"/>
        <v>4549.450910505494</v>
      </c>
      <c r="AN47" s="23">
        <f t="shared" si="31"/>
        <v>1818.4190498257803</v>
      </c>
      <c r="AO47" s="24">
        <f t="shared" si="32"/>
        <v>0.74287219277068339</v>
      </c>
      <c r="AP47" s="23">
        <v>7020.7</v>
      </c>
      <c r="AQ47" s="26">
        <f>AN47-AP47</f>
        <v>-5202.2809501742195</v>
      </c>
      <c r="AR47" s="26">
        <f>AQ47*50%</f>
        <v>-2601.1404750871097</v>
      </c>
      <c r="AS47" s="66">
        <v>4000</v>
      </c>
      <c r="AT47" s="66"/>
      <c r="AU47" s="66"/>
      <c r="AV47" s="66">
        <v>4000</v>
      </c>
    </row>
    <row r="48" spans="1:48" ht="15" x14ac:dyDescent="0.2">
      <c r="A48" s="42" t="s">
        <v>29</v>
      </c>
      <c r="B48" s="23">
        <v>16784.024000000001</v>
      </c>
      <c r="C48" s="23">
        <v>11284.023999999999</v>
      </c>
      <c r="D48" s="23">
        <v>0</v>
      </c>
      <c r="E48" s="23">
        <v>0</v>
      </c>
      <c r="F48" s="23"/>
      <c r="G48" s="23">
        <v>16784.024000000001</v>
      </c>
      <c r="H48" s="23">
        <v>11284.023999999999</v>
      </c>
      <c r="I48" s="23">
        <f>H48</f>
        <v>11284.023999999999</v>
      </c>
      <c r="J48" s="23"/>
      <c r="K48" s="23">
        <v>5642.0119999999997</v>
      </c>
      <c r="L48" s="23">
        <v>0.89386207782859395</v>
      </c>
      <c r="M48" s="23">
        <f t="shared" si="28"/>
        <v>12623.898339452557</v>
      </c>
      <c r="N48" s="23">
        <f t="shared" si="29"/>
        <v>1703.9943936576801</v>
      </c>
      <c r="O48" s="23">
        <v>5642.0119999999997</v>
      </c>
      <c r="P48" s="23">
        <f t="shared" si="12"/>
        <v>5642.0119999999997</v>
      </c>
      <c r="Q48" s="23">
        <v>5642.0119999999997</v>
      </c>
      <c r="R48" s="23">
        <v>0</v>
      </c>
      <c r="S48" s="23">
        <f t="shared" si="13"/>
        <v>847.08606070526241</v>
      </c>
      <c r="T48" s="23">
        <f t="shared" si="14"/>
        <v>5642.0119999999997</v>
      </c>
      <c r="U48" s="23">
        <v>5642.0119999999997</v>
      </c>
      <c r="V48" s="23"/>
      <c r="W48" s="23"/>
      <c r="X48" s="23"/>
      <c r="Y48" s="23">
        <f t="shared" si="21"/>
        <v>-5642.0119999999997</v>
      </c>
      <c r="Z48" s="23">
        <f t="shared" si="15"/>
        <v>445.65447630472329</v>
      </c>
      <c r="AA48" s="23">
        <f t="shared" si="16"/>
        <v>0</v>
      </c>
      <c r="AB48" s="23">
        <f t="shared" si="8"/>
        <v>0</v>
      </c>
      <c r="AC48" s="23" t="e">
        <f>IF(#REF!&gt;0,13511.27*(#REF!/#REF!),0)</f>
        <v>#REF!</v>
      </c>
      <c r="AD48" s="23"/>
      <c r="AE48" s="23" t="e">
        <f>IF(#REF!&gt;0,13511.27*(#REF!/#REF!),0)</f>
        <v>#REF!</v>
      </c>
      <c r="AF48" s="24">
        <f t="shared" si="17"/>
        <v>0.65100946201972631</v>
      </c>
      <c r="AG48" s="23">
        <f t="shared" si="30"/>
        <v>2555.9915904865202</v>
      </c>
      <c r="AH48" s="24">
        <f t="shared" si="18"/>
        <v>0.72651419302958942</v>
      </c>
      <c r="AI48" s="23">
        <v>5642.0119999999997</v>
      </c>
      <c r="AJ48" s="23">
        <f t="shared" si="19"/>
        <v>5642.0119999999997</v>
      </c>
      <c r="AK48" s="23">
        <v>279.08999999999997</v>
      </c>
      <c r="AL48" s="55">
        <v>0.89386207782859395</v>
      </c>
      <c r="AM48" s="23">
        <f t="shared" si="20"/>
        <v>6624.1785470794121</v>
      </c>
      <c r="AN48" s="23">
        <f t="shared" si="31"/>
        <v>2647.68929183106</v>
      </c>
      <c r="AO48" s="24">
        <f t="shared" si="32"/>
        <v>0.71690906894380346</v>
      </c>
      <c r="AP48" s="23">
        <v>6720.9</v>
      </c>
      <c r="AQ48" s="26">
        <f>AN48-AP48</f>
        <v>-4073.2107081689396</v>
      </c>
      <c r="AR48" s="26">
        <f>AQ48</f>
        <v>-4073.2107081689396</v>
      </c>
      <c r="AS48" s="66"/>
      <c r="AT48" s="66"/>
      <c r="AU48" s="66"/>
      <c r="AV48" s="66"/>
    </row>
    <row r="49" spans="1:48" ht="15" x14ac:dyDescent="0.2">
      <c r="A49" s="17" t="s">
        <v>30</v>
      </c>
      <c r="B49" s="23">
        <v>28543.248</v>
      </c>
      <c r="C49" s="23">
        <v>7100</v>
      </c>
      <c r="D49" s="23">
        <v>15550</v>
      </c>
      <c r="E49" s="23">
        <v>3600</v>
      </c>
      <c r="F49" s="23"/>
      <c r="G49" s="23">
        <v>12993.248</v>
      </c>
      <c r="H49" s="23">
        <v>3500</v>
      </c>
      <c r="I49" s="23">
        <f>H49</f>
        <v>3500</v>
      </c>
      <c r="J49" s="23">
        <v>3550</v>
      </c>
      <c r="K49" s="23">
        <v>3550</v>
      </c>
      <c r="L49" s="23">
        <v>0.75887818667272267</v>
      </c>
      <c r="M49" s="23">
        <f t="shared" si="28"/>
        <v>9355.915250548609</v>
      </c>
      <c r="N49" s="23">
        <f t="shared" si="29"/>
        <v>1262.8767046267717</v>
      </c>
      <c r="O49" s="23">
        <v>3550</v>
      </c>
      <c r="P49" s="23">
        <f t="shared" si="12"/>
        <v>3550</v>
      </c>
      <c r="Q49" s="23">
        <v>0</v>
      </c>
      <c r="R49" s="23">
        <v>0</v>
      </c>
      <c r="S49" s="23">
        <f t="shared" si="13"/>
        <v>532.99346323681721</v>
      </c>
      <c r="T49" s="23">
        <f t="shared" si="14"/>
        <v>3550</v>
      </c>
      <c r="U49" s="23">
        <v>3550</v>
      </c>
      <c r="V49" s="23"/>
      <c r="W49" s="23">
        <v>3550</v>
      </c>
      <c r="X49" s="23">
        <v>3550</v>
      </c>
      <c r="Y49" s="23"/>
      <c r="Z49" s="23">
        <f t="shared" si="15"/>
        <v>280.40943388311968</v>
      </c>
      <c r="AA49" s="23">
        <f t="shared" si="16"/>
        <v>532.99346323681721</v>
      </c>
      <c r="AB49" s="23">
        <f t="shared" si="8"/>
        <v>535.75359529399395</v>
      </c>
      <c r="AC49" s="23" t="e">
        <f>IF(#REF!&gt;0,13511.27*(#REF!/#REF!),0)</f>
        <v>#REF!</v>
      </c>
      <c r="AD49" s="23">
        <f>IF(X49&gt;0,15047.87*(X49/$X$9),0)</f>
        <v>684.74601217089128</v>
      </c>
      <c r="AE49" s="23" t="e">
        <f>IF(#REF!&gt;0,13511.27*(#REF!/#REF!),0)</f>
        <v>#REF!</v>
      </c>
      <c r="AF49" s="24">
        <f t="shared" si="17"/>
        <v>0.6778699583981368</v>
      </c>
      <c r="AG49" s="23">
        <f t="shared" si="30"/>
        <v>1894.3150569401573</v>
      </c>
      <c r="AH49" s="24">
        <f t="shared" si="18"/>
        <v>0.76680493759720514</v>
      </c>
      <c r="AI49" s="23">
        <v>3550</v>
      </c>
      <c r="AJ49" s="23">
        <f t="shared" si="19"/>
        <v>3550</v>
      </c>
      <c r="AK49" s="23">
        <v>1093.1902</v>
      </c>
      <c r="AL49" s="55">
        <v>0.75887818667272267</v>
      </c>
      <c r="AM49" s="23">
        <f t="shared" si="20"/>
        <v>6118.4921131518095</v>
      </c>
      <c r="AN49" s="23">
        <f t="shared" si="31"/>
        <v>2445.5660328309432</v>
      </c>
      <c r="AO49" s="24">
        <f t="shared" si="32"/>
        <v>0.73177430115450537</v>
      </c>
      <c r="AP49" s="23"/>
      <c r="AQ49" s="23"/>
      <c r="AR49" s="23"/>
      <c r="AS49" s="66"/>
      <c r="AT49" s="66"/>
      <c r="AU49" s="66"/>
      <c r="AV49" s="66"/>
    </row>
    <row r="50" spans="1:48" ht="15" x14ac:dyDescent="0.2">
      <c r="A50" s="17" t="s">
        <v>122</v>
      </c>
      <c r="B50" s="23">
        <v>23218.006399999998</v>
      </c>
      <c r="C50" s="23">
        <v>2300</v>
      </c>
      <c r="D50" s="23">
        <v>0</v>
      </c>
      <c r="E50" s="23">
        <v>0</v>
      </c>
      <c r="F50" s="23"/>
      <c r="G50" s="23">
        <v>23218.006399999998</v>
      </c>
      <c r="H50" s="23">
        <v>2300</v>
      </c>
      <c r="I50" s="23">
        <f>H50</f>
        <v>2300</v>
      </c>
      <c r="J50" s="23"/>
      <c r="K50" s="23">
        <v>1150</v>
      </c>
      <c r="L50" s="23">
        <v>0.74657206160020628</v>
      </c>
      <c r="M50" s="23">
        <f t="shared" si="28"/>
        <v>3080.7474834648492</v>
      </c>
      <c r="N50" s="23">
        <f t="shared" si="29"/>
        <v>415.84432153520976</v>
      </c>
      <c r="O50" s="23">
        <v>1150</v>
      </c>
      <c r="P50" s="23">
        <v>0</v>
      </c>
      <c r="Q50" s="23">
        <v>1150</v>
      </c>
      <c r="R50" s="23">
        <v>0</v>
      </c>
      <c r="S50" s="23">
        <f t="shared" si="13"/>
        <v>0</v>
      </c>
      <c r="T50" s="23">
        <f t="shared" si="14"/>
        <v>1150</v>
      </c>
      <c r="U50" s="23"/>
      <c r="V50" s="23">
        <f t="shared" si="22"/>
        <v>-1150</v>
      </c>
      <c r="W50" s="23">
        <v>0</v>
      </c>
      <c r="X50" s="23">
        <v>0</v>
      </c>
      <c r="Y50" s="23">
        <f t="shared" si="21"/>
        <v>-1150</v>
      </c>
      <c r="Z50" s="23">
        <f t="shared" si="15"/>
        <v>90.836858863545814</v>
      </c>
      <c r="AA50" s="23">
        <f t="shared" si="16"/>
        <v>0</v>
      </c>
      <c r="AB50" s="23">
        <f t="shared" si="8"/>
        <v>0</v>
      </c>
      <c r="AC50" s="23" t="e">
        <f>IF(#REF!&gt;0,13511.27*(#REF!/#REF!),0)</f>
        <v>#REF!</v>
      </c>
      <c r="AD50" s="23"/>
      <c r="AE50" s="23" t="e">
        <f>IF(#REF!&gt;0,13511.27*(#REF!/#REF!),0)</f>
        <v>#REF!</v>
      </c>
      <c r="AF50" s="24">
        <f t="shared" si="17"/>
        <v>0.68080187892835209</v>
      </c>
      <c r="AG50" s="23">
        <f t="shared" si="30"/>
        <v>623.76648230281467</v>
      </c>
      <c r="AH50" s="24">
        <f t="shared" si="18"/>
        <v>0.77120281839252813</v>
      </c>
      <c r="AI50" s="23">
        <v>1150</v>
      </c>
      <c r="AJ50" s="23">
        <f t="shared" si="19"/>
        <v>1150</v>
      </c>
      <c r="AK50" s="23">
        <v>126.79524000000001</v>
      </c>
      <c r="AL50" s="55">
        <v>0.74657206160020628</v>
      </c>
      <c r="AM50" s="23">
        <f t="shared" si="20"/>
        <v>1710.2103141434341</v>
      </c>
      <c r="AN50" s="23">
        <f t="shared" si="31"/>
        <v>683.572386123716</v>
      </c>
      <c r="AO50" s="24">
        <f t="shared" si="32"/>
        <v>0.75555298440576968</v>
      </c>
      <c r="AP50" s="23"/>
      <c r="AQ50" s="23"/>
      <c r="AR50" s="23"/>
      <c r="AS50" s="66">
        <v>2300</v>
      </c>
      <c r="AT50" s="66"/>
      <c r="AU50" s="66"/>
      <c r="AV50" s="66">
        <v>2300</v>
      </c>
    </row>
    <row r="51" spans="1:48" ht="30" x14ac:dyDescent="0.2">
      <c r="A51" s="15" t="s">
        <v>84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4"/>
      <c r="AG51" s="23"/>
      <c r="AH51" s="24"/>
      <c r="AI51" s="23"/>
      <c r="AJ51" s="23"/>
      <c r="AK51" s="23"/>
      <c r="AL51" s="55"/>
      <c r="AM51" s="23"/>
      <c r="AN51" s="23"/>
      <c r="AO51" s="24"/>
      <c r="AP51" s="23"/>
      <c r="AQ51" s="23"/>
      <c r="AR51" s="23"/>
      <c r="AS51" s="66"/>
      <c r="AT51" s="66"/>
      <c r="AU51" s="66"/>
      <c r="AV51" s="66"/>
    </row>
    <row r="52" spans="1:48" ht="15" x14ac:dyDescent="0.2">
      <c r="A52" s="17" t="s">
        <v>31</v>
      </c>
      <c r="B52" s="23">
        <v>5000</v>
      </c>
      <c r="C52" s="23">
        <v>5000</v>
      </c>
      <c r="D52" s="23">
        <v>0</v>
      </c>
      <c r="E52" s="23">
        <v>0</v>
      </c>
      <c r="F52" s="23"/>
      <c r="G52" s="23">
        <v>5000</v>
      </c>
      <c r="H52" s="23">
        <v>5000</v>
      </c>
      <c r="I52" s="23">
        <f>H52</f>
        <v>5000</v>
      </c>
      <c r="J52" s="23"/>
      <c r="K52" s="23">
        <v>2500</v>
      </c>
      <c r="L52" s="23">
        <v>0.63749390866120104</v>
      </c>
      <c r="M52" s="23">
        <f t="shared" ref="M52:M58" si="33">C52/L52</f>
        <v>7843.2121971180622</v>
      </c>
      <c r="N52" s="23">
        <f t="shared" ref="N52:N58" si="34">IF(M52&gt;0,$N$9*(M52/$M$12),0)</f>
        <v>1058.689578510681</v>
      </c>
      <c r="O52" s="23">
        <v>2500</v>
      </c>
      <c r="P52" s="23">
        <f t="shared" si="12"/>
        <v>2500</v>
      </c>
      <c r="Q52" s="23">
        <v>2500</v>
      </c>
      <c r="R52" s="23">
        <v>0</v>
      </c>
      <c r="S52" s="23">
        <f>IF(P52&gt;0,11712.98*(P52/$X$9),0)</f>
        <v>375.34750932170226</v>
      </c>
      <c r="T52" s="23">
        <f t="shared" si="14"/>
        <v>2500</v>
      </c>
      <c r="U52" s="23">
        <v>2500</v>
      </c>
      <c r="V52" s="23"/>
      <c r="W52" s="23">
        <v>2500</v>
      </c>
      <c r="X52" s="23"/>
      <c r="Y52" s="23"/>
      <c r="Z52" s="23">
        <f t="shared" si="15"/>
        <v>197.47143231205612</v>
      </c>
      <c r="AA52" s="23">
        <f>IF(X52&gt;0,11712.98*(X52/$X$9),0)</f>
        <v>0</v>
      </c>
      <c r="AB52" s="23">
        <f t="shared" si="8"/>
        <v>377.29126429154502</v>
      </c>
      <c r="AC52" s="23" t="e">
        <f>IF(#REF!&gt;0,13511.27*(#REF!/#REF!),0)</f>
        <v>#REF!</v>
      </c>
      <c r="AD52" s="23"/>
      <c r="AE52" s="23" t="e">
        <f>IF(#REF!&gt;0,13511.27*(#REF!/#REF!),0)</f>
        <v>#REF!</v>
      </c>
      <c r="AF52" s="24">
        <f t="shared" si="17"/>
        <v>0.71173791570213618</v>
      </c>
      <c r="AG52" s="23">
        <f t="shared" ref="AG52:AG58" si="35">IF(M52&gt;0,$AG$9*(M52/$M$12),0)</f>
        <v>1588.0343677660214</v>
      </c>
      <c r="AH52" s="24">
        <f t="shared" si="18"/>
        <v>0.81760687355320427</v>
      </c>
      <c r="AI52" s="23">
        <v>2500</v>
      </c>
      <c r="AJ52" s="23">
        <f t="shared" si="19"/>
        <v>2500</v>
      </c>
      <c r="AK52" s="23">
        <v>1720.2388999999998</v>
      </c>
      <c r="AL52" s="55">
        <v>0.63749390866120104</v>
      </c>
      <c r="AM52" s="23">
        <f>(AJ52+AK52)/AL52</f>
        <v>6620.0458430464232</v>
      </c>
      <c r="AN52" s="23">
        <f t="shared" ref="AN52:AN58" si="36">IF(AM52&gt;0,$AN$9*(AM52/$AM$9),0)</f>
        <v>2646.037446830705</v>
      </c>
      <c r="AO52" s="24">
        <f t="shared" ref="AO52:AO58" si="37">(AN52+AI52)/(C52+AK52)</f>
        <v>0.76575215902379679</v>
      </c>
      <c r="AP52" s="23">
        <v>508.8</v>
      </c>
      <c r="AQ52" s="23">
        <f>AN52-AP52</f>
        <v>2137.2374468307048</v>
      </c>
      <c r="AR52" s="23"/>
      <c r="AS52" s="66"/>
      <c r="AT52" s="66"/>
      <c r="AU52" s="66"/>
      <c r="AV52" s="66"/>
    </row>
    <row r="53" spans="1:48" ht="15" x14ac:dyDescent="0.2">
      <c r="A53" s="17" t="s">
        <v>32</v>
      </c>
      <c r="B53" s="23"/>
      <c r="C53" s="23"/>
      <c r="D53" s="23">
        <v>0</v>
      </c>
      <c r="E53" s="23">
        <v>0</v>
      </c>
      <c r="F53" s="23"/>
      <c r="G53" s="23">
        <v>0</v>
      </c>
      <c r="H53" s="23">
        <v>0</v>
      </c>
      <c r="I53" s="23">
        <v>0</v>
      </c>
      <c r="J53" s="23">
        <v>0</v>
      </c>
      <c r="K53" s="23"/>
      <c r="L53" s="23">
        <v>0.6452315184015478</v>
      </c>
      <c r="M53" s="23">
        <f t="shared" si="33"/>
        <v>0</v>
      </c>
      <c r="N53" s="23">
        <f t="shared" si="34"/>
        <v>0</v>
      </c>
      <c r="O53" s="23"/>
      <c r="P53" s="23">
        <f t="shared" si="12"/>
        <v>0</v>
      </c>
      <c r="Q53" s="23">
        <v>0</v>
      </c>
      <c r="R53" s="23">
        <v>0</v>
      </c>
      <c r="S53" s="23">
        <f t="shared" si="13"/>
        <v>0</v>
      </c>
      <c r="T53" s="23">
        <f t="shared" si="14"/>
        <v>0</v>
      </c>
      <c r="U53" s="23"/>
      <c r="V53" s="23"/>
      <c r="W53" s="23">
        <v>0</v>
      </c>
      <c r="X53" s="23">
        <v>0</v>
      </c>
      <c r="Y53" s="23"/>
      <c r="Z53" s="23">
        <f t="shared" si="15"/>
        <v>0</v>
      </c>
      <c r="AA53" s="23">
        <f t="shared" si="16"/>
        <v>0</v>
      </c>
      <c r="AB53" s="23">
        <f t="shared" si="8"/>
        <v>0</v>
      </c>
      <c r="AC53" s="23" t="e">
        <f>IF(#REF!&gt;0,13511.27*(#REF!/#REF!),0)</f>
        <v>#REF!</v>
      </c>
      <c r="AD53" s="23"/>
      <c r="AE53" s="23" t="e">
        <f>IF(#REF!&gt;0,13511.27*(#REF!/#REF!),0)</f>
        <v>#REF!</v>
      </c>
      <c r="AF53" s="24"/>
      <c r="AG53" s="23">
        <f t="shared" si="35"/>
        <v>0</v>
      </c>
      <c r="AH53" s="24"/>
      <c r="AI53" s="23"/>
      <c r="AJ53" s="23"/>
      <c r="AK53" s="23">
        <v>910.19659999999999</v>
      </c>
      <c r="AL53" s="55">
        <v>0.6452315184015478</v>
      </c>
      <c r="AM53" s="23">
        <f t="shared" si="20"/>
        <v>1410.6511756506541</v>
      </c>
      <c r="AN53" s="23">
        <f t="shared" si="36"/>
        <v>563.83836663428588</v>
      </c>
      <c r="AO53" s="24">
        <f t="shared" si="37"/>
        <v>0.6194687682136869</v>
      </c>
      <c r="AP53" s="23"/>
      <c r="AQ53" s="23"/>
      <c r="AR53" s="23"/>
      <c r="AS53" s="66">
        <v>300</v>
      </c>
      <c r="AT53" s="66"/>
      <c r="AU53" s="66"/>
      <c r="AV53" s="66">
        <v>300</v>
      </c>
    </row>
    <row r="54" spans="1:48" ht="15" x14ac:dyDescent="0.2">
      <c r="A54" s="17" t="s">
        <v>33</v>
      </c>
      <c r="B54" s="23">
        <v>4100</v>
      </c>
      <c r="C54" s="23">
        <v>2100</v>
      </c>
      <c r="D54" s="23">
        <v>0</v>
      </c>
      <c r="E54" s="23">
        <v>0</v>
      </c>
      <c r="F54" s="23"/>
      <c r="G54" s="23">
        <v>4100</v>
      </c>
      <c r="H54" s="23">
        <v>2100</v>
      </c>
      <c r="I54" s="23">
        <f>H54</f>
        <v>2100</v>
      </c>
      <c r="J54" s="23">
        <v>1050</v>
      </c>
      <c r="K54" s="23">
        <v>1050</v>
      </c>
      <c r="L54" s="23">
        <v>0.65507192528892288</v>
      </c>
      <c r="M54" s="23">
        <f t="shared" si="33"/>
        <v>3205.7548475669814</v>
      </c>
      <c r="N54" s="23">
        <f t="shared" si="34"/>
        <v>432.71801949032135</v>
      </c>
      <c r="O54" s="23">
        <v>1050</v>
      </c>
      <c r="P54" s="23">
        <f t="shared" si="12"/>
        <v>1050</v>
      </c>
      <c r="Q54" s="23">
        <v>1050</v>
      </c>
      <c r="R54" s="23">
        <v>0</v>
      </c>
      <c r="S54" s="23">
        <f t="shared" si="13"/>
        <v>157.64595391511494</v>
      </c>
      <c r="T54" s="23">
        <f t="shared" si="14"/>
        <v>1050</v>
      </c>
      <c r="U54" s="23">
        <v>1050</v>
      </c>
      <c r="V54" s="23"/>
      <c r="W54" s="23">
        <v>1050</v>
      </c>
      <c r="X54" s="23">
        <v>1050</v>
      </c>
      <c r="Y54" s="23"/>
      <c r="Z54" s="23">
        <f t="shared" si="15"/>
        <v>82.938001571063566</v>
      </c>
      <c r="AA54" s="23">
        <f t="shared" si="16"/>
        <v>157.64595391511494</v>
      </c>
      <c r="AB54" s="23">
        <f t="shared" si="8"/>
        <v>158.46233100244893</v>
      </c>
      <c r="AC54" s="23" t="e">
        <f>IF(#REF!&gt;0,13511.27*(#REF!/#REF!),0)</f>
        <v>#REF!</v>
      </c>
      <c r="AD54" s="23">
        <f>IF(X54&gt;0,15047.87*(X54/$X$9),0)</f>
        <v>202.53051064209458</v>
      </c>
      <c r="AE54" s="23" t="e">
        <f>IF(#REF!&gt;0,13511.27*(#REF!/#REF!),0)</f>
        <v>#REF!</v>
      </c>
      <c r="AF54" s="24">
        <f t="shared" si="17"/>
        <v>0.70605619975729583</v>
      </c>
      <c r="AG54" s="23">
        <f t="shared" si="35"/>
        <v>649.07702923548197</v>
      </c>
      <c r="AH54" s="24">
        <f t="shared" si="18"/>
        <v>0.80908429963594375</v>
      </c>
      <c r="AI54" s="23">
        <v>1050</v>
      </c>
      <c r="AJ54" s="23">
        <f t="shared" si="19"/>
        <v>1050</v>
      </c>
      <c r="AK54" s="23">
        <v>812.9692</v>
      </c>
      <c r="AL54" s="55">
        <v>0.65507192528892288</v>
      </c>
      <c r="AM54" s="23">
        <f t="shared" si="20"/>
        <v>2843.9154970323721</v>
      </c>
      <c r="AN54" s="23">
        <f t="shared" si="36"/>
        <v>1136.7152251179725</v>
      </c>
      <c r="AO54" s="24">
        <f t="shared" si="37"/>
        <v>0.75068257677354511</v>
      </c>
      <c r="AP54" s="23"/>
      <c r="AQ54" s="23"/>
      <c r="AR54" s="23"/>
      <c r="AS54" s="66"/>
      <c r="AT54" s="66"/>
      <c r="AU54" s="66"/>
      <c r="AV54" s="66"/>
    </row>
    <row r="55" spans="1:48" ht="15" x14ac:dyDescent="0.2">
      <c r="A55" s="17" t="s">
        <v>34</v>
      </c>
      <c r="B55" s="23">
        <v>1791.1173999999999</v>
      </c>
      <c r="C55" s="23"/>
      <c r="D55" s="23">
        <v>0</v>
      </c>
      <c r="E55" s="23">
        <v>0</v>
      </c>
      <c r="F55" s="23"/>
      <c r="G55" s="23">
        <v>1791.1173999999999</v>
      </c>
      <c r="H55" s="23">
        <v>0</v>
      </c>
      <c r="I55" s="23">
        <v>0</v>
      </c>
      <c r="J55" s="23"/>
      <c r="K55" s="23"/>
      <c r="L55" s="23">
        <v>0.64251979804616388</v>
      </c>
      <c r="M55" s="23">
        <f t="shared" si="33"/>
        <v>0</v>
      </c>
      <c r="N55" s="23">
        <f t="shared" si="34"/>
        <v>0</v>
      </c>
      <c r="O55" s="23"/>
      <c r="P55" s="23">
        <f t="shared" si="12"/>
        <v>0</v>
      </c>
      <c r="Q55" s="23">
        <v>0</v>
      </c>
      <c r="R55" s="23">
        <v>0</v>
      </c>
      <c r="S55" s="23">
        <f t="shared" si="13"/>
        <v>0</v>
      </c>
      <c r="T55" s="23">
        <f t="shared" si="14"/>
        <v>0</v>
      </c>
      <c r="U55" s="23"/>
      <c r="V55" s="23"/>
      <c r="W55" s="23"/>
      <c r="X55" s="23">
        <v>0</v>
      </c>
      <c r="Y55" s="23"/>
      <c r="Z55" s="23">
        <f t="shared" si="15"/>
        <v>0</v>
      </c>
      <c r="AA55" s="23">
        <f t="shared" si="16"/>
        <v>0</v>
      </c>
      <c r="AB55" s="23">
        <f t="shared" si="8"/>
        <v>0</v>
      </c>
      <c r="AC55" s="23" t="e">
        <f>IF(#REF!&gt;0,13511.27*(#REF!/#REF!),0)</f>
        <v>#REF!</v>
      </c>
      <c r="AD55" s="23"/>
      <c r="AE55" s="23" t="e">
        <f>IF(#REF!&gt;0,13511.27*(#REF!/#REF!),0)</f>
        <v>#REF!</v>
      </c>
      <c r="AF55" s="24"/>
      <c r="AG55" s="23">
        <f t="shared" si="35"/>
        <v>0</v>
      </c>
      <c r="AH55" s="24"/>
      <c r="AI55" s="23"/>
      <c r="AJ55" s="23"/>
      <c r="AK55" s="23">
        <v>617.89019999999994</v>
      </c>
      <c r="AL55" s="55">
        <v>0.64251979804616388</v>
      </c>
      <c r="AM55" s="23">
        <f t="shared" si="20"/>
        <v>961.66717644956623</v>
      </c>
      <c r="AN55" s="23">
        <f t="shared" si="36"/>
        <v>384.3791146773271</v>
      </c>
      <c r="AO55" s="24">
        <f t="shared" si="37"/>
        <v>0.62208320293367192</v>
      </c>
      <c r="AP55" s="23">
        <v>165.5</v>
      </c>
      <c r="AQ55" s="23">
        <f>AN55-AP55</f>
        <v>218.8791146773271</v>
      </c>
      <c r="AR55" s="23"/>
      <c r="AS55" s="66"/>
      <c r="AT55" s="66"/>
      <c r="AU55" s="66"/>
      <c r="AV55" s="66"/>
    </row>
    <row r="56" spans="1:48" s="48" customFormat="1" ht="15" x14ac:dyDescent="0.2">
      <c r="A56" s="49" t="s">
        <v>85</v>
      </c>
      <c r="B56" s="45">
        <v>4465</v>
      </c>
      <c r="C56" s="45">
        <v>4465</v>
      </c>
      <c r="D56" s="45">
        <v>0</v>
      </c>
      <c r="E56" s="45">
        <v>0</v>
      </c>
      <c r="F56" s="45"/>
      <c r="G56" s="45">
        <v>4465</v>
      </c>
      <c r="H56" s="45">
        <v>4465</v>
      </c>
      <c r="I56" s="45">
        <f>H56</f>
        <v>4465</v>
      </c>
      <c r="J56" s="45">
        <v>2232.5</v>
      </c>
      <c r="K56" s="45">
        <v>2232.5</v>
      </c>
      <c r="L56" s="45">
        <v>0.65000452423740462</v>
      </c>
      <c r="M56" s="45">
        <f t="shared" si="33"/>
        <v>6869.1829572085016</v>
      </c>
      <c r="N56" s="45">
        <f t="shared" si="34"/>
        <v>927.21352258606396</v>
      </c>
      <c r="O56" s="45">
        <v>2232.5</v>
      </c>
      <c r="P56" s="45">
        <f t="shared" si="12"/>
        <v>2232.5</v>
      </c>
      <c r="Q56" s="45">
        <v>0</v>
      </c>
      <c r="R56" s="45">
        <v>0</v>
      </c>
      <c r="S56" s="45">
        <f t="shared" si="13"/>
        <v>335.18532582428014</v>
      </c>
      <c r="T56" s="45">
        <f t="shared" si="14"/>
        <v>2232.5</v>
      </c>
      <c r="U56" s="45">
        <v>2232.5</v>
      </c>
      <c r="V56" s="45"/>
      <c r="W56" s="45">
        <v>2232.5</v>
      </c>
      <c r="X56" s="45">
        <v>2232.5</v>
      </c>
      <c r="Y56" s="45"/>
      <c r="Z56" s="45">
        <f t="shared" si="15"/>
        <v>176.3419890546661</v>
      </c>
      <c r="AA56" s="45">
        <f t="shared" si="16"/>
        <v>335.18532582428014</v>
      </c>
      <c r="AB56" s="45">
        <f t="shared" si="8"/>
        <v>336.92109901234971</v>
      </c>
      <c r="AC56" s="45" t="e">
        <f>IF(#REF!&gt;0,13511.27*(#REF!/#REF!),0)</f>
        <v>#REF!</v>
      </c>
      <c r="AD56" s="45">
        <f>IF(X56&gt;0,15047.87*(X56/$X$9),0)</f>
        <v>430.6184428652154</v>
      </c>
      <c r="AE56" s="45" t="e">
        <f>IF(#REF!&gt;0,13511.27*(#REF!/#REF!),0)</f>
        <v>#REF!</v>
      </c>
      <c r="AF56" s="52">
        <f t="shared" si="17"/>
        <v>0.70766260304279149</v>
      </c>
      <c r="AG56" s="45">
        <f t="shared" si="35"/>
        <v>1390.820283879096</v>
      </c>
      <c r="AH56" s="52">
        <f t="shared" si="18"/>
        <v>0.81149390456418713</v>
      </c>
      <c r="AI56" s="45">
        <v>2232.5</v>
      </c>
      <c r="AJ56" s="45">
        <f t="shared" si="19"/>
        <v>2232.5</v>
      </c>
      <c r="AK56" s="45">
        <v>1484</v>
      </c>
      <c r="AL56" s="56">
        <v>0.65000452423740462</v>
      </c>
      <c r="AM56" s="45">
        <f t="shared" si="20"/>
        <v>5717.6525107425296</v>
      </c>
      <c r="AN56" s="45">
        <f t="shared" si="36"/>
        <v>2285.3501335314299</v>
      </c>
      <c r="AO56" s="52">
        <f t="shared" si="37"/>
        <v>0.75943017877482444</v>
      </c>
      <c r="AP56" s="45"/>
      <c r="AQ56" s="45"/>
      <c r="AR56" s="45"/>
      <c r="AS56" s="72"/>
      <c r="AT56" s="72"/>
      <c r="AU56" s="72"/>
      <c r="AV56" s="72"/>
    </row>
    <row r="57" spans="1:48" ht="15" x14ac:dyDescent="0.2">
      <c r="A57" s="17" t="s">
        <v>35</v>
      </c>
      <c r="B57" s="23"/>
      <c r="C57" s="23"/>
      <c r="D57" s="23">
        <v>0</v>
      </c>
      <c r="E57" s="23">
        <v>0</v>
      </c>
      <c r="F57" s="23"/>
      <c r="G57" s="23">
        <v>0</v>
      </c>
      <c r="H57" s="23">
        <v>0</v>
      </c>
      <c r="I57" s="23">
        <v>0</v>
      </c>
      <c r="J57" s="23">
        <v>0</v>
      </c>
      <c r="K57" s="23"/>
      <c r="L57" s="23">
        <v>0.63450647287286344</v>
      </c>
      <c r="M57" s="23">
        <f t="shared" si="33"/>
        <v>0</v>
      </c>
      <c r="N57" s="23">
        <f t="shared" si="34"/>
        <v>0</v>
      </c>
      <c r="O57" s="23"/>
      <c r="P57" s="23">
        <f t="shared" si="12"/>
        <v>0</v>
      </c>
      <c r="Q57" s="23">
        <v>0</v>
      </c>
      <c r="R57" s="23">
        <v>0</v>
      </c>
      <c r="S57" s="23">
        <f t="shared" si="13"/>
        <v>0</v>
      </c>
      <c r="T57" s="23">
        <f t="shared" si="14"/>
        <v>0</v>
      </c>
      <c r="U57" s="23"/>
      <c r="V57" s="23"/>
      <c r="W57" s="23">
        <v>0</v>
      </c>
      <c r="X57" s="23">
        <v>0</v>
      </c>
      <c r="Y57" s="23"/>
      <c r="Z57" s="23">
        <f t="shared" si="15"/>
        <v>0</v>
      </c>
      <c r="AA57" s="23">
        <f t="shared" si="16"/>
        <v>0</v>
      </c>
      <c r="AB57" s="23">
        <f t="shared" si="8"/>
        <v>0</v>
      </c>
      <c r="AC57" s="23" t="e">
        <f>IF(#REF!&gt;0,13511.27*(#REF!/#REF!),0)</f>
        <v>#REF!</v>
      </c>
      <c r="AD57" s="23"/>
      <c r="AE57" s="23" t="e">
        <f>IF(#REF!&gt;0,13511.27*(#REF!/#REF!),0)</f>
        <v>#REF!</v>
      </c>
      <c r="AF57" s="24"/>
      <c r="AG57" s="23">
        <f t="shared" si="35"/>
        <v>0</v>
      </c>
      <c r="AH57" s="24"/>
      <c r="AI57" s="23"/>
      <c r="AJ57" s="23"/>
      <c r="AK57" s="23">
        <v>745.02639999999985</v>
      </c>
      <c r="AL57" s="55">
        <v>0.63450647287286344</v>
      </c>
      <c r="AM57" s="23">
        <f t="shared" si="20"/>
        <v>1174.1825053836469</v>
      </c>
      <c r="AN57" s="23">
        <f t="shared" si="36"/>
        <v>469.32165612147384</v>
      </c>
      <c r="AO57" s="24">
        <f t="shared" si="37"/>
        <v>0.62993963183247459</v>
      </c>
      <c r="AP57" s="23"/>
      <c r="AQ57" s="23"/>
      <c r="AR57" s="23"/>
      <c r="AS57" s="66"/>
      <c r="AT57" s="66"/>
      <c r="AU57" s="66"/>
      <c r="AV57" s="66"/>
    </row>
    <row r="58" spans="1:48" ht="15" x14ac:dyDescent="0.2">
      <c r="A58" s="17" t="s">
        <v>36</v>
      </c>
      <c r="B58" s="23">
        <v>22610</v>
      </c>
      <c r="C58" s="23">
        <v>7000</v>
      </c>
      <c r="D58" s="23">
        <v>7750</v>
      </c>
      <c r="E58" s="23">
        <v>3000</v>
      </c>
      <c r="F58" s="23"/>
      <c r="G58" s="23">
        <v>14860</v>
      </c>
      <c r="H58" s="23">
        <v>4000</v>
      </c>
      <c r="I58" s="23">
        <f>H58</f>
        <v>4000</v>
      </c>
      <c r="J58" s="23">
        <v>3500</v>
      </c>
      <c r="K58" s="23">
        <v>3500</v>
      </c>
      <c r="L58" s="23">
        <v>0.71673976745422718</v>
      </c>
      <c r="M58" s="23">
        <f t="shared" si="33"/>
        <v>9766.4456722739851</v>
      </c>
      <c r="N58" s="23">
        <f t="shared" si="34"/>
        <v>1318.2907707286615</v>
      </c>
      <c r="O58" s="23">
        <v>3500</v>
      </c>
      <c r="P58" s="23">
        <f>C58*50%</f>
        <v>3500</v>
      </c>
      <c r="Q58" s="23">
        <v>0</v>
      </c>
      <c r="R58" s="23">
        <v>0</v>
      </c>
      <c r="S58" s="23">
        <f t="shared" si="13"/>
        <v>525.48651305038311</v>
      </c>
      <c r="T58" s="23">
        <f t="shared" si="14"/>
        <v>3500</v>
      </c>
      <c r="U58" s="23">
        <v>3500</v>
      </c>
      <c r="V58" s="23"/>
      <c r="W58" s="23">
        <v>3500</v>
      </c>
      <c r="X58" s="23">
        <v>3500</v>
      </c>
      <c r="Y58" s="23"/>
      <c r="Z58" s="23">
        <f t="shared" si="15"/>
        <v>276.46000523687854</v>
      </c>
      <c r="AA58" s="23">
        <f t="shared" si="16"/>
        <v>525.48651305038311</v>
      </c>
      <c r="AB58" s="23">
        <f t="shared" si="8"/>
        <v>528.20777000816304</v>
      </c>
      <c r="AC58" s="23" t="e">
        <f>IF(#REF!&gt;0,13511.27*(#REF!/#REF!),0)</f>
        <v>#REF!</v>
      </c>
      <c r="AD58" s="23">
        <f>IF(X58&gt;0,15047.87*(X58/$X$9),0)</f>
        <v>675.1017021403153</v>
      </c>
      <c r="AE58" s="23" t="e">
        <f>IF(#REF!&gt;0,13511.27*(#REF!/#REF!),0)</f>
        <v>#REF!</v>
      </c>
      <c r="AF58" s="24">
        <f t="shared" si="17"/>
        <v>0.68832725296123731</v>
      </c>
      <c r="AG58" s="23">
        <f t="shared" si="35"/>
        <v>1977.4361560929924</v>
      </c>
      <c r="AH58" s="24">
        <f t="shared" si="18"/>
        <v>0.78249087944185602</v>
      </c>
      <c r="AI58" s="23">
        <v>3500</v>
      </c>
      <c r="AJ58" s="23">
        <f t="shared" si="19"/>
        <v>3500</v>
      </c>
      <c r="AK58" s="23">
        <v>1345.1474000000001</v>
      </c>
      <c r="AL58" s="55">
        <v>0.71673976745422718</v>
      </c>
      <c r="AM58" s="23">
        <f t="shared" si="20"/>
        <v>6759.9812651799357</v>
      </c>
      <c r="AN58" s="23">
        <f t="shared" si="36"/>
        <v>2701.9697433558517</v>
      </c>
      <c r="AO58" s="24">
        <f t="shared" si="37"/>
        <v>0.74318276791082827</v>
      </c>
      <c r="AP58" s="23"/>
      <c r="AQ58" s="23"/>
      <c r="AR58" s="23"/>
      <c r="AS58" s="66"/>
      <c r="AT58" s="66"/>
      <c r="AU58" s="66"/>
      <c r="AV58" s="66"/>
    </row>
    <row r="59" spans="1:48" ht="30" x14ac:dyDescent="0.2">
      <c r="A59" s="15" t="s">
        <v>86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4"/>
      <c r="AG59" s="23"/>
      <c r="AH59" s="24"/>
      <c r="AI59" s="23"/>
      <c r="AJ59" s="23"/>
      <c r="AK59" s="23"/>
      <c r="AL59" s="55"/>
      <c r="AM59" s="23"/>
      <c r="AN59" s="23"/>
      <c r="AO59" s="24"/>
      <c r="AP59" s="23"/>
      <c r="AQ59" s="23"/>
      <c r="AR59" s="23"/>
      <c r="AS59" s="66"/>
      <c r="AT59" s="66"/>
      <c r="AU59" s="66"/>
      <c r="AV59" s="66"/>
    </row>
    <row r="60" spans="1:48" ht="15" x14ac:dyDescent="0.2">
      <c r="A60" s="17" t="s">
        <v>37</v>
      </c>
      <c r="B60" s="23">
        <v>17475.342000000001</v>
      </c>
      <c r="C60" s="23">
        <v>2175.3420000000001</v>
      </c>
      <c r="D60" s="23">
        <v>13100</v>
      </c>
      <c r="E60" s="23">
        <v>1900</v>
      </c>
      <c r="F60" s="23"/>
      <c r="G60" s="23">
        <v>4375.3419999999996</v>
      </c>
      <c r="H60" s="23">
        <v>275.34199999999998</v>
      </c>
      <c r="I60" s="23">
        <f>H60</f>
        <v>275.34199999999998</v>
      </c>
      <c r="J60" s="23">
        <v>1087.671</v>
      </c>
      <c r="K60" s="23">
        <v>1087.671</v>
      </c>
      <c r="L60" s="23">
        <v>0.77926225093435397</v>
      </c>
      <c r="M60" s="23">
        <f t="shared" ref="M60:M73" si="38">C60/L60</f>
        <v>2791.5403285501297</v>
      </c>
      <c r="N60" s="23">
        <f t="shared" ref="N60:N73" si="39">IF(M60&gt;0,$N$9*(M60/$M$12),0)</f>
        <v>376.80666792544997</v>
      </c>
      <c r="O60" s="23">
        <v>1087.671</v>
      </c>
      <c r="P60" s="23">
        <f t="shared" si="12"/>
        <v>1087.671</v>
      </c>
      <c r="Q60" s="23">
        <v>1087.671</v>
      </c>
      <c r="R60" s="23">
        <v>0</v>
      </c>
      <c r="S60" s="23">
        <f t="shared" si="13"/>
        <v>163.30184032457808</v>
      </c>
      <c r="T60" s="23">
        <f t="shared" si="14"/>
        <v>1087.671</v>
      </c>
      <c r="U60" s="23">
        <v>1087.671</v>
      </c>
      <c r="V60" s="23"/>
      <c r="W60" s="23">
        <v>1087.671</v>
      </c>
      <c r="X60" s="23">
        <v>1087.671</v>
      </c>
      <c r="Y60" s="23"/>
      <c r="Z60" s="23">
        <f t="shared" si="15"/>
        <v>85.913580101714558</v>
      </c>
      <c r="AA60" s="23">
        <f t="shared" si="16"/>
        <v>163.30184032457808</v>
      </c>
      <c r="AB60" s="23">
        <f t="shared" si="8"/>
        <v>164.14750668929966</v>
      </c>
      <c r="AC60" s="23" t="e">
        <f>IF(#REF!&gt;0,13511.27*(#REF!/#REF!),0)</f>
        <v>#REF!</v>
      </c>
      <c r="AD60" s="23">
        <f>IF(X60&gt;0,15047.87*(X60/$X$9),0)</f>
        <v>209.79672670533111</v>
      </c>
      <c r="AE60" s="23" t="e">
        <f>IF(#REF!&gt;0,13511.27*(#REF!/#REF!),0)</f>
        <v>#REF!</v>
      </c>
      <c r="AF60" s="24">
        <f t="shared" si="17"/>
        <v>0.67321720811047181</v>
      </c>
      <c r="AG60" s="23">
        <f t="shared" ref="AG60:AG73" si="40">IF(M60&gt;0,$AG$9*(M60/$M$12),0)</f>
        <v>565.21000188817493</v>
      </c>
      <c r="AH60" s="24">
        <f t="shared" si="18"/>
        <v>0.75982581216570766</v>
      </c>
      <c r="AI60" s="23">
        <v>1087.671</v>
      </c>
      <c r="AJ60" s="23">
        <f t="shared" si="19"/>
        <v>1087.671</v>
      </c>
      <c r="AK60" s="23">
        <v>110.7928</v>
      </c>
      <c r="AL60" s="55">
        <v>0.77926225093435397</v>
      </c>
      <c r="AM60" s="23">
        <f t="shared" si="20"/>
        <v>1537.9466906847001</v>
      </c>
      <c r="AN60" s="23">
        <f t="shared" ref="AN60:AN73" si="41">IF(AM60&gt;0,$AN$9*(AM60/$AM$9),0)</f>
        <v>614.71848250953849</v>
      </c>
      <c r="AO60" s="24">
        <f t="shared" ref="AO60:AO73" si="42">(AN60+AI60)/(C60+AK60)</f>
        <v>0.74465840006877038</v>
      </c>
      <c r="AP60" s="23"/>
      <c r="AQ60" s="23"/>
      <c r="AR60" s="23"/>
      <c r="AS60" s="66"/>
      <c r="AT60" s="66"/>
      <c r="AU60" s="66"/>
      <c r="AV60" s="66"/>
    </row>
    <row r="61" spans="1:48" ht="15" x14ac:dyDescent="0.2">
      <c r="A61" s="42" t="s">
        <v>38</v>
      </c>
      <c r="B61" s="23">
        <v>6205.1087000000007</v>
      </c>
      <c r="C61" s="23">
        <v>1400</v>
      </c>
      <c r="D61" s="23">
        <v>2600</v>
      </c>
      <c r="E61" s="23">
        <v>1400</v>
      </c>
      <c r="F61" s="23"/>
      <c r="G61" s="23">
        <v>3605.1087000000002</v>
      </c>
      <c r="H61" s="23">
        <v>0</v>
      </c>
      <c r="I61" s="23">
        <v>0</v>
      </c>
      <c r="J61" s="23"/>
      <c r="K61" s="23">
        <v>700</v>
      </c>
      <c r="L61" s="23">
        <v>0.67365113160707646</v>
      </c>
      <c r="M61" s="23">
        <f t="shared" si="38"/>
        <v>2078.227044108321</v>
      </c>
      <c r="N61" s="23">
        <f t="shared" si="39"/>
        <v>280.52247702605638</v>
      </c>
      <c r="O61" s="23">
        <v>700</v>
      </c>
      <c r="P61" s="23">
        <f t="shared" si="12"/>
        <v>700</v>
      </c>
      <c r="Q61" s="23">
        <v>700</v>
      </c>
      <c r="R61" s="23">
        <v>0</v>
      </c>
      <c r="S61" s="23">
        <f t="shared" si="13"/>
        <v>105.09730261007664</v>
      </c>
      <c r="T61" s="23">
        <f t="shared" si="14"/>
        <v>700</v>
      </c>
      <c r="U61" s="23">
        <v>700</v>
      </c>
      <c r="V61" s="23"/>
      <c r="W61" s="23"/>
      <c r="X61" s="23"/>
      <c r="Y61" s="23">
        <f t="shared" si="21"/>
        <v>-700</v>
      </c>
      <c r="Z61" s="23">
        <f t="shared" si="15"/>
        <v>55.292001047375706</v>
      </c>
      <c r="AA61" s="23">
        <f t="shared" si="16"/>
        <v>0</v>
      </c>
      <c r="AB61" s="23">
        <f t="shared" si="8"/>
        <v>0</v>
      </c>
      <c r="AC61" s="23" t="e">
        <f>IF(#REF!&gt;0,13511.27*(#REF!/#REF!),0)</f>
        <v>#REF!</v>
      </c>
      <c r="AD61" s="23"/>
      <c r="AE61" s="23" t="e">
        <f>IF(#REF!&gt;0,13511.27*(#REF!/#REF!),0)</f>
        <v>#REF!</v>
      </c>
      <c r="AF61" s="24">
        <f t="shared" si="17"/>
        <v>0.70037319787575447</v>
      </c>
      <c r="AG61" s="23">
        <f t="shared" si="40"/>
        <v>420.7837155390846</v>
      </c>
      <c r="AH61" s="24">
        <f t="shared" si="18"/>
        <v>0.80055979681363187</v>
      </c>
      <c r="AI61" s="23">
        <v>700</v>
      </c>
      <c r="AJ61" s="23">
        <f t="shared" si="19"/>
        <v>700</v>
      </c>
      <c r="AK61" s="23">
        <v>279.6096</v>
      </c>
      <c r="AL61" s="55">
        <v>0.67365113160707646</v>
      </c>
      <c r="AM61" s="23">
        <f t="shared" si="20"/>
        <v>1454.1794024200963</v>
      </c>
      <c r="AN61" s="23">
        <f t="shared" si="41"/>
        <v>581.23663256126019</v>
      </c>
      <c r="AO61" s="24">
        <f t="shared" si="42"/>
        <v>0.76281811711558456</v>
      </c>
      <c r="AP61" s="23">
        <v>3280.7</v>
      </c>
      <c r="AQ61" s="26">
        <f>AN61-AP61</f>
        <v>-2699.4633674387396</v>
      </c>
      <c r="AR61" s="26">
        <f>AQ61*75%</f>
        <v>-2024.5975255790547</v>
      </c>
      <c r="AS61" s="69"/>
      <c r="AT61" s="69"/>
      <c r="AU61" s="69"/>
      <c r="AV61" s="69"/>
    </row>
    <row r="62" spans="1:48" s="34" customFormat="1" ht="15" x14ac:dyDescent="0.2">
      <c r="A62" s="42" t="s">
        <v>39</v>
      </c>
      <c r="B62" s="23">
        <v>10250</v>
      </c>
      <c r="C62" s="23">
        <v>2225</v>
      </c>
      <c r="D62" s="23">
        <v>3000</v>
      </c>
      <c r="E62" s="23">
        <v>600</v>
      </c>
      <c r="F62" s="23"/>
      <c r="G62" s="23">
        <v>7250</v>
      </c>
      <c r="H62" s="23">
        <v>1625</v>
      </c>
      <c r="I62" s="23">
        <f>H62</f>
        <v>1625</v>
      </c>
      <c r="J62" s="23"/>
      <c r="K62" s="23">
        <v>1112.5</v>
      </c>
      <c r="L62" s="23">
        <v>0.90147574010609022</v>
      </c>
      <c r="M62" s="23">
        <f t="shared" si="38"/>
        <v>2468.1751277501385</v>
      </c>
      <c r="N62" s="23">
        <f t="shared" si="39"/>
        <v>333.15830555349271</v>
      </c>
      <c r="O62" s="23">
        <v>1112.5</v>
      </c>
      <c r="P62" s="23">
        <f t="shared" si="12"/>
        <v>1112.5</v>
      </c>
      <c r="Q62" s="23">
        <v>1112.5</v>
      </c>
      <c r="R62" s="23">
        <v>0</v>
      </c>
      <c r="S62" s="23">
        <f t="shared" si="13"/>
        <v>167.02964164815751</v>
      </c>
      <c r="T62" s="23">
        <f t="shared" si="14"/>
        <v>1112.5</v>
      </c>
      <c r="U62" s="23">
        <v>1112.5</v>
      </c>
      <c r="V62" s="23"/>
      <c r="W62" s="23"/>
      <c r="X62" s="23"/>
      <c r="Y62" s="23">
        <f t="shared" si="21"/>
        <v>-1112.5</v>
      </c>
      <c r="Z62" s="23">
        <f t="shared" si="15"/>
        <v>87.874787378864966</v>
      </c>
      <c r="AA62" s="23">
        <f t="shared" si="16"/>
        <v>0</v>
      </c>
      <c r="AB62" s="23">
        <f t="shared" si="8"/>
        <v>0</v>
      </c>
      <c r="AC62" s="23" t="e">
        <f>IF(#REF!&gt;0,13511.27*(#REF!/#REF!),0)</f>
        <v>#REF!</v>
      </c>
      <c r="AD62" s="23"/>
      <c r="AE62" s="23" t="e">
        <f>IF(#REF!&gt;0,13511.27*(#REF!/#REF!),0)</f>
        <v>#REF!</v>
      </c>
      <c r="AF62" s="24">
        <f t="shared" si="17"/>
        <v>0.64973406991168214</v>
      </c>
      <c r="AG62" s="23">
        <f t="shared" si="40"/>
        <v>499.73745833023901</v>
      </c>
      <c r="AH62" s="24">
        <f t="shared" si="18"/>
        <v>0.72460110486752316</v>
      </c>
      <c r="AI62" s="23">
        <v>1112.5</v>
      </c>
      <c r="AJ62" s="23">
        <f t="shared" si="19"/>
        <v>1112.5</v>
      </c>
      <c r="AK62" s="23">
        <v>2042.0816</v>
      </c>
      <c r="AL62" s="55">
        <v>0.90147574010609022</v>
      </c>
      <c r="AM62" s="23">
        <f t="shared" si="20"/>
        <v>3499.3527386868482</v>
      </c>
      <c r="AN62" s="23">
        <f t="shared" si="41"/>
        <v>1398.6939978611945</v>
      </c>
      <c r="AO62" s="24">
        <f t="shared" si="42"/>
        <v>0.58850386124821108</v>
      </c>
      <c r="AP62" s="23">
        <v>3804.9</v>
      </c>
      <c r="AQ62" s="26">
        <f>AN62-AP62</f>
        <v>-2406.2060021388056</v>
      </c>
      <c r="AR62" s="26">
        <f>AQ62*50%</f>
        <v>-1203.1030010694028</v>
      </c>
      <c r="AS62" s="69">
        <v>1500</v>
      </c>
      <c r="AT62" s="69"/>
      <c r="AU62" s="69"/>
      <c r="AV62" s="69">
        <v>1500</v>
      </c>
    </row>
    <row r="63" spans="1:48" ht="15" x14ac:dyDescent="0.2">
      <c r="A63" s="17" t="s">
        <v>87</v>
      </c>
      <c r="B63" s="23"/>
      <c r="C63" s="23"/>
      <c r="D63" s="23">
        <v>0</v>
      </c>
      <c r="E63" s="23">
        <v>0</v>
      </c>
      <c r="F63" s="23"/>
      <c r="G63" s="23">
        <v>0</v>
      </c>
      <c r="H63" s="23">
        <v>0</v>
      </c>
      <c r="I63" s="23">
        <v>0</v>
      </c>
      <c r="J63" s="23">
        <v>0</v>
      </c>
      <c r="K63" s="23"/>
      <c r="L63" s="23">
        <v>1.2335241350248602</v>
      </c>
      <c r="M63" s="23">
        <f t="shared" si="38"/>
        <v>0</v>
      </c>
      <c r="N63" s="23">
        <f t="shared" si="39"/>
        <v>0</v>
      </c>
      <c r="O63" s="23"/>
      <c r="P63" s="23">
        <f t="shared" si="12"/>
        <v>0</v>
      </c>
      <c r="Q63" s="23">
        <v>0</v>
      </c>
      <c r="R63" s="23">
        <v>0</v>
      </c>
      <c r="S63" s="23">
        <f t="shared" si="13"/>
        <v>0</v>
      </c>
      <c r="T63" s="23">
        <f t="shared" si="14"/>
        <v>0</v>
      </c>
      <c r="U63" s="23"/>
      <c r="V63" s="23"/>
      <c r="W63" s="23">
        <v>0</v>
      </c>
      <c r="X63" s="23">
        <v>0</v>
      </c>
      <c r="Y63" s="23"/>
      <c r="Z63" s="23">
        <f t="shared" si="15"/>
        <v>0</v>
      </c>
      <c r="AA63" s="23">
        <f t="shared" si="16"/>
        <v>0</v>
      </c>
      <c r="AB63" s="23">
        <f t="shared" si="8"/>
        <v>0</v>
      </c>
      <c r="AC63" s="23" t="e">
        <f>IF(#REF!&gt;0,13511.27*(#REF!/#REF!),0)</f>
        <v>#REF!</v>
      </c>
      <c r="AD63" s="23"/>
      <c r="AE63" s="23" t="e">
        <f>IF(#REF!&gt;0,13511.27*(#REF!/#REF!),0)</f>
        <v>#REF!</v>
      </c>
      <c r="AF63" s="24"/>
      <c r="AG63" s="23">
        <f t="shared" si="40"/>
        <v>0</v>
      </c>
      <c r="AH63" s="24"/>
      <c r="AI63" s="23"/>
      <c r="AJ63" s="23"/>
      <c r="AK63" s="23">
        <v>62.451999999999998</v>
      </c>
      <c r="AL63" s="55">
        <v>1.2335241350248602</v>
      </c>
      <c r="AM63" s="23">
        <f t="shared" si="20"/>
        <v>50.628924255901445</v>
      </c>
      <c r="AN63" s="23">
        <f t="shared" si="41"/>
        <v>20.23642020766157</v>
      </c>
      <c r="AO63" s="24">
        <f t="shared" si="42"/>
        <v>0.32403157957569928</v>
      </c>
      <c r="AP63" s="23"/>
      <c r="AQ63" s="23"/>
      <c r="AR63" s="23"/>
      <c r="AS63" s="66">
        <v>9000</v>
      </c>
      <c r="AT63" s="66"/>
      <c r="AU63" s="66"/>
      <c r="AV63" s="66">
        <v>9000</v>
      </c>
    </row>
    <row r="64" spans="1:48" ht="15" x14ac:dyDescent="0.2">
      <c r="A64" s="42" t="s">
        <v>40</v>
      </c>
      <c r="B64" s="23">
        <v>26200</v>
      </c>
      <c r="C64" s="23">
        <v>9300</v>
      </c>
      <c r="D64" s="23">
        <v>6200</v>
      </c>
      <c r="E64" s="23">
        <v>2300</v>
      </c>
      <c r="F64" s="23"/>
      <c r="G64" s="23">
        <v>20000</v>
      </c>
      <c r="H64" s="23">
        <v>7000</v>
      </c>
      <c r="I64" s="23">
        <f>H64</f>
        <v>7000</v>
      </c>
      <c r="J64" s="23"/>
      <c r="K64" s="23">
        <v>4650</v>
      </c>
      <c r="L64" s="23">
        <v>0.83840039501380081</v>
      </c>
      <c r="M64" s="23">
        <f t="shared" si="38"/>
        <v>11092.552025630801</v>
      </c>
      <c r="N64" s="23">
        <f t="shared" si="39"/>
        <v>1497.2907698376403</v>
      </c>
      <c r="O64" s="23">
        <v>4650</v>
      </c>
      <c r="P64" s="23">
        <f t="shared" si="12"/>
        <v>4650</v>
      </c>
      <c r="Q64" s="23">
        <v>4650</v>
      </c>
      <c r="R64" s="23">
        <v>0</v>
      </c>
      <c r="S64" s="23">
        <f t="shared" si="13"/>
        <v>698.1463673383663</v>
      </c>
      <c r="T64" s="23">
        <f t="shared" si="14"/>
        <v>4650</v>
      </c>
      <c r="U64" s="23">
        <v>4650</v>
      </c>
      <c r="V64" s="23"/>
      <c r="W64" s="23"/>
      <c r="X64" s="23"/>
      <c r="Y64" s="23">
        <f t="shared" si="21"/>
        <v>-4650</v>
      </c>
      <c r="Z64" s="23">
        <f t="shared" si="15"/>
        <v>367.29686410042439</v>
      </c>
      <c r="AA64" s="23">
        <f t="shared" si="16"/>
        <v>0</v>
      </c>
      <c r="AB64" s="23">
        <f t="shared" si="8"/>
        <v>0</v>
      </c>
      <c r="AC64" s="23" t="e">
        <f>IF(#REF!&gt;0,13511.27*(#REF!/#REF!),0)</f>
        <v>#REF!</v>
      </c>
      <c r="AD64" s="23"/>
      <c r="AE64" s="23" t="e">
        <f>IF(#REF!&gt;0,13511.27*(#REF!/#REF!),0)</f>
        <v>#REF!</v>
      </c>
      <c r="AF64" s="24">
        <f t="shared" si="17"/>
        <v>0.66099900750942364</v>
      </c>
      <c r="AG64" s="23">
        <f t="shared" si="40"/>
        <v>2245.9361547564604</v>
      </c>
      <c r="AH64" s="24">
        <f t="shared" si="18"/>
        <v>0.74149851126413557</v>
      </c>
      <c r="AI64" s="23">
        <v>4650</v>
      </c>
      <c r="AJ64" s="23">
        <f t="shared" si="19"/>
        <v>4650</v>
      </c>
      <c r="AK64" s="23">
        <v>1312.2370000000001</v>
      </c>
      <c r="AL64" s="55">
        <v>0.83840039501380081</v>
      </c>
      <c r="AM64" s="23">
        <f t="shared" si="20"/>
        <v>7111.4434528646143</v>
      </c>
      <c r="AN64" s="23">
        <f t="shared" si="41"/>
        <v>2842.4494517759281</v>
      </c>
      <c r="AO64" s="24">
        <f t="shared" si="42"/>
        <v>0.70601980070516024</v>
      </c>
      <c r="AP64" s="23">
        <v>7026.6</v>
      </c>
      <c r="AQ64" s="26">
        <f>AN64-AP64</f>
        <v>-4184.1505482240718</v>
      </c>
      <c r="AR64" s="26">
        <f>AQ64</f>
        <v>-4184.1505482240718</v>
      </c>
      <c r="AS64" s="66"/>
      <c r="AT64" s="66"/>
      <c r="AU64" s="66"/>
      <c r="AV64" s="66"/>
    </row>
    <row r="65" spans="1:48" s="48" customFormat="1" ht="15" x14ac:dyDescent="0.2">
      <c r="A65" s="49" t="s">
        <v>88</v>
      </c>
      <c r="B65" s="45">
        <v>8346.9560000000001</v>
      </c>
      <c r="C65" s="45">
        <v>6571.9560000000001</v>
      </c>
      <c r="D65" s="45">
        <v>2000.1</v>
      </c>
      <c r="E65" s="45">
        <v>725.1</v>
      </c>
      <c r="F65" s="45"/>
      <c r="G65" s="45">
        <v>6346.8559999999998</v>
      </c>
      <c r="H65" s="45">
        <v>5846.8559999999998</v>
      </c>
      <c r="I65" s="45">
        <f>H65</f>
        <v>5846.8559999999998</v>
      </c>
      <c r="J65" s="45">
        <v>3285.9780000000001</v>
      </c>
      <c r="K65" s="45">
        <v>3285.9780000000001</v>
      </c>
      <c r="L65" s="45">
        <v>0.67585577041112277</v>
      </c>
      <c r="M65" s="45">
        <f t="shared" si="38"/>
        <v>9723.9030688489675</v>
      </c>
      <c r="N65" s="45">
        <f t="shared" si="39"/>
        <v>1312.5483007104044</v>
      </c>
      <c r="O65" s="45">
        <v>3285.9780000000001</v>
      </c>
      <c r="P65" s="45">
        <f t="shared" si="12"/>
        <v>3285.9780000000001</v>
      </c>
      <c r="Q65" s="45">
        <v>0</v>
      </c>
      <c r="R65" s="45">
        <v>0</v>
      </c>
      <c r="S65" s="45">
        <f t="shared" si="13"/>
        <v>493.35346319436348</v>
      </c>
      <c r="T65" s="45">
        <f t="shared" si="14"/>
        <v>3285.9780000000001</v>
      </c>
      <c r="U65" s="45">
        <v>3285.9780000000001</v>
      </c>
      <c r="V65" s="45"/>
      <c r="W65" s="45">
        <v>3285.9780000000001</v>
      </c>
      <c r="X65" s="45">
        <v>3285.9780000000001</v>
      </c>
      <c r="Y65" s="45"/>
      <c r="Z65" s="45">
        <f t="shared" si="15"/>
        <v>259.5547128823622</v>
      </c>
      <c r="AA65" s="45">
        <f t="shared" si="16"/>
        <v>493.35346319436348</v>
      </c>
      <c r="AB65" s="45">
        <f t="shared" si="8"/>
        <v>495.90831762168108</v>
      </c>
      <c r="AC65" s="45" t="e">
        <f>IF(#REF!&gt;0,13511.27*(#REF!/#REF!),0)</f>
        <v>#REF!</v>
      </c>
      <c r="AD65" s="45">
        <f>IF(X65&gt;0,15047.87*(X65/$X$9),0)</f>
        <v>633.81981171303687</v>
      </c>
      <c r="AE65" s="45" t="e">
        <f>IF(#REF!&gt;0,13511.27*(#REF!/#REF!),0)</f>
        <v>#REF!</v>
      </c>
      <c r="AF65" s="52">
        <f t="shared" si="17"/>
        <v>0.69971958131040501</v>
      </c>
      <c r="AG65" s="45">
        <f t="shared" si="40"/>
        <v>1968.8224510656069</v>
      </c>
      <c r="AH65" s="52">
        <f t="shared" si="18"/>
        <v>0.79957937196560758</v>
      </c>
      <c r="AI65" s="45">
        <v>3285.9780000000001</v>
      </c>
      <c r="AJ65" s="45">
        <f t="shared" si="19"/>
        <v>3285.9780000000001</v>
      </c>
      <c r="AK65" s="45">
        <v>714.7331999999999</v>
      </c>
      <c r="AL65" s="56">
        <v>0.67585577041112277</v>
      </c>
      <c r="AM65" s="45">
        <f t="shared" si="20"/>
        <v>5919.4747979533695</v>
      </c>
      <c r="AN65" s="45">
        <f t="shared" si="41"/>
        <v>2366.0186579232727</v>
      </c>
      <c r="AO65" s="52">
        <f t="shared" si="42"/>
        <v>0.77566045467168732</v>
      </c>
      <c r="AP65" s="45"/>
      <c r="AQ65" s="45"/>
      <c r="AR65" s="45"/>
      <c r="AS65" s="72"/>
      <c r="AT65" s="72"/>
      <c r="AU65" s="72"/>
      <c r="AV65" s="72"/>
    </row>
    <row r="66" spans="1:48" ht="15" x14ac:dyDescent="0.2">
      <c r="A66" s="17" t="s">
        <v>41</v>
      </c>
      <c r="B66" s="23">
        <v>10400</v>
      </c>
      <c r="C66" s="23">
        <v>10400</v>
      </c>
      <c r="D66" s="23">
        <v>0</v>
      </c>
      <c r="E66" s="23">
        <v>0</v>
      </c>
      <c r="F66" s="23"/>
      <c r="G66" s="23">
        <v>10400</v>
      </c>
      <c r="H66" s="23">
        <v>10400</v>
      </c>
      <c r="I66" s="23">
        <f>H66</f>
        <v>10400</v>
      </c>
      <c r="J66" s="23">
        <v>5200</v>
      </c>
      <c r="K66" s="23">
        <v>5200</v>
      </c>
      <c r="L66" s="23">
        <v>0.91217634986543417</v>
      </c>
      <c r="M66" s="23">
        <f t="shared" si="38"/>
        <v>11401.304146434213</v>
      </c>
      <c r="N66" s="23">
        <f t="shared" si="39"/>
        <v>1538.9666348305254</v>
      </c>
      <c r="O66" s="23">
        <v>5200</v>
      </c>
      <c r="P66" s="23">
        <f t="shared" si="12"/>
        <v>5200</v>
      </c>
      <c r="Q66" s="23">
        <v>0</v>
      </c>
      <c r="R66" s="23">
        <v>0</v>
      </c>
      <c r="S66" s="23">
        <f t="shared" si="13"/>
        <v>780.72281938914068</v>
      </c>
      <c r="T66" s="23">
        <f t="shared" si="14"/>
        <v>5200</v>
      </c>
      <c r="U66" s="23">
        <v>5200</v>
      </c>
      <c r="V66" s="23"/>
      <c r="W66" s="23">
        <v>5200</v>
      </c>
      <c r="X66" s="23">
        <v>5200</v>
      </c>
      <c r="Y66" s="23"/>
      <c r="Z66" s="23">
        <f t="shared" si="15"/>
        <v>410.74057920907666</v>
      </c>
      <c r="AA66" s="23">
        <f t="shared" si="16"/>
        <v>780.72281938914068</v>
      </c>
      <c r="AB66" s="23">
        <f t="shared" si="8"/>
        <v>784.7658297264137</v>
      </c>
      <c r="AC66" s="23" t="e">
        <f>IF(#REF!&gt;0,13511.27*(#REF!/#REF!),0)</f>
        <v>#REF!</v>
      </c>
      <c r="AD66" s="23">
        <f>IF(X66&gt;0,15047.87*(X66/$X$9),0)</f>
        <v>1003.0082431798969</v>
      </c>
      <c r="AE66" s="23" t="e">
        <f>IF(#REF!&gt;0,13511.27*(#REF!/#REF!),0)</f>
        <v>#REF!</v>
      </c>
      <c r="AF66" s="24">
        <f t="shared" si="17"/>
        <v>0.6479775610413967</v>
      </c>
      <c r="AG66" s="23">
        <f t="shared" si="40"/>
        <v>2308.4499522457882</v>
      </c>
      <c r="AH66" s="24">
        <f t="shared" si="18"/>
        <v>0.72196634156209505</v>
      </c>
      <c r="AI66" s="23">
        <v>5200</v>
      </c>
      <c r="AJ66" s="23">
        <f t="shared" si="19"/>
        <v>5200</v>
      </c>
      <c r="AK66" s="23"/>
      <c r="AL66" s="55">
        <v>0.91217634986543417</v>
      </c>
      <c r="AM66" s="23">
        <f t="shared" si="20"/>
        <v>5700.6520732171066</v>
      </c>
      <c r="AN66" s="23">
        <f t="shared" si="41"/>
        <v>2278.5550454955933</v>
      </c>
      <c r="AO66" s="24">
        <f t="shared" si="42"/>
        <v>0.71909183129765319</v>
      </c>
      <c r="AP66" s="23"/>
      <c r="AQ66" s="23"/>
      <c r="AR66" s="23"/>
      <c r="AS66" s="66"/>
      <c r="AT66" s="66"/>
      <c r="AU66" s="66"/>
      <c r="AV66" s="66"/>
    </row>
    <row r="67" spans="1:48" ht="15" x14ac:dyDescent="0.2">
      <c r="A67" s="17" t="s">
        <v>42</v>
      </c>
      <c r="B67" s="23">
        <v>13776.07552</v>
      </c>
      <c r="C67" s="23">
        <v>11776.075000000001</v>
      </c>
      <c r="D67" s="23">
        <v>0</v>
      </c>
      <c r="E67" s="23">
        <v>0</v>
      </c>
      <c r="F67" s="23"/>
      <c r="G67" s="23">
        <v>13776.07552</v>
      </c>
      <c r="H67" s="23">
        <v>11776.075000000001</v>
      </c>
      <c r="I67" s="23">
        <f>H67</f>
        <v>11776.075000000001</v>
      </c>
      <c r="J67" s="23">
        <v>5888.0375000000004</v>
      </c>
      <c r="K67" s="23">
        <v>5888.0375000000004</v>
      </c>
      <c r="L67" s="23">
        <v>0.68231015521918015</v>
      </c>
      <c r="M67" s="23">
        <f t="shared" si="38"/>
        <v>17259.123156707443</v>
      </c>
      <c r="N67" s="23">
        <f t="shared" si="39"/>
        <v>2329.6646018263391</v>
      </c>
      <c r="O67" s="23">
        <v>5888.0375000000004</v>
      </c>
      <c r="P67" s="23">
        <f t="shared" si="12"/>
        <v>5888.0375000000004</v>
      </c>
      <c r="Q67" s="23">
        <v>0</v>
      </c>
      <c r="R67" s="23">
        <v>0</v>
      </c>
      <c r="S67" s="23">
        <f t="shared" si="13"/>
        <v>884.02408416711319</v>
      </c>
      <c r="T67" s="23">
        <f t="shared" si="14"/>
        <v>5888.0375000000004</v>
      </c>
      <c r="U67" s="23">
        <v>5888.0375000000004</v>
      </c>
      <c r="V67" s="23"/>
      <c r="W67" s="23">
        <v>5888.0375000000004</v>
      </c>
      <c r="X67" s="23">
        <v>5888.0375000000004</v>
      </c>
      <c r="Y67" s="23"/>
      <c r="Z67" s="23">
        <f t="shared" si="15"/>
        <v>465.08767945283932</v>
      </c>
      <c r="AA67" s="23">
        <f t="shared" si="16"/>
        <v>884.02408416711319</v>
      </c>
      <c r="AB67" s="23">
        <f t="shared" si="8"/>
        <v>888.60204502841134</v>
      </c>
      <c r="AC67" s="23" t="e">
        <f>IF(#REF!&gt;0,13511.27*(#REF!/#REF!),0)</f>
        <v>#REF!</v>
      </c>
      <c r="AD67" s="23">
        <f>IF(X67&gt;0,15047.87*(X67/$X$9),0)</f>
        <v>1135.721182433145</v>
      </c>
      <c r="AE67" s="23" t="e">
        <f>IF(#REF!&gt;0,13511.27*(#REF!/#REF!),0)</f>
        <v>#REF!</v>
      </c>
      <c r="AF67" s="24">
        <f t="shared" si="17"/>
        <v>0.69783031288662312</v>
      </c>
      <c r="AG67" s="23">
        <f t="shared" si="40"/>
        <v>3494.4969027395086</v>
      </c>
      <c r="AH67" s="24">
        <f t="shared" si="18"/>
        <v>0.79674546932993451</v>
      </c>
      <c r="AI67" s="23">
        <v>5888.0375000000004</v>
      </c>
      <c r="AJ67" s="23">
        <f t="shared" si="19"/>
        <v>5888.0375000000004</v>
      </c>
      <c r="AK67" s="23">
        <v>775.71359999999993</v>
      </c>
      <c r="AL67" s="55">
        <v>0.68231015521918015</v>
      </c>
      <c r="AM67" s="23">
        <f t="shared" si="20"/>
        <v>9766.4545207587998</v>
      </c>
      <c r="AN67" s="23">
        <f t="shared" si="41"/>
        <v>3903.6594303710463</v>
      </c>
      <c r="AO67" s="24">
        <f t="shared" si="42"/>
        <v>0.78010371608481732</v>
      </c>
      <c r="AP67" s="23"/>
      <c r="AQ67" s="23"/>
      <c r="AR67" s="23"/>
      <c r="AS67" s="66"/>
      <c r="AT67" s="66"/>
      <c r="AU67" s="66"/>
      <c r="AV67" s="66"/>
    </row>
    <row r="68" spans="1:48" ht="15" x14ac:dyDescent="0.2">
      <c r="A68" s="17" t="s">
        <v>139</v>
      </c>
      <c r="B68" s="23">
        <v>52530</v>
      </c>
      <c r="C68" s="23">
        <v>26260</v>
      </c>
      <c r="D68" s="23">
        <v>23500</v>
      </c>
      <c r="E68" s="23">
        <v>6600</v>
      </c>
      <c r="F68" s="23"/>
      <c r="G68" s="23">
        <v>29030</v>
      </c>
      <c r="H68" s="23">
        <f>I68</f>
        <v>19660</v>
      </c>
      <c r="I68" s="23">
        <v>19660</v>
      </c>
      <c r="J68" s="23"/>
      <c r="K68" s="23">
        <v>7985</v>
      </c>
      <c r="L68" s="23">
        <v>0.9193446060932049</v>
      </c>
      <c r="M68" s="23">
        <f t="shared" si="38"/>
        <v>28563.826693445255</v>
      </c>
      <c r="N68" s="23">
        <f t="shared" si="39"/>
        <v>3855.5919287568518</v>
      </c>
      <c r="O68" s="23">
        <v>7985</v>
      </c>
      <c r="P68" s="23">
        <f>C68*50%</f>
        <v>13130</v>
      </c>
      <c r="Q68" s="23">
        <v>7397.63</v>
      </c>
      <c r="R68" s="23">
        <v>0</v>
      </c>
      <c r="S68" s="23">
        <f t="shared" si="13"/>
        <v>1971.3251189575803</v>
      </c>
      <c r="T68" s="23">
        <f t="shared" si="14"/>
        <v>13130</v>
      </c>
      <c r="U68" s="23" t="e">
        <f>#REF!</f>
        <v>#REF!</v>
      </c>
      <c r="V68" s="23"/>
      <c r="W68" s="23"/>
      <c r="X68" s="23">
        <v>7985</v>
      </c>
      <c r="Y68" s="23">
        <f t="shared" si="21"/>
        <v>-7985</v>
      </c>
      <c r="Z68" s="23">
        <f t="shared" si="15"/>
        <v>630.72375480470726</v>
      </c>
      <c r="AA68" s="23">
        <f t="shared" si="16"/>
        <v>1198.8599447735171</v>
      </c>
      <c r="AB68" s="23">
        <f t="shared" si="8"/>
        <v>0</v>
      </c>
      <c r="AC68" s="23" t="e">
        <f>IF(#REF!&gt;0,13511.27*(#REF!/#REF!),0)</f>
        <v>#REF!</v>
      </c>
      <c r="AD68" s="23">
        <f>IF(X68&gt;0,15047.87*(X68/$X$9),0)</f>
        <v>1540.1963118829765</v>
      </c>
      <c r="AE68" s="23" t="e">
        <f>IF(#REF!&gt;0,13511.27*(#REF!/#REF!),0)</f>
        <v>#REF!</v>
      </c>
      <c r="AF68" s="24">
        <f t="shared" si="17"/>
        <v>0.45089839789630054</v>
      </c>
      <c r="AG68" s="23">
        <f t="shared" si="40"/>
        <v>5783.3878931352774</v>
      </c>
      <c r="AH68" s="24">
        <f t="shared" si="18"/>
        <v>0.52431027772792371</v>
      </c>
      <c r="AI68" s="23">
        <v>7985</v>
      </c>
      <c r="AJ68" s="23">
        <f>AI68</f>
        <v>7985</v>
      </c>
      <c r="AK68" s="23">
        <v>1662.3979999999999</v>
      </c>
      <c r="AL68" s="55">
        <v>0.9193446060932049</v>
      </c>
      <c r="AM68" s="23">
        <f>(AJ68+AK68)/AL68</f>
        <v>10493.777780452794</v>
      </c>
      <c r="AN68" s="23">
        <f t="shared" si="41"/>
        <v>4194.3711001584643</v>
      </c>
      <c r="AO68" s="24">
        <f t="shared" si="42"/>
        <v>0.43618642998206897</v>
      </c>
      <c r="AP68" s="23"/>
      <c r="AQ68" s="23"/>
      <c r="AR68" s="23"/>
      <c r="AS68" s="66"/>
      <c r="AT68" s="66"/>
      <c r="AU68" s="66"/>
      <c r="AV68" s="66"/>
    </row>
    <row r="69" spans="1:48" ht="15" x14ac:dyDescent="0.2">
      <c r="A69" s="17" t="s">
        <v>43</v>
      </c>
      <c r="B69" s="23">
        <v>14750</v>
      </c>
      <c r="C69" s="23">
        <v>2850</v>
      </c>
      <c r="D69" s="23">
        <v>14000</v>
      </c>
      <c r="E69" s="23">
        <v>2100</v>
      </c>
      <c r="F69" s="23"/>
      <c r="G69" s="23">
        <v>750</v>
      </c>
      <c r="H69" s="23">
        <v>750</v>
      </c>
      <c r="I69" s="23">
        <f>H69</f>
        <v>750</v>
      </c>
      <c r="J69" s="23">
        <v>1425</v>
      </c>
      <c r="K69" s="23">
        <v>1425</v>
      </c>
      <c r="L69" s="23">
        <v>0.93882243125321685</v>
      </c>
      <c r="M69" s="23">
        <f t="shared" si="38"/>
        <v>3035.7178366473277</v>
      </c>
      <c r="N69" s="23">
        <f t="shared" si="39"/>
        <v>409.76614634223921</v>
      </c>
      <c r="O69" s="23">
        <v>1425</v>
      </c>
      <c r="P69" s="23">
        <f t="shared" si="12"/>
        <v>1425</v>
      </c>
      <c r="Q69" s="23">
        <v>1425</v>
      </c>
      <c r="R69" s="23">
        <v>0</v>
      </c>
      <c r="S69" s="23">
        <f t="shared" si="13"/>
        <v>213.94808031337027</v>
      </c>
      <c r="T69" s="23">
        <f t="shared" si="14"/>
        <v>1425</v>
      </c>
      <c r="U69" s="23">
        <v>1425</v>
      </c>
      <c r="V69" s="23"/>
      <c r="W69" s="23">
        <f>U69</f>
        <v>1425</v>
      </c>
      <c r="X69" s="23">
        <v>1425</v>
      </c>
      <c r="Y69" s="23"/>
      <c r="Z69" s="23">
        <f t="shared" si="15"/>
        <v>112.55871641787199</v>
      </c>
      <c r="AA69" s="23">
        <f t="shared" si="16"/>
        <v>213.94808031337027</v>
      </c>
      <c r="AB69" s="23">
        <f t="shared" si="8"/>
        <v>215.05602064618068</v>
      </c>
      <c r="AC69" s="23" t="e">
        <f>IF(#REF!&gt;0,13511.27*(#REF!/#REF!),0)</f>
        <v>#REF!</v>
      </c>
      <c r="AD69" s="23">
        <f>IF(X69&gt;0,15047.87*(X69/$X$9),0)</f>
        <v>274.86283587141406</v>
      </c>
      <c r="AE69" s="23" t="e">
        <f>IF(#REF!&gt;0,13511.27*(#REF!/#REF!),0)</f>
        <v>#REF!</v>
      </c>
      <c r="AF69" s="24">
        <f t="shared" si="17"/>
        <v>0.6437775952078032</v>
      </c>
      <c r="AG69" s="23">
        <f t="shared" si="40"/>
        <v>614.64921951335884</v>
      </c>
      <c r="AH69" s="24">
        <f t="shared" si="18"/>
        <v>0.71566639281170485</v>
      </c>
      <c r="AI69" s="23">
        <v>1425</v>
      </c>
      <c r="AJ69" s="23">
        <f t="shared" si="19"/>
        <v>1425</v>
      </c>
      <c r="AK69" s="23">
        <v>499.9</v>
      </c>
      <c r="AL69" s="55">
        <v>0.93882243125321685</v>
      </c>
      <c r="AM69" s="23">
        <f t="shared" si="20"/>
        <v>2050.3344785131371</v>
      </c>
      <c r="AN69" s="23">
        <f t="shared" si="41"/>
        <v>819.52027785010932</v>
      </c>
      <c r="AO69" s="24">
        <f t="shared" si="42"/>
        <v>0.67002605386731229</v>
      </c>
      <c r="AP69" s="23"/>
      <c r="AQ69" s="23"/>
      <c r="AR69" s="23"/>
      <c r="AS69" s="66">
        <v>470</v>
      </c>
      <c r="AT69" s="66"/>
      <c r="AU69" s="66"/>
      <c r="AV69" s="66">
        <v>470</v>
      </c>
    </row>
    <row r="70" spans="1:48" s="48" customFormat="1" ht="15" x14ac:dyDescent="0.2">
      <c r="A70" s="49" t="s">
        <v>44</v>
      </c>
      <c r="B70" s="45">
        <v>11815.355</v>
      </c>
      <c r="C70" s="45"/>
      <c r="D70" s="45">
        <v>0</v>
      </c>
      <c r="E70" s="45">
        <v>0</v>
      </c>
      <c r="F70" s="45"/>
      <c r="G70" s="45">
        <v>11815.355</v>
      </c>
      <c r="H70" s="45">
        <v>0</v>
      </c>
      <c r="I70" s="45">
        <v>0</v>
      </c>
      <c r="J70" s="45">
        <v>0</v>
      </c>
      <c r="K70" s="45"/>
      <c r="L70" s="45">
        <v>0.75693245505302575</v>
      </c>
      <c r="M70" s="45">
        <f t="shared" si="38"/>
        <v>0</v>
      </c>
      <c r="N70" s="45">
        <f t="shared" si="39"/>
        <v>0</v>
      </c>
      <c r="O70" s="45"/>
      <c r="P70" s="45">
        <f t="shared" si="12"/>
        <v>0</v>
      </c>
      <c r="Q70" s="45">
        <v>0</v>
      </c>
      <c r="R70" s="45">
        <v>0</v>
      </c>
      <c r="S70" s="45">
        <f t="shared" si="13"/>
        <v>0</v>
      </c>
      <c r="T70" s="45">
        <f t="shared" si="14"/>
        <v>0</v>
      </c>
      <c r="U70" s="45"/>
      <c r="V70" s="45"/>
      <c r="W70" s="45"/>
      <c r="X70" s="45">
        <v>0</v>
      </c>
      <c r="Y70" s="45"/>
      <c r="Z70" s="45">
        <f t="shared" si="15"/>
        <v>0</v>
      </c>
      <c r="AA70" s="45">
        <f t="shared" si="16"/>
        <v>0</v>
      </c>
      <c r="AB70" s="45">
        <f t="shared" si="8"/>
        <v>0</v>
      </c>
      <c r="AC70" s="45" t="e">
        <f>IF(#REF!&gt;0,13511.27*(#REF!/#REF!),0)</f>
        <v>#REF!</v>
      </c>
      <c r="AD70" s="45"/>
      <c r="AE70" s="45" t="e">
        <f>IF(#REF!&gt;0,13511.27*(#REF!/#REF!),0)</f>
        <v>#REF!</v>
      </c>
      <c r="AF70" s="52"/>
      <c r="AG70" s="45">
        <f t="shared" si="40"/>
        <v>0</v>
      </c>
      <c r="AH70" s="52"/>
      <c r="AI70" s="45"/>
      <c r="AJ70" s="45"/>
      <c r="AK70" s="45">
        <v>2400</v>
      </c>
      <c r="AL70" s="56">
        <v>0.75693245505302575</v>
      </c>
      <c r="AM70" s="45">
        <f t="shared" si="20"/>
        <v>3170.6924230536151</v>
      </c>
      <c r="AN70" s="45">
        <f t="shared" si="41"/>
        <v>1267.3282153468338</v>
      </c>
      <c r="AO70" s="52">
        <f t="shared" si="42"/>
        <v>0.52805342306118075</v>
      </c>
      <c r="AP70" s="45"/>
      <c r="AQ70" s="45"/>
      <c r="AR70" s="45"/>
      <c r="AS70" s="72"/>
      <c r="AT70" s="72"/>
      <c r="AU70" s="72"/>
      <c r="AV70" s="72"/>
    </row>
    <row r="71" spans="1:48" ht="15" x14ac:dyDescent="0.2">
      <c r="A71" s="42" t="s">
        <v>45</v>
      </c>
      <c r="B71" s="23">
        <v>44163.270000000004</v>
      </c>
      <c r="C71" s="23">
        <v>6300</v>
      </c>
      <c r="D71" s="23">
        <v>29400</v>
      </c>
      <c r="E71" s="23">
        <f>F71</f>
        <v>6300</v>
      </c>
      <c r="F71" s="23">
        <v>6300</v>
      </c>
      <c r="G71" s="23">
        <v>14763.27</v>
      </c>
      <c r="H71" s="23">
        <v>0</v>
      </c>
      <c r="I71" s="23">
        <v>0</v>
      </c>
      <c r="J71" s="23"/>
      <c r="K71" s="23">
        <v>2977.15</v>
      </c>
      <c r="L71" s="23">
        <v>1.1478842708741723</v>
      </c>
      <c r="M71" s="23">
        <f t="shared" si="38"/>
        <v>5488.3581558289225</v>
      </c>
      <c r="N71" s="23">
        <f t="shared" si="39"/>
        <v>740.82753809022267</v>
      </c>
      <c r="O71" s="23">
        <v>2977.15</v>
      </c>
      <c r="P71" s="23">
        <f t="shared" si="12"/>
        <v>3150</v>
      </c>
      <c r="Q71" s="23">
        <v>3150</v>
      </c>
      <c r="R71" s="23">
        <v>3150</v>
      </c>
      <c r="S71" s="23">
        <f t="shared" si="13"/>
        <v>472.93786174534483</v>
      </c>
      <c r="T71" s="23">
        <f t="shared" si="14"/>
        <v>3150</v>
      </c>
      <c r="U71" s="23">
        <f>O71</f>
        <v>2977.15</v>
      </c>
      <c r="V71" s="23"/>
      <c r="W71" s="23"/>
      <c r="X71" s="23"/>
      <c r="Y71" s="23">
        <f t="shared" si="21"/>
        <v>-2977.15</v>
      </c>
      <c r="Z71" s="23">
        <f t="shared" si="15"/>
        <v>235.16082988313516</v>
      </c>
      <c r="AA71" s="23">
        <f t="shared" si="16"/>
        <v>0</v>
      </c>
      <c r="AB71" s="23">
        <f t="shared" si="8"/>
        <v>0</v>
      </c>
      <c r="AC71" s="23" t="e">
        <f>IF(#REF!&gt;0,13511.27*(#REF!/#REF!),0)</f>
        <v>#REF!</v>
      </c>
      <c r="AD71" s="23"/>
      <c r="AE71" s="23" t="e">
        <f>IF(#REF!&gt;0,13511.27*(#REF!/#REF!),0)</f>
        <v>#REF!</v>
      </c>
      <c r="AF71" s="24">
        <f t="shared" si="17"/>
        <v>0.59015516477622587</v>
      </c>
      <c r="AG71" s="23">
        <f t="shared" si="40"/>
        <v>1111.241307135334</v>
      </c>
      <c r="AH71" s="24">
        <f t="shared" si="18"/>
        <v>0.64895100113259274</v>
      </c>
      <c r="AI71" s="23">
        <v>2977.15</v>
      </c>
      <c r="AJ71" s="23">
        <f t="shared" si="19"/>
        <v>3322.85</v>
      </c>
      <c r="AK71" s="23">
        <v>438.33100000000002</v>
      </c>
      <c r="AL71" s="55">
        <v>1.1478842708741723</v>
      </c>
      <c r="AM71" s="23">
        <f t="shared" si="20"/>
        <v>3276.6203836347277</v>
      </c>
      <c r="AN71" s="23">
        <f t="shared" si="41"/>
        <v>1309.6677031705385</v>
      </c>
      <c r="AO71" s="24">
        <f t="shared" si="42"/>
        <v>0.63618390120202439</v>
      </c>
      <c r="AP71" s="23">
        <v>1468</v>
      </c>
      <c r="AQ71" s="26">
        <f>AN71-AP71</f>
        <v>-158.33229682946148</v>
      </c>
      <c r="AR71" s="26">
        <f>AQ71*50%</f>
        <v>-79.166148414730742</v>
      </c>
      <c r="AS71" s="69">
        <v>1000</v>
      </c>
      <c r="AT71" s="69"/>
      <c r="AU71" s="69"/>
      <c r="AV71" s="69">
        <v>1000</v>
      </c>
    </row>
    <row r="72" spans="1:48" s="34" customFormat="1" ht="15" x14ac:dyDescent="0.2">
      <c r="A72" s="17" t="s">
        <v>46</v>
      </c>
      <c r="B72" s="23">
        <v>24267.8943</v>
      </c>
      <c r="C72" s="23"/>
      <c r="D72" s="23">
        <v>0</v>
      </c>
      <c r="E72" s="23">
        <v>0</v>
      </c>
      <c r="F72" s="23"/>
      <c r="G72" s="23">
        <v>24267.8943</v>
      </c>
      <c r="H72" s="23">
        <v>0</v>
      </c>
      <c r="I72" s="23">
        <v>0</v>
      </c>
      <c r="J72" s="23"/>
      <c r="K72" s="23"/>
      <c r="L72" s="23">
        <v>0.74688825112675872</v>
      </c>
      <c r="M72" s="23">
        <f t="shared" si="38"/>
        <v>0</v>
      </c>
      <c r="N72" s="23">
        <f t="shared" si="39"/>
        <v>0</v>
      </c>
      <c r="O72" s="23"/>
      <c r="P72" s="23">
        <f t="shared" si="12"/>
        <v>0</v>
      </c>
      <c r="Q72" s="23">
        <v>0</v>
      </c>
      <c r="R72" s="23">
        <v>0</v>
      </c>
      <c r="S72" s="23">
        <f t="shared" si="13"/>
        <v>0</v>
      </c>
      <c r="T72" s="23">
        <f t="shared" si="14"/>
        <v>0</v>
      </c>
      <c r="U72" s="23"/>
      <c r="V72" s="23"/>
      <c r="W72" s="23"/>
      <c r="X72" s="23"/>
      <c r="Y72" s="23"/>
      <c r="Z72" s="23">
        <f t="shared" si="15"/>
        <v>0</v>
      </c>
      <c r="AA72" s="23">
        <f t="shared" si="16"/>
        <v>0</v>
      </c>
      <c r="AB72" s="23">
        <f t="shared" si="8"/>
        <v>0</v>
      </c>
      <c r="AC72" s="23" t="e">
        <f>IF(#REF!&gt;0,13511.27*(#REF!/#REF!),0)</f>
        <v>#REF!</v>
      </c>
      <c r="AD72" s="23"/>
      <c r="AE72" s="23" t="e">
        <f>IF(#REF!&gt;0,13511.27*(#REF!/#REF!),0)</f>
        <v>#REF!</v>
      </c>
      <c r="AF72" s="24"/>
      <c r="AG72" s="23">
        <f t="shared" si="40"/>
        <v>0</v>
      </c>
      <c r="AH72" s="24"/>
      <c r="AI72" s="23"/>
      <c r="AJ72" s="23"/>
      <c r="AK72" s="23">
        <v>8030</v>
      </c>
      <c r="AL72" s="55">
        <v>0.74688825112675872</v>
      </c>
      <c r="AM72" s="23">
        <f t="shared" si="20"/>
        <v>10751.27368503375</v>
      </c>
      <c r="AN72" s="23">
        <f t="shared" si="41"/>
        <v>4297.2924124998926</v>
      </c>
      <c r="AO72" s="24">
        <f t="shared" si="42"/>
        <v>0.53515472135739639</v>
      </c>
      <c r="AP72" s="23"/>
      <c r="AQ72" s="23"/>
      <c r="AR72" s="23"/>
      <c r="AS72" s="69">
        <v>2900</v>
      </c>
      <c r="AT72" s="69">
        <v>2900</v>
      </c>
      <c r="AU72" s="69"/>
      <c r="AV72" s="69"/>
    </row>
    <row r="73" spans="1:48" ht="15" x14ac:dyDescent="0.2">
      <c r="A73" s="17" t="s">
        <v>47</v>
      </c>
      <c r="B73" s="23">
        <v>12529.406000000001</v>
      </c>
      <c r="C73" s="23">
        <v>2479.4059999999999</v>
      </c>
      <c r="D73" s="23">
        <v>0</v>
      </c>
      <c r="E73" s="23">
        <v>0</v>
      </c>
      <c r="F73" s="23"/>
      <c r="G73" s="23">
        <v>12529.406000000001</v>
      </c>
      <c r="H73" s="23">
        <v>2479.4059999999999</v>
      </c>
      <c r="I73" s="23">
        <f>H73</f>
        <v>2479.4059999999999</v>
      </c>
      <c r="J73" s="23">
        <v>1239.703</v>
      </c>
      <c r="K73" s="23">
        <v>1239.703</v>
      </c>
      <c r="L73" s="23">
        <v>0.75717169208010593</v>
      </c>
      <c r="M73" s="23">
        <f t="shared" si="38"/>
        <v>3274.5624617694875</v>
      </c>
      <c r="N73" s="23">
        <f t="shared" si="39"/>
        <v>442.00578351449798</v>
      </c>
      <c r="O73" s="23">
        <v>1239.703</v>
      </c>
      <c r="P73" s="23">
        <f t="shared" si="12"/>
        <v>1239.703</v>
      </c>
      <c r="Q73" s="23">
        <v>0</v>
      </c>
      <c r="R73" s="23">
        <v>0</v>
      </c>
      <c r="S73" s="23">
        <f t="shared" si="13"/>
        <v>186.12777333945689</v>
      </c>
      <c r="T73" s="23">
        <f t="shared" si="14"/>
        <v>1239.703</v>
      </c>
      <c r="U73" s="23">
        <v>1239.703</v>
      </c>
      <c r="V73" s="23"/>
      <c r="W73" s="23">
        <v>1239.703</v>
      </c>
      <c r="X73" s="23">
        <v>1239.703</v>
      </c>
      <c r="Y73" s="23"/>
      <c r="Z73" s="23">
        <f t="shared" si="15"/>
        <v>97.922370820621154</v>
      </c>
      <c r="AA73" s="23">
        <f t="shared" si="16"/>
        <v>186.12777333945689</v>
      </c>
      <c r="AB73" s="23">
        <f t="shared" si="8"/>
        <v>187.09164488640849</v>
      </c>
      <c r="AC73" s="23" t="e">
        <f>IF(#REF!&gt;0,13511.27*(#REF!/#REF!),0)</f>
        <v>#REF!</v>
      </c>
      <c r="AD73" s="23">
        <f>IF(X73&gt;0,15047.87*(X73/$X$9),0)</f>
        <v>239.12160155670151</v>
      </c>
      <c r="AE73" s="23" t="e">
        <f>IF(#REF!&gt;0,13511.27*(#REF!/#REF!),0)</f>
        <v>#REF!</v>
      </c>
      <c r="AF73" s="24">
        <f t="shared" si="17"/>
        <v>0.67827083725476911</v>
      </c>
      <c r="AG73" s="23">
        <f t="shared" si="40"/>
        <v>663.00867527174694</v>
      </c>
      <c r="AH73" s="24">
        <f t="shared" si="18"/>
        <v>0.76740625588215361</v>
      </c>
      <c r="AI73" s="23">
        <v>1239.703</v>
      </c>
      <c r="AJ73" s="23">
        <f t="shared" si="19"/>
        <v>1239.703</v>
      </c>
      <c r="AK73" s="23">
        <v>766.15160000000003</v>
      </c>
      <c r="AL73" s="55">
        <v>0.75717169208010593</v>
      </c>
      <c r="AM73" s="23">
        <f t="shared" si="20"/>
        <v>2649.1410349606522</v>
      </c>
      <c r="AN73" s="23">
        <f t="shared" si="41"/>
        <v>1058.8637218886672</v>
      </c>
      <c r="AO73" s="24">
        <f t="shared" si="42"/>
        <v>0.70821935863614538</v>
      </c>
      <c r="AP73" s="23"/>
      <c r="AQ73" s="23"/>
      <c r="AR73" s="23"/>
      <c r="AS73" s="69"/>
      <c r="AT73" s="69"/>
      <c r="AU73" s="69"/>
      <c r="AV73" s="69"/>
    </row>
    <row r="74" spans="1:48" ht="15" x14ac:dyDescent="0.2">
      <c r="A74" s="15" t="s">
        <v>89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4"/>
      <c r="AG74" s="23"/>
      <c r="AH74" s="24"/>
      <c r="AI74" s="23"/>
      <c r="AJ74" s="23"/>
      <c r="AK74" s="23"/>
      <c r="AL74" s="55"/>
      <c r="AM74" s="23"/>
      <c r="AN74" s="23"/>
      <c r="AO74" s="24"/>
      <c r="AP74" s="23"/>
      <c r="AQ74" s="23"/>
      <c r="AR74" s="23"/>
      <c r="AS74" s="66"/>
      <c r="AT74" s="66"/>
      <c r="AU74" s="66"/>
      <c r="AV74" s="66"/>
    </row>
    <row r="75" spans="1:48" s="48" customFormat="1" ht="15.75" customHeight="1" x14ac:dyDescent="0.2">
      <c r="A75" s="49" t="s">
        <v>48</v>
      </c>
      <c r="B75" s="45">
        <v>5661.7735999999995</v>
      </c>
      <c r="C75" s="45"/>
      <c r="D75" s="45">
        <v>0</v>
      </c>
      <c r="E75" s="45">
        <v>0</v>
      </c>
      <c r="F75" s="45"/>
      <c r="G75" s="45">
        <v>5661.7735999999995</v>
      </c>
      <c r="H75" s="45">
        <v>0</v>
      </c>
      <c r="I75" s="45">
        <v>0</v>
      </c>
      <c r="J75" s="45">
        <v>0</v>
      </c>
      <c r="K75" s="45"/>
      <c r="L75" s="45">
        <v>0.67124984032848356</v>
      </c>
      <c r="M75" s="45">
        <f t="shared" ref="M75:M80" si="43">C75/L75</f>
        <v>0</v>
      </c>
      <c r="N75" s="45">
        <f t="shared" ref="N75:N93" si="44">IF(M75&gt;0,$N$9*(M75/$M$12),0)</f>
        <v>0</v>
      </c>
      <c r="O75" s="45"/>
      <c r="P75" s="45">
        <f t="shared" si="12"/>
        <v>0</v>
      </c>
      <c r="Q75" s="45">
        <v>0</v>
      </c>
      <c r="R75" s="45">
        <v>0</v>
      </c>
      <c r="S75" s="45">
        <f t="shared" si="13"/>
        <v>0</v>
      </c>
      <c r="T75" s="45">
        <f t="shared" si="14"/>
        <v>0</v>
      </c>
      <c r="U75" s="45"/>
      <c r="V75" s="45"/>
      <c r="W75" s="45">
        <v>0</v>
      </c>
      <c r="X75" s="45">
        <v>0</v>
      </c>
      <c r="Y75" s="45"/>
      <c r="Z75" s="45">
        <f t="shared" si="15"/>
        <v>0</v>
      </c>
      <c r="AA75" s="45">
        <f t="shared" si="16"/>
        <v>0</v>
      </c>
      <c r="AB75" s="45">
        <f t="shared" si="8"/>
        <v>0</v>
      </c>
      <c r="AC75" s="45" t="e">
        <f>IF(#REF!&gt;0,13511.27*(#REF!/#REF!),0)</f>
        <v>#REF!</v>
      </c>
      <c r="AD75" s="45"/>
      <c r="AE75" s="45" t="e">
        <f>IF(#REF!&gt;0,13511.27*(#REF!/#REF!),0)</f>
        <v>#REF!</v>
      </c>
      <c r="AF75" s="52"/>
      <c r="AG75" s="45">
        <f t="shared" ref="AG75:AG93" si="45">IF(M75&gt;0,$AG$9*(M75/$M$12),0)</f>
        <v>0</v>
      </c>
      <c r="AH75" s="52"/>
      <c r="AI75" s="45"/>
      <c r="AJ75" s="45"/>
      <c r="AK75" s="45">
        <v>745.50599999999997</v>
      </c>
      <c r="AL75" s="56">
        <v>0.67124984032848356</v>
      </c>
      <c r="AM75" s="45">
        <f t="shared" si="20"/>
        <v>1110.6237278733331</v>
      </c>
      <c r="AN75" s="45">
        <f>IF(AM75&gt;0,$AN$9*(AM75/$AM$9),0)</f>
        <v>443.91716356139227</v>
      </c>
      <c r="AO75" s="52">
        <f>(AN75+AI75)/(C75+AK75)</f>
        <v>0.59545753295264192</v>
      </c>
      <c r="AP75" s="45"/>
      <c r="AQ75" s="45"/>
      <c r="AR75" s="45"/>
      <c r="AS75" s="72">
        <v>745.50599999999997</v>
      </c>
      <c r="AT75" s="72">
        <v>745.50599999999997</v>
      </c>
      <c r="AU75" s="72"/>
      <c r="AV75" s="72"/>
    </row>
    <row r="76" spans="1:48" ht="15" x14ac:dyDescent="0.2">
      <c r="A76" s="17" t="s">
        <v>49</v>
      </c>
      <c r="B76" s="23">
        <v>41754</v>
      </c>
      <c r="C76" s="23">
        <v>10300</v>
      </c>
      <c r="D76" s="23">
        <v>3450</v>
      </c>
      <c r="E76" s="23">
        <v>1800</v>
      </c>
      <c r="F76" s="23"/>
      <c r="G76" s="23">
        <v>38304</v>
      </c>
      <c r="H76" s="23">
        <v>8500</v>
      </c>
      <c r="I76" s="23">
        <f>H76</f>
        <v>8500</v>
      </c>
      <c r="J76" s="23">
        <v>5150</v>
      </c>
      <c r="K76" s="23">
        <v>5150</v>
      </c>
      <c r="L76" s="23">
        <v>1.0993413235722536</v>
      </c>
      <c r="M76" s="23">
        <f t="shared" si="43"/>
        <v>9369.246638096598</v>
      </c>
      <c r="N76" s="23">
        <f t="shared" si="44"/>
        <v>1264.6761970680609</v>
      </c>
      <c r="O76" s="23">
        <v>5150</v>
      </c>
      <c r="P76" s="23">
        <f t="shared" si="12"/>
        <v>5150</v>
      </c>
      <c r="Q76" s="23">
        <v>0</v>
      </c>
      <c r="R76" s="23">
        <v>0</v>
      </c>
      <c r="S76" s="23">
        <f t="shared" si="13"/>
        <v>773.2158692027067</v>
      </c>
      <c r="T76" s="23">
        <f t="shared" si="14"/>
        <v>5150</v>
      </c>
      <c r="U76" s="23">
        <v>5150</v>
      </c>
      <c r="V76" s="23"/>
      <c r="W76" s="23">
        <v>5150</v>
      </c>
      <c r="X76" s="23">
        <v>5150</v>
      </c>
      <c r="Y76" s="23"/>
      <c r="Z76" s="23">
        <f t="shared" si="15"/>
        <v>406.79115056283558</v>
      </c>
      <c r="AA76" s="23">
        <f t="shared" si="16"/>
        <v>773.2158692027067</v>
      </c>
      <c r="AB76" s="23">
        <f t="shared" si="8"/>
        <v>777.22000444058278</v>
      </c>
      <c r="AC76" s="23" t="e">
        <f>IF(#REF!&gt;0,13511.27*(#REF!/#REF!),0)</f>
        <v>#REF!</v>
      </c>
      <c r="AD76" s="23">
        <f>IF(X76&gt;0,15047.87*(X76/$X$9),0)</f>
        <v>993.36393314932104</v>
      </c>
      <c r="AE76" s="23" t="e">
        <f>IF(#REF!&gt;0,13511.27*(#REF!/#REF!),0)</f>
        <v>#REF!</v>
      </c>
      <c r="AF76" s="24">
        <f t="shared" si="17"/>
        <v>0.6227840968027244</v>
      </c>
      <c r="AG76" s="23">
        <f t="shared" si="45"/>
        <v>1897.0142956020916</v>
      </c>
      <c r="AH76" s="24">
        <f t="shared" si="18"/>
        <v>0.68417614520408654</v>
      </c>
      <c r="AI76" s="23">
        <v>5150</v>
      </c>
      <c r="AJ76" s="23">
        <f t="shared" si="19"/>
        <v>5150</v>
      </c>
      <c r="AK76" s="23">
        <v>2401.7632000000003</v>
      </c>
      <c r="AL76" s="55">
        <v>1.0993413235722536</v>
      </c>
      <c r="AM76" s="23">
        <f t="shared" si="20"/>
        <v>6869.3526187671459</v>
      </c>
      <c r="AN76" s="23">
        <f>IF(AM76&gt;0,$AN$9*(AM76/$AM$9),0)</f>
        <v>2745.6855580289935</v>
      </c>
      <c r="AO76" s="24">
        <f>(AN76+AI76)/(C76+AK76)</f>
        <v>0.62162122169219725</v>
      </c>
      <c r="AP76" s="23"/>
      <c r="AQ76" s="23"/>
      <c r="AR76" s="23"/>
      <c r="AS76" s="66"/>
      <c r="AT76" s="66"/>
      <c r="AU76" s="66"/>
      <c r="AV76" s="66"/>
    </row>
    <row r="77" spans="1:48" ht="15" x14ac:dyDescent="0.2">
      <c r="A77" s="17" t="s">
        <v>96</v>
      </c>
      <c r="B77" s="23"/>
      <c r="C77" s="23"/>
      <c r="D77" s="23">
        <v>0</v>
      </c>
      <c r="E77" s="23">
        <v>0</v>
      </c>
      <c r="F77" s="23"/>
      <c r="G77" s="23">
        <v>0</v>
      </c>
      <c r="H77" s="23">
        <v>0</v>
      </c>
      <c r="I77" s="23">
        <v>0</v>
      </c>
      <c r="J77" s="23"/>
      <c r="K77" s="23"/>
      <c r="L77" s="23">
        <v>2.5560121715591331</v>
      </c>
      <c r="M77" s="23">
        <f t="shared" si="43"/>
        <v>0</v>
      </c>
      <c r="N77" s="23">
        <f t="shared" si="44"/>
        <v>0</v>
      </c>
      <c r="O77" s="23"/>
      <c r="P77" s="23">
        <f t="shared" si="12"/>
        <v>0</v>
      </c>
      <c r="Q77" s="23">
        <v>0</v>
      </c>
      <c r="R77" s="23">
        <v>0</v>
      </c>
      <c r="S77" s="23">
        <f t="shared" si="13"/>
        <v>0</v>
      </c>
      <c r="T77" s="23">
        <f t="shared" si="14"/>
        <v>0</v>
      </c>
      <c r="U77" s="23"/>
      <c r="V77" s="23"/>
      <c r="W77" s="23">
        <v>0</v>
      </c>
      <c r="X77" s="23">
        <v>0</v>
      </c>
      <c r="Y77" s="23"/>
      <c r="Z77" s="23">
        <f t="shared" si="15"/>
        <v>0</v>
      </c>
      <c r="AA77" s="23">
        <f t="shared" si="16"/>
        <v>0</v>
      </c>
      <c r="AB77" s="23">
        <f t="shared" si="8"/>
        <v>0</v>
      </c>
      <c r="AC77" s="23" t="e">
        <f>IF(#REF!&gt;0,13511.27*(#REF!/#REF!),0)</f>
        <v>#REF!</v>
      </c>
      <c r="AD77" s="23"/>
      <c r="AE77" s="23" t="e">
        <f>IF(#REF!&gt;0,13511.27*(#REF!/#REF!),0)</f>
        <v>#REF!</v>
      </c>
      <c r="AF77" s="24"/>
      <c r="AG77" s="23">
        <f t="shared" si="45"/>
        <v>0</v>
      </c>
      <c r="AH77" s="24"/>
      <c r="AI77" s="23"/>
      <c r="AJ77" s="23"/>
      <c r="AK77" s="23"/>
      <c r="AL77" s="55">
        <v>2.5560121715591331</v>
      </c>
      <c r="AM77" s="23"/>
      <c r="AN77" s="23"/>
      <c r="AO77" s="24"/>
      <c r="AP77" s="23"/>
      <c r="AQ77" s="23"/>
      <c r="AR77" s="23"/>
      <c r="AS77" s="66"/>
      <c r="AT77" s="66"/>
      <c r="AU77" s="66"/>
      <c r="AV77" s="66"/>
    </row>
    <row r="78" spans="1:48" s="3" customFormat="1" ht="15" x14ac:dyDescent="0.2">
      <c r="A78" s="17" t="s">
        <v>50</v>
      </c>
      <c r="B78" s="23">
        <v>15213.07841</v>
      </c>
      <c r="C78" s="23"/>
      <c r="D78" s="23">
        <v>0</v>
      </c>
      <c r="E78" s="23">
        <v>0</v>
      </c>
      <c r="F78" s="23"/>
      <c r="G78" s="23">
        <v>15213.07841</v>
      </c>
      <c r="H78" s="23">
        <v>0</v>
      </c>
      <c r="I78" s="23">
        <v>0</v>
      </c>
      <c r="J78" s="23">
        <v>0</v>
      </c>
      <c r="K78" s="23"/>
      <c r="L78" s="23">
        <v>0.84055352666105487</v>
      </c>
      <c r="M78" s="23">
        <f t="shared" si="43"/>
        <v>0</v>
      </c>
      <c r="N78" s="23">
        <f t="shared" si="44"/>
        <v>0</v>
      </c>
      <c r="O78" s="23"/>
      <c r="P78" s="23">
        <f t="shared" si="12"/>
        <v>0</v>
      </c>
      <c r="Q78" s="23">
        <v>0</v>
      </c>
      <c r="R78" s="23">
        <v>0</v>
      </c>
      <c r="S78" s="23">
        <f t="shared" si="13"/>
        <v>0</v>
      </c>
      <c r="T78" s="23">
        <f t="shared" si="14"/>
        <v>0</v>
      </c>
      <c r="U78" s="23"/>
      <c r="V78" s="23"/>
      <c r="W78" s="23">
        <v>0</v>
      </c>
      <c r="X78" s="23">
        <v>0</v>
      </c>
      <c r="Y78" s="23"/>
      <c r="Z78" s="23">
        <f t="shared" si="15"/>
        <v>0</v>
      </c>
      <c r="AA78" s="23">
        <f t="shared" si="16"/>
        <v>0</v>
      </c>
      <c r="AB78" s="23">
        <f t="shared" ref="AB78:AB103" si="46">IF(W78&gt;0,13511.27*(W78/$W$9),0)</f>
        <v>0</v>
      </c>
      <c r="AC78" s="23" t="e">
        <f>IF(#REF!&gt;0,13511.27*(#REF!/#REF!),0)</f>
        <v>#REF!</v>
      </c>
      <c r="AD78" s="23"/>
      <c r="AE78" s="23" t="e">
        <f>IF(#REF!&gt;0,13511.27*(#REF!/#REF!),0)</f>
        <v>#REF!</v>
      </c>
      <c r="AF78" s="24"/>
      <c r="AG78" s="23">
        <f t="shared" si="45"/>
        <v>0</v>
      </c>
      <c r="AH78" s="24"/>
      <c r="AI78" s="23"/>
      <c r="AJ78" s="23"/>
      <c r="AK78" s="23">
        <v>93.432400000000001</v>
      </c>
      <c r="AL78" s="55">
        <v>0.84055352666105487</v>
      </c>
      <c r="AM78" s="23">
        <f t="shared" si="20"/>
        <v>111.15580035829856</v>
      </c>
      <c r="AN78" s="23">
        <f>IF(AM78&gt;0,$AN$9*(AM78/$AM$9),0)</f>
        <v>44.429059428559214</v>
      </c>
      <c r="AO78" s="24">
        <f>(AN78+AI78)/(C78+AK78)</f>
        <v>0.4755209052594091</v>
      </c>
      <c r="AP78" s="23"/>
      <c r="AQ78" s="23"/>
      <c r="AR78" s="23"/>
      <c r="AS78" s="66"/>
      <c r="AT78" s="66"/>
      <c r="AU78" s="66"/>
      <c r="AV78" s="66"/>
    </row>
    <row r="79" spans="1:48" ht="15" x14ac:dyDescent="0.2">
      <c r="A79" s="17" t="s">
        <v>90</v>
      </c>
      <c r="B79" s="23">
        <v>14000</v>
      </c>
      <c r="C79" s="23"/>
      <c r="D79" s="23">
        <v>14000</v>
      </c>
      <c r="E79" s="23">
        <v>0</v>
      </c>
      <c r="F79" s="23"/>
      <c r="G79" s="23">
        <v>0</v>
      </c>
      <c r="H79" s="23">
        <v>0</v>
      </c>
      <c r="I79" s="23">
        <v>0</v>
      </c>
      <c r="J79" s="23">
        <v>0</v>
      </c>
      <c r="K79" s="23"/>
      <c r="L79" s="23">
        <v>1.8762748665954685</v>
      </c>
      <c r="M79" s="23">
        <f t="shared" si="43"/>
        <v>0</v>
      </c>
      <c r="N79" s="23">
        <f t="shared" si="44"/>
        <v>0</v>
      </c>
      <c r="O79" s="23"/>
      <c r="P79" s="23">
        <f t="shared" ref="P79:P103" si="47">C79*50%</f>
        <v>0</v>
      </c>
      <c r="Q79" s="23">
        <v>0</v>
      </c>
      <c r="R79" s="23">
        <v>0</v>
      </c>
      <c r="S79" s="23">
        <f t="shared" ref="S79:S102" si="48">IF(P79&gt;0,11712.98*(P79/$X$9),0)</f>
        <v>0</v>
      </c>
      <c r="T79" s="23">
        <f t="shared" ref="T79:T103" si="49">C79*50%</f>
        <v>0</v>
      </c>
      <c r="U79" s="23"/>
      <c r="V79" s="23"/>
      <c r="W79" s="23">
        <v>0</v>
      </c>
      <c r="X79" s="23">
        <v>0</v>
      </c>
      <c r="Y79" s="23"/>
      <c r="Z79" s="23">
        <f t="shared" ref="Z79:Z103" si="50">IF(O79&gt;0,11712.98*(O79/$O$9),0)</f>
        <v>0</v>
      </c>
      <c r="AA79" s="23">
        <f t="shared" ref="AA79:AA102" si="51">IF(X79&gt;0,11712.98*(X79/$X$9),0)</f>
        <v>0</v>
      </c>
      <c r="AB79" s="23">
        <f t="shared" si="46"/>
        <v>0</v>
      </c>
      <c r="AC79" s="23" t="e">
        <f>IF(#REF!&gt;0,13511.27*(#REF!/#REF!),0)</f>
        <v>#REF!</v>
      </c>
      <c r="AD79" s="23"/>
      <c r="AE79" s="23" t="e">
        <f>IF(#REF!&gt;0,13511.27*(#REF!/#REF!),0)</f>
        <v>#REF!</v>
      </c>
      <c r="AF79" s="24"/>
      <c r="AG79" s="23">
        <f t="shared" si="45"/>
        <v>0</v>
      </c>
      <c r="AH79" s="24"/>
      <c r="AI79" s="23"/>
      <c r="AJ79" s="23"/>
      <c r="AK79" s="23"/>
      <c r="AL79" s="55">
        <v>1.8762748665954685</v>
      </c>
      <c r="AM79" s="23"/>
      <c r="AN79" s="23"/>
      <c r="AO79" s="24"/>
      <c r="AP79" s="23"/>
      <c r="AQ79" s="23"/>
      <c r="AR79" s="23"/>
      <c r="AS79" s="66"/>
      <c r="AT79" s="66"/>
      <c r="AU79" s="66"/>
      <c r="AV79" s="66"/>
    </row>
    <row r="80" spans="1:48" ht="15" x14ac:dyDescent="0.2">
      <c r="A80" s="17" t="s">
        <v>97</v>
      </c>
      <c r="B80" s="23">
        <v>31691.965</v>
      </c>
      <c r="C80" s="23"/>
      <c r="D80" s="23">
        <v>0</v>
      </c>
      <c r="E80" s="23">
        <v>0</v>
      </c>
      <c r="F80" s="23"/>
      <c r="G80" s="23">
        <v>31691.965</v>
      </c>
      <c r="H80" s="23">
        <v>0</v>
      </c>
      <c r="I80" s="23">
        <v>0</v>
      </c>
      <c r="J80" s="23"/>
      <c r="K80" s="23"/>
      <c r="L80" s="23">
        <v>2.3736191338090653</v>
      </c>
      <c r="M80" s="23">
        <f t="shared" si="43"/>
        <v>0</v>
      </c>
      <c r="N80" s="23">
        <f t="shared" si="44"/>
        <v>0</v>
      </c>
      <c r="O80" s="23"/>
      <c r="P80" s="23">
        <f t="shared" si="47"/>
        <v>0</v>
      </c>
      <c r="Q80" s="23">
        <v>0</v>
      </c>
      <c r="R80" s="23">
        <v>0</v>
      </c>
      <c r="S80" s="23">
        <f t="shared" si="48"/>
        <v>0</v>
      </c>
      <c r="T80" s="23">
        <f t="shared" si="49"/>
        <v>0</v>
      </c>
      <c r="U80" s="23"/>
      <c r="V80" s="23"/>
      <c r="W80" s="23">
        <v>0</v>
      </c>
      <c r="X80" s="23">
        <v>0</v>
      </c>
      <c r="Y80" s="23"/>
      <c r="Z80" s="23">
        <f t="shared" si="50"/>
        <v>0</v>
      </c>
      <c r="AA80" s="23">
        <f t="shared" si="51"/>
        <v>0</v>
      </c>
      <c r="AB80" s="23">
        <f t="shared" si="46"/>
        <v>0</v>
      </c>
      <c r="AC80" s="23" t="e">
        <f>IF(#REF!&gt;0,13511.27*(#REF!/#REF!),0)</f>
        <v>#REF!</v>
      </c>
      <c r="AD80" s="23"/>
      <c r="AE80" s="23" t="e">
        <f>IF(#REF!&gt;0,13511.27*(#REF!/#REF!),0)</f>
        <v>#REF!</v>
      </c>
      <c r="AF80" s="24"/>
      <c r="AG80" s="23">
        <f t="shared" si="45"/>
        <v>0</v>
      </c>
      <c r="AH80" s="24"/>
      <c r="AI80" s="23"/>
      <c r="AJ80" s="23"/>
      <c r="AK80" s="23"/>
      <c r="AL80" s="55">
        <v>2.3736191338090653</v>
      </c>
      <c r="AM80" s="23"/>
      <c r="AN80" s="23"/>
      <c r="AO80" s="24"/>
      <c r="AP80" s="23"/>
      <c r="AQ80" s="23"/>
      <c r="AR80" s="23"/>
      <c r="AS80" s="66"/>
      <c r="AT80" s="66"/>
      <c r="AU80" s="66"/>
      <c r="AV80" s="66"/>
    </row>
    <row r="81" spans="1:48" ht="15" x14ac:dyDescent="0.2">
      <c r="A81" s="15" t="s">
        <v>91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>
        <f t="shared" si="44"/>
        <v>0</v>
      </c>
      <c r="O81" s="23"/>
      <c r="P81" s="23"/>
      <c r="Q81" s="23"/>
      <c r="R81" s="23"/>
      <c r="S81" s="23">
        <f t="shared" si="48"/>
        <v>0</v>
      </c>
      <c r="T81" s="23">
        <f t="shared" si="49"/>
        <v>0</v>
      </c>
      <c r="U81" s="23"/>
      <c r="V81" s="23"/>
      <c r="W81" s="23"/>
      <c r="X81" s="23"/>
      <c r="Y81" s="23"/>
      <c r="Z81" s="23">
        <f t="shared" si="50"/>
        <v>0</v>
      </c>
      <c r="AA81" s="23">
        <f t="shared" si="51"/>
        <v>0</v>
      </c>
      <c r="AB81" s="23">
        <f t="shared" si="46"/>
        <v>0</v>
      </c>
      <c r="AC81" s="23" t="e">
        <f>IF(#REF!&gt;0,13511.27*(#REF!/#REF!),0)</f>
        <v>#REF!</v>
      </c>
      <c r="AD81" s="23"/>
      <c r="AE81" s="23" t="e">
        <f>IF(#REF!&gt;0,13511.27*(#REF!/#REF!),0)</f>
        <v>#REF!</v>
      </c>
      <c r="AF81" s="24"/>
      <c r="AG81" s="23">
        <f t="shared" si="45"/>
        <v>0</v>
      </c>
      <c r="AH81" s="24"/>
      <c r="AI81" s="23"/>
      <c r="AJ81" s="23"/>
      <c r="AK81" s="23"/>
      <c r="AL81" s="55"/>
      <c r="AM81" s="23"/>
      <c r="AN81" s="23"/>
      <c r="AO81" s="24"/>
      <c r="AP81" s="23"/>
      <c r="AQ81" s="23"/>
      <c r="AR81" s="23"/>
      <c r="AS81" s="66"/>
      <c r="AT81" s="66"/>
      <c r="AU81" s="66"/>
      <c r="AV81" s="66"/>
    </row>
    <row r="82" spans="1:48" ht="15" x14ac:dyDescent="0.2">
      <c r="A82" s="17" t="s">
        <v>51</v>
      </c>
      <c r="B82" s="23">
        <v>700</v>
      </c>
      <c r="C82" s="23">
        <v>700</v>
      </c>
      <c r="D82" s="23">
        <v>0</v>
      </c>
      <c r="E82" s="23">
        <v>0</v>
      </c>
      <c r="F82" s="23"/>
      <c r="G82" s="23">
        <v>700</v>
      </c>
      <c r="H82" s="23">
        <v>700</v>
      </c>
      <c r="I82" s="23">
        <f>H82</f>
        <v>700</v>
      </c>
      <c r="J82" s="23">
        <v>350</v>
      </c>
      <c r="K82" s="23">
        <v>350</v>
      </c>
      <c r="L82" s="23">
        <v>0.62722453238477605</v>
      </c>
      <c r="M82" s="23">
        <f t="shared" ref="M82:M93" si="52">C82/L82</f>
        <v>1116.0277761115683</v>
      </c>
      <c r="N82" s="23">
        <f t="shared" si="44"/>
        <v>150.64325001074346</v>
      </c>
      <c r="O82" s="23">
        <v>350</v>
      </c>
      <c r="P82" s="23">
        <f>C82*50%</f>
        <v>350</v>
      </c>
      <c r="Q82" s="23">
        <v>0</v>
      </c>
      <c r="R82" s="23">
        <v>0</v>
      </c>
      <c r="S82" s="23">
        <f t="shared" si="48"/>
        <v>52.548651305038319</v>
      </c>
      <c r="T82" s="23">
        <f t="shared" si="49"/>
        <v>350</v>
      </c>
      <c r="U82" s="23">
        <v>350</v>
      </c>
      <c r="V82" s="23"/>
      <c r="W82" s="23">
        <v>350</v>
      </c>
      <c r="X82" s="23">
        <v>350</v>
      </c>
      <c r="Y82" s="23"/>
      <c r="Z82" s="23">
        <f t="shared" si="50"/>
        <v>27.646000523687853</v>
      </c>
      <c r="AA82" s="23">
        <f t="shared" si="51"/>
        <v>52.548651305038319</v>
      </c>
      <c r="AB82" s="23">
        <f t="shared" si="46"/>
        <v>52.820777000816307</v>
      </c>
      <c r="AC82" s="23" t="e">
        <f>IF(#REF!&gt;0,13511.27*(#REF!/#REF!),0)</f>
        <v>#REF!</v>
      </c>
      <c r="AD82" s="23">
        <f>IF(X82&gt;0,15047.87*(X82/$X$9),0)</f>
        <v>67.510170214031533</v>
      </c>
      <c r="AE82" s="23" t="e">
        <f>IF(#REF!&gt;0,13511.27*(#REF!/#REF!),0)</f>
        <v>#REF!</v>
      </c>
      <c r="AF82" s="24">
        <f t="shared" ref="AF82:AF102" si="53">(K82+N82)/C82</f>
        <v>0.71520464287249075</v>
      </c>
      <c r="AG82" s="23">
        <f t="shared" si="45"/>
        <v>225.9648750161152</v>
      </c>
      <c r="AH82" s="24">
        <f t="shared" ref="AH82:AH102" si="54">(K82+AG82)/C82</f>
        <v>0.82280696430873601</v>
      </c>
      <c r="AI82" s="23">
        <v>350</v>
      </c>
      <c r="AJ82" s="23">
        <f t="shared" ref="AJ82:AJ102" si="55">C82-AI82</f>
        <v>350</v>
      </c>
      <c r="AK82" s="23">
        <v>293.78800000000001</v>
      </c>
      <c r="AL82" s="55">
        <v>0.62722453238477605</v>
      </c>
      <c r="AM82" s="23">
        <f t="shared" ref="AM82:AM103" si="56">(AJ82+AK82)/AL82</f>
        <v>1026.4075570390205</v>
      </c>
      <c r="AN82" s="23">
        <f t="shared" ref="AN82:AN93" si="57">IF(AM82&gt;0,$AN$9*(AM82/$AM$9),0)</f>
        <v>410.25589490260359</v>
      </c>
      <c r="AO82" s="24">
        <f t="shared" ref="AO82:AO93" si="58">(AN82+AI82)/(C82+AK82)</f>
        <v>0.76500812537744833</v>
      </c>
      <c r="AP82" s="23"/>
      <c r="AQ82" s="23"/>
      <c r="AR82" s="23"/>
      <c r="AS82" s="66"/>
      <c r="AT82" s="66"/>
      <c r="AU82" s="66"/>
      <c r="AV82" s="66"/>
    </row>
    <row r="83" spans="1:48" ht="15" x14ac:dyDescent="0.2">
      <c r="A83" s="17" t="s">
        <v>52</v>
      </c>
      <c r="B83" s="23">
        <v>4965.2873</v>
      </c>
      <c r="C83" s="23">
        <v>881.24469999999997</v>
      </c>
      <c r="D83" s="23">
        <v>0</v>
      </c>
      <c r="E83" s="23">
        <v>0</v>
      </c>
      <c r="F83" s="23"/>
      <c r="G83" s="23">
        <v>4965.2873</v>
      </c>
      <c r="H83" s="23">
        <v>881.24469999999997</v>
      </c>
      <c r="I83" s="23">
        <f>H83</f>
        <v>881.24469999999997</v>
      </c>
      <c r="J83" s="23">
        <v>440.62234999999998</v>
      </c>
      <c r="K83" s="23">
        <v>440.62234999999998</v>
      </c>
      <c r="L83" s="23">
        <v>0.64960814118536081</v>
      </c>
      <c r="M83" s="23">
        <f t="shared" si="52"/>
        <v>1356.5789036941017</v>
      </c>
      <c r="N83" s="23">
        <f t="shared" si="44"/>
        <v>183.11323366924984</v>
      </c>
      <c r="O83" s="23">
        <v>440.62234999999998</v>
      </c>
      <c r="P83" s="23">
        <f t="shared" si="47"/>
        <v>440.62234999999998</v>
      </c>
      <c r="Q83" s="23">
        <v>440.62234999999998</v>
      </c>
      <c r="R83" s="23">
        <v>0</v>
      </c>
      <c r="S83" s="23">
        <f t="shared" si="48"/>
        <v>66.154600649590151</v>
      </c>
      <c r="T83" s="23">
        <f t="shared" si="49"/>
        <v>440.62234999999998</v>
      </c>
      <c r="U83" s="23">
        <v>440.62234999999998</v>
      </c>
      <c r="V83" s="23"/>
      <c r="W83" s="23">
        <v>440.62234999999998</v>
      </c>
      <c r="X83" s="23">
        <v>440.62234999999998</v>
      </c>
      <c r="Y83" s="23"/>
      <c r="Z83" s="23">
        <f t="shared" si="50"/>
        <v>34.804130625281637</v>
      </c>
      <c r="AA83" s="23">
        <f t="shared" si="51"/>
        <v>66.154600649590151</v>
      </c>
      <c r="AB83" s="23">
        <f t="shared" si="46"/>
        <v>66.497185402644661</v>
      </c>
      <c r="AC83" s="23" t="e">
        <f>IF(#REF!&gt;0,13511.27*(#REF!/#REF!),0)</f>
        <v>#REF!</v>
      </c>
      <c r="AD83" s="23">
        <f>IF(X83&gt;0,15047.87*(X83/$X$9),0)</f>
        <v>84.989970996018783</v>
      </c>
      <c r="AE83" s="23" t="e">
        <f>IF(#REF!&gt;0,13511.27*(#REF!/#REF!),0)</f>
        <v>#REF!</v>
      </c>
      <c r="AF83" s="24">
        <f t="shared" si="53"/>
        <v>0.70778931625829899</v>
      </c>
      <c r="AG83" s="23">
        <f t="shared" si="45"/>
        <v>274.66985050387478</v>
      </c>
      <c r="AH83" s="24">
        <f t="shared" si="54"/>
        <v>0.81168397438744855</v>
      </c>
      <c r="AI83" s="23">
        <v>440.62234999999998</v>
      </c>
      <c r="AJ83" s="23">
        <f t="shared" si="55"/>
        <v>440.62234999999998</v>
      </c>
      <c r="AK83" s="23">
        <v>495.56559999999996</v>
      </c>
      <c r="AL83" s="55">
        <v>0.64960814118536081</v>
      </c>
      <c r="AM83" s="23">
        <f t="shared" si="56"/>
        <v>1441.1579699289296</v>
      </c>
      <c r="AN83" s="23">
        <f t="shared" si="57"/>
        <v>576.03195591703479</v>
      </c>
      <c r="AO83" s="24">
        <f t="shared" si="58"/>
        <v>0.7384127689319544</v>
      </c>
      <c r="AP83" s="23"/>
      <c r="AQ83" s="23"/>
      <c r="AR83" s="23"/>
      <c r="AS83" s="69"/>
      <c r="AT83" s="69"/>
      <c r="AU83" s="69"/>
      <c r="AV83" s="69"/>
    </row>
    <row r="84" spans="1:48" ht="15" x14ac:dyDescent="0.2">
      <c r="A84" s="17" t="s">
        <v>53</v>
      </c>
      <c r="B84" s="23"/>
      <c r="C84" s="23"/>
      <c r="D84" s="23">
        <v>0</v>
      </c>
      <c r="E84" s="23">
        <v>0</v>
      </c>
      <c r="F84" s="23"/>
      <c r="G84" s="23">
        <v>0</v>
      </c>
      <c r="H84" s="23">
        <v>0</v>
      </c>
      <c r="I84" s="23">
        <v>0</v>
      </c>
      <c r="J84" s="23">
        <v>0</v>
      </c>
      <c r="K84" s="23"/>
      <c r="L84" s="23">
        <v>0.62702286989336287</v>
      </c>
      <c r="M84" s="23">
        <f t="shared" si="52"/>
        <v>0</v>
      </c>
      <c r="N84" s="23">
        <f t="shared" si="44"/>
        <v>0</v>
      </c>
      <c r="O84" s="23"/>
      <c r="P84" s="23">
        <f t="shared" si="47"/>
        <v>0</v>
      </c>
      <c r="Q84" s="23">
        <v>0</v>
      </c>
      <c r="R84" s="23">
        <v>0</v>
      </c>
      <c r="S84" s="23">
        <f t="shared" si="48"/>
        <v>0</v>
      </c>
      <c r="T84" s="23">
        <f t="shared" si="49"/>
        <v>0</v>
      </c>
      <c r="U84" s="23"/>
      <c r="V84" s="23"/>
      <c r="W84" s="23">
        <v>0</v>
      </c>
      <c r="X84" s="23">
        <v>0</v>
      </c>
      <c r="Y84" s="23"/>
      <c r="Z84" s="23">
        <f t="shared" si="50"/>
        <v>0</v>
      </c>
      <c r="AA84" s="23">
        <f t="shared" si="51"/>
        <v>0</v>
      </c>
      <c r="AB84" s="23">
        <f t="shared" si="46"/>
        <v>0</v>
      </c>
      <c r="AC84" s="23" t="e">
        <f>IF(#REF!&gt;0,13511.27*(#REF!/#REF!),0)</f>
        <v>#REF!</v>
      </c>
      <c r="AD84" s="23"/>
      <c r="AE84" s="23" t="e">
        <f>IF(#REF!&gt;0,13511.27*(#REF!/#REF!),0)</f>
        <v>#REF!</v>
      </c>
      <c r="AF84" s="24"/>
      <c r="AG84" s="23">
        <f t="shared" si="45"/>
        <v>0</v>
      </c>
      <c r="AH84" s="24"/>
      <c r="AI84" s="23"/>
      <c r="AJ84" s="23"/>
      <c r="AK84" s="23">
        <v>983.93140000000017</v>
      </c>
      <c r="AL84" s="55">
        <v>0.62702286989336287</v>
      </c>
      <c r="AM84" s="23">
        <f t="shared" si="56"/>
        <v>1569.2113433874213</v>
      </c>
      <c r="AN84" s="23">
        <f t="shared" si="57"/>
        <v>627.21498839105777</v>
      </c>
      <c r="AO84" s="24">
        <f t="shared" si="58"/>
        <v>0.6374580467612454</v>
      </c>
      <c r="AP84" s="23"/>
      <c r="AQ84" s="23"/>
      <c r="AR84" s="23"/>
      <c r="AS84" s="69"/>
      <c r="AT84" s="69"/>
      <c r="AU84" s="69"/>
      <c r="AV84" s="69"/>
    </row>
    <row r="85" spans="1:48" s="34" customFormat="1" ht="15" x14ac:dyDescent="0.2">
      <c r="A85" s="42" t="s">
        <v>54</v>
      </c>
      <c r="B85" s="23">
        <v>7655.049</v>
      </c>
      <c r="C85" s="23">
        <v>1705.049</v>
      </c>
      <c r="D85" s="23">
        <v>5850</v>
      </c>
      <c r="E85" s="23">
        <v>1200</v>
      </c>
      <c r="F85" s="23"/>
      <c r="G85" s="23">
        <v>1805.049</v>
      </c>
      <c r="H85" s="23">
        <v>505.04899999999998</v>
      </c>
      <c r="I85" s="23">
        <f>H85</f>
        <v>505.04899999999998</v>
      </c>
      <c r="J85" s="23"/>
      <c r="K85" s="23">
        <v>852.52449999999999</v>
      </c>
      <c r="L85" s="23">
        <v>0.71887400011501423</v>
      </c>
      <c r="M85" s="23">
        <f t="shared" si="52"/>
        <v>2371.8328938412092</v>
      </c>
      <c r="N85" s="23">
        <f t="shared" si="44"/>
        <v>320.15387363881115</v>
      </c>
      <c r="O85" s="23">
        <v>852.52449999999999</v>
      </c>
      <c r="P85" s="23">
        <f t="shared" si="47"/>
        <v>852.52449999999999</v>
      </c>
      <c r="Q85" s="23">
        <v>852.52449999999999</v>
      </c>
      <c r="R85" s="23">
        <v>0</v>
      </c>
      <c r="S85" s="23">
        <f t="shared" si="48"/>
        <v>127.99717908429182</v>
      </c>
      <c r="T85" s="23">
        <f t="shared" si="49"/>
        <v>852.52449999999999</v>
      </c>
      <c r="U85" s="23">
        <v>852.52449999999999</v>
      </c>
      <c r="V85" s="23"/>
      <c r="W85" s="23"/>
      <c r="X85" s="23"/>
      <c r="Y85" s="23">
        <f>W85-O85</f>
        <v>-852.52449999999999</v>
      </c>
      <c r="Z85" s="23">
        <f t="shared" si="50"/>
        <v>67.339693638447798</v>
      </c>
      <c r="AA85" s="23">
        <f t="shared" si="51"/>
        <v>0</v>
      </c>
      <c r="AB85" s="23">
        <f t="shared" si="46"/>
        <v>0</v>
      </c>
      <c r="AC85" s="23" t="e">
        <f>IF(#REF!&gt;0,13511.27*(#REF!/#REF!),0)</f>
        <v>#REF!</v>
      </c>
      <c r="AD85" s="23"/>
      <c r="AE85" s="23" t="e">
        <f>IF(#REF!&gt;0,13511.27*(#REF!/#REF!),0)</f>
        <v>#REF!</v>
      </c>
      <c r="AF85" s="24">
        <f t="shared" si="53"/>
        <v>0.68776813665695891</v>
      </c>
      <c r="AG85" s="23">
        <f t="shared" si="45"/>
        <v>480.23081045821669</v>
      </c>
      <c r="AH85" s="24">
        <f t="shared" si="54"/>
        <v>0.7816522049854383</v>
      </c>
      <c r="AI85" s="23">
        <v>852.52449999999999</v>
      </c>
      <c r="AJ85" s="23">
        <f t="shared" si="55"/>
        <v>852.52449999999999</v>
      </c>
      <c r="AK85" s="23">
        <v>464.88379999999995</v>
      </c>
      <c r="AL85" s="55">
        <v>0.71887400011501423</v>
      </c>
      <c r="AM85" s="23">
        <f t="shared" si="56"/>
        <v>1832.5997320660158</v>
      </c>
      <c r="AN85" s="23">
        <f t="shared" si="57"/>
        <v>732.49153118660502</v>
      </c>
      <c r="AO85" s="24">
        <f t="shared" si="58"/>
        <v>0.73044475441202827</v>
      </c>
      <c r="AP85" s="23">
        <v>1405</v>
      </c>
      <c r="AQ85" s="26">
        <f>AN85-AP85</f>
        <v>-672.50846881339498</v>
      </c>
      <c r="AR85" s="26">
        <f>AQ85</f>
        <v>-672.50846881339498</v>
      </c>
      <c r="AS85" s="69"/>
      <c r="AT85" s="69"/>
      <c r="AU85" s="69"/>
      <c r="AV85" s="69"/>
    </row>
    <row r="86" spans="1:48" ht="15" x14ac:dyDescent="0.2">
      <c r="A86" s="17" t="s">
        <v>55</v>
      </c>
      <c r="B86" s="23"/>
      <c r="C86" s="23"/>
      <c r="D86" s="23">
        <v>0</v>
      </c>
      <c r="E86" s="23">
        <v>0</v>
      </c>
      <c r="F86" s="23"/>
      <c r="G86" s="23">
        <v>0</v>
      </c>
      <c r="H86" s="23">
        <v>0</v>
      </c>
      <c r="I86" s="23">
        <v>0</v>
      </c>
      <c r="J86" s="23">
        <v>0</v>
      </c>
      <c r="K86" s="23"/>
      <c r="L86" s="23">
        <v>0.66576105450895284</v>
      </c>
      <c r="M86" s="23">
        <f t="shared" si="52"/>
        <v>0</v>
      </c>
      <c r="N86" s="23">
        <f t="shared" si="44"/>
        <v>0</v>
      </c>
      <c r="O86" s="23"/>
      <c r="P86" s="23">
        <f t="shared" si="47"/>
        <v>0</v>
      </c>
      <c r="Q86" s="23">
        <v>0</v>
      </c>
      <c r="R86" s="23">
        <v>0</v>
      </c>
      <c r="S86" s="23">
        <f t="shared" si="48"/>
        <v>0</v>
      </c>
      <c r="T86" s="23">
        <f t="shared" si="49"/>
        <v>0</v>
      </c>
      <c r="U86" s="23"/>
      <c r="V86" s="23"/>
      <c r="W86" s="23">
        <v>0</v>
      </c>
      <c r="X86" s="23">
        <v>0</v>
      </c>
      <c r="Y86" s="23"/>
      <c r="Z86" s="23">
        <f t="shared" si="50"/>
        <v>0</v>
      </c>
      <c r="AA86" s="23">
        <f t="shared" si="51"/>
        <v>0</v>
      </c>
      <c r="AB86" s="23">
        <f t="shared" si="46"/>
        <v>0</v>
      </c>
      <c r="AC86" s="23" t="e">
        <f>IF(#REF!&gt;0,13511.27*(#REF!/#REF!),0)</f>
        <v>#REF!</v>
      </c>
      <c r="AD86" s="23"/>
      <c r="AE86" s="23" t="e">
        <f>IF(#REF!&gt;0,13511.27*(#REF!/#REF!),0)</f>
        <v>#REF!</v>
      </c>
      <c r="AF86" s="24"/>
      <c r="AG86" s="23">
        <f t="shared" si="45"/>
        <v>0</v>
      </c>
      <c r="AH86" s="24"/>
      <c r="AI86" s="23"/>
      <c r="AJ86" s="23"/>
      <c r="AK86" s="23">
        <v>446.1574</v>
      </c>
      <c r="AL86" s="55">
        <v>0.66576105450895284</v>
      </c>
      <c r="AM86" s="23">
        <f t="shared" si="56"/>
        <v>670.14643914410624</v>
      </c>
      <c r="AN86" s="23">
        <f t="shared" si="57"/>
        <v>267.85805036352292</v>
      </c>
      <c r="AO86" s="24">
        <f t="shared" si="58"/>
        <v>0.60036670996272379</v>
      </c>
      <c r="AP86" s="23"/>
      <c r="AQ86" s="23"/>
      <c r="AR86" s="23"/>
      <c r="AS86" s="69"/>
      <c r="AT86" s="69"/>
      <c r="AU86" s="69"/>
      <c r="AV86" s="69"/>
    </row>
    <row r="87" spans="1:48" s="34" customFormat="1" ht="15" x14ac:dyDescent="0.2">
      <c r="A87" s="42" t="s">
        <v>56</v>
      </c>
      <c r="B87" s="23">
        <v>13123.323</v>
      </c>
      <c r="C87" s="23">
        <v>2903.3229999999999</v>
      </c>
      <c r="D87" s="23">
        <v>0</v>
      </c>
      <c r="E87" s="23">
        <v>0</v>
      </c>
      <c r="F87" s="23"/>
      <c r="G87" s="23">
        <v>13123.323</v>
      </c>
      <c r="H87" s="23">
        <v>2903.3229999999999</v>
      </c>
      <c r="I87" s="23">
        <f>H87</f>
        <v>2903.3229999999999</v>
      </c>
      <c r="J87" s="23"/>
      <c r="K87" s="23">
        <v>1451.6614999999999</v>
      </c>
      <c r="L87" s="23">
        <v>0.67923841471012225</v>
      </c>
      <c r="M87" s="23">
        <f t="shared" si="52"/>
        <v>4274.3798600364016</v>
      </c>
      <c r="N87" s="23">
        <f t="shared" si="44"/>
        <v>576.96276712738336</v>
      </c>
      <c r="O87" s="23">
        <v>1451.6614999999999</v>
      </c>
      <c r="P87" s="23">
        <f t="shared" si="47"/>
        <v>1451.6614999999999</v>
      </c>
      <c r="Q87" s="23">
        <v>1451.6614999999999</v>
      </c>
      <c r="R87" s="23">
        <v>0</v>
      </c>
      <c r="S87" s="23">
        <f t="shared" si="48"/>
        <v>217.9510113612825</v>
      </c>
      <c r="T87" s="23">
        <f t="shared" si="49"/>
        <v>1451.6614999999999</v>
      </c>
      <c r="U87" s="23">
        <v>1451.6614999999999</v>
      </c>
      <c r="V87" s="23"/>
      <c r="W87" s="23"/>
      <c r="X87" s="23"/>
      <c r="Y87" s="23">
        <f t="shared" ref="Y87:Y99" si="59">W87-O87</f>
        <v>-1451.6614999999999</v>
      </c>
      <c r="Z87" s="23">
        <f t="shared" si="50"/>
        <v>114.66467025490714</v>
      </c>
      <c r="AA87" s="23">
        <f t="shared" si="51"/>
        <v>0</v>
      </c>
      <c r="AB87" s="23">
        <f t="shared" si="46"/>
        <v>0</v>
      </c>
      <c r="AC87" s="23" t="e">
        <f>IF(#REF!&gt;0,13511.27*(#REF!/#REF!),0)</f>
        <v>#REF!</v>
      </c>
      <c r="AD87" s="23"/>
      <c r="AE87" s="23" t="e">
        <f>IF(#REF!&gt;0,13511.27*(#REF!/#REF!),0)</f>
        <v>#REF!</v>
      </c>
      <c r="AF87" s="24">
        <f t="shared" si="53"/>
        <v>0.69872496691803954</v>
      </c>
      <c r="AG87" s="23">
        <f t="shared" si="45"/>
        <v>865.44415069107504</v>
      </c>
      <c r="AH87" s="24">
        <f t="shared" si="54"/>
        <v>0.7980874503770593</v>
      </c>
      <c r="AI87" s="23">
        <v>1451.6614999999999</v>
      </c>
      <c r="AJ87" s="23">
        <f t="shared" si="55"/>
        <v>1451.6614999999999</v>
      </c>
      <c r="AK87" s="23">
        <v>1342.2950000000001</v>
      </c>
      <c r="AL87" s="55">
        <v>0.67923841471012225</v>
      </c>
      <c r="AM87" s="23">
        <f t="shared" si="56"/>
        <v>4113.3664402540799</v>
      </c>
      <c r="AN87" s="23">
        <f t="shared" si="57"/>
        <v>1644.1157495731691</v>
      </c>
      <c r="AO87" s="24">
        <f t="shared" si="58"/>
        <v>0.729169993525835</v>
      </c>
      <c r="AP87" s="23">
        <v>1757.7</v>
      </c>
      <c r="AQ87" s="26">
        <f>AN87-AP87</f>
        <v>-113.58425042683098</v>
      </c>
      <c r="AR87" s="26">
        <f>AQ87*75%</f>
        <v>-85.188187820123233</v>
      </c>
      <c r="AS87" s="69">
        <v>3000</v>
      </c>
      <c r="AT87" s="69">
        <v>642</v>
      </c>
      <c r="AU87" s="69"/>
      <c r="AV87" s="69">
        <v>2358</v>
      </c>
    </row>
    <row r="88" spans="1:48" ht="15" x14ac:dyDescent="0.2">
      <c r="A88" s="17" t="s">
        <v>57</v>
      </c>
      <c r="B88" s="23">
        <v>57409.428599999999</v>
      </c>
      <c r="C88" s="23">
        <v>11592</v>
      </c>
      <c r="D88" s="23">
        <v>43787</v>
      </c>
      <c r="E88" s="23">
        <v>6873</v>
      </c>
      <c r="F88" s="23"/>
      <c r="G88" s="23">
        <v>13622.428599999999</v>
      </c>
      <c r="H88" s="23">
        <v>4719</v>
      </c>
      <c r="I88" s="23">
        <f>H88</f>
        <v>4719</v>
      </c>
      <c r="J88" s="23">
        <v>5796</v>
      </c>
      <c r="K88" s="23">
        <v>5796</v>
      </c>
      <c r="L88" s="23">
        <v>0.92125186932739189</v>
      </c>
      <c r="M88" s="23">
        <f t="shared" si="52"/>
        <v>12582.878131322921</v>
      </c>
      <c r="N88" s="23">
        <f t="shared" si="44"/>
        <v>1698.4574190401704</v>
      </c>
      <c r="O88" s="23">
        <v>5796</v>
      </c>
      <c r="P88" s="23">
        <f t="shared" si="47"/>
        <v>5796</v>
      </c>
      <c r="Q88" s="23">
        <v>5796</v>
      </c>
      <c r="R88" s="23">
        <v>0</v>
      </c>
      <c r="S88" s="23">
        <f t="shared" si="48"/>
        <v>870.2056656114346</v>
      </c>
      <c r="T88" s="23">
        <f t="shared" si="49"/>
        <v>5796</v>
      </c>
      <c r="U88" s="23">
        <v>5796</v>
      </c>
      <c r="V88" s="23"/>
      <c r="W88" s="23">
        <f>U88</f>
        <v>5796</v>
      </c>
      <c r="X88" s="23">
        <v>5796</v>
      </c>
      <c r="Y88" s="23"/>
      <c r="Z88" s="23">
        <f t="shared" si="50"/>
        <v>457.81776867227086</v>
      </c>
      <c r="AA88" s="23">
        <f t="shared" si="51"/>
        <v>870.2056656114346</v>
      </c>
      <c r="AB88" s="23">
        <f t="shared" si="46"/>
        <v>874.71206713351796</v>
      </c>
      <c r="AC88" s="23" t="e">
        <f>IF(#REF!&gt;0,13511.27*(#REF!/#REF!),0)</f>
        <v>#REF!</v>
      </c>
      <c r="AD88" s="23">
        <f>IF(X88&gt;0,15047.87*(X88/$X$9),0)</f>
        <v>1117.9684187443622</v>
      </c>
      <c r="AE88" s="23" t="e">
        <f>IF(#REF!&gt;0,13511.27*(#REF!/#REF!),0)</f>
        <v>#REF!</v>
      </c>
      <c r="AF88" s="24">
        <f t="shared" si="53"/>
        <v>0.64651979115253377</v>
      </c>
      <c r="AG88" s="23">
        <f t="shared" si="45"/>
        <v>2547.6861285602554</v>
      </c>
      <c r="AH88" s="24">
        <f t="shared" si="54"/>
        <v>0.71977968672880055</v>
      </c>
      <c r="AI88" s="23">
        <v>5796</v>
      </c>
      <c r="AJ88" s="23">
        <f t="shared" si="55"/>
        <v>5796</v>
      </c>
      <c r="AK88" s="23">
        <v>1174.8689999999999</v>
      </c>
      <c r="AL88" s="55">
        <v>0.92125186932739189</v>
      </c>
      <c r="AM88" s="23">
        <f t="shared" si="56"/>
        <v>7566.7352567647404</v>
      </c>
      <c r="AN88" s="23">
        <f t="shared" si="57"/>
        <v>3024.429938152809</v>
      </c>
      <c r="AO88" s="24">
        <f t="shared" si="58"/>
        <v>0.69088434589191827</v>
      </c>
      <c r="AP88" s="23"/>
      <c r="AQ88" s="23"/>
      <c r="AR88" s="23"/>
      <c r="AS88" s="69"/>
      <c r="AT88" s="69"/>
      <c r="AU88" s="69"/>
      <c r="AV88" s="69"/>
    </row>
    <row r="89" spans="1:48" ht="15" x14ac:dyDescent="0.2">
      <c r="A89" s="17" t="s">
        <v>58</v>
      </c>
      <c r="B89" s="23">
        <v>9884.741</v>
      </c>
      <c r="C89" s="23">
        <v>3556.9728</v>
      </c>
      <c r="D89" s="23">
        <v>0</v>
      </c>
      <c r="E89" s="23">
        <v>0</v>
      </c>
      <c r="F89" s="23"/>
      <c r="G89" s="23">
        <v>9884.741</v>
      </c>
      <c r="H89" s="23">
        <v>3556.9728</v>
      </c>
      <c r="I89" s="23">
        <f>H89</f>
        <v>3556.9728</v>
      </c>
      <c r="J89" s="23">
        <v>1778.4864</v>
      </c>
      <c r="K89" s="23">
        <v>1778.4864</v>
      </c>
      <c r="L89" s="23">
        <v>0.90818332220188946</v>
      </c>
      <c r="M89" s="23">
        <f t="shared" si="52"/>
        <v>3916.5801805037813</v>
      </c>
      <c r="N89" s="23">
        <f t="shared" si="44"/>
        <v>528.66638263649406</v>
      </c>
      <c r="O89" s="23">
        <v>1778.4864</v>
      </c>
      <c r="P89" s="23">
        <f t="shared" si="47"/>
        <v>1778.4864</v>
      </c>
      <c r="Q89" s="23">
        <v>1778.4864</v>
      </c>
      <c r="R89" s="23">
        <v>0</v>
      </c>
      <c r="S89" s="23">
        <f t="shared" si="48"/>
        <v>267.02017624100824</v>
      </c>
      <c r="T89" s="23">
        <f t="shared" si="49"/>
        <v>1778.4864</v>
      </c>
      <c r="U89" s="23">
        <v>1778.4864</v>
      </c>
      <c r="V89" s="23"/>
      <c r="W89" s="23">
        <v>1778.4864</v>
      </c>
      <c r="X89" s="23">
        <v>1778.4864</v>
      </c>
      <c r="Y89" s="23"/>
      <c r="Z89" s="23">
        <f t="shared" si="50"/>
        <v>140.48010270220493</v>
      </c>
      <c r="AA89" s="23">
        <f t="shared" si="51"/>
        <v>267.02017624100824</v>
      </c>
      <c r="AB89" s="23">
        <f t="shared" si="46"/>
        <v>268.40295295252741</v>
      </c>
      <c r="AC89" s="23" t="e">
        <f>IF(#REF!&gt;0,13511.27*(#REF!/#REF!),0)</f>
        <v>#REF!</v>
      </c>
      <c r="AD89" s="23">
        <f>IF(X89&gt;0,15047.87*(X89/$X$9),0)</f>
        <v>343.04548453525757</v>
      </c>
      <c r="AE89" s="23" t="e">
        <f>IF(#REF!&gt;0,13511.27*(#REF!/#REF!),0)</f>
        <v>#REF!</v>
      </c>
      <c r="AF89" s="24">
        <f t="shared" si="53"/>
        <v>0.64862817692519159</v>
      </c>
      <c r="AG89" s="23">
        <f t="shared" si="45"/>
        <v>792.99957395474109</v>
      </c>
      <c r="AH89" s="24">
        <f t="shared" si="54"/>
        <v>0.72294226538778728</v>
      </c>
      <c r="AI89" s="23">
        <v>1778.4864</v>
      </c>
      <c r="AJ89" s="23">
        <f t="shared" si="55"/>
        <v>1778.4864</v>
      </c>
      <c r="AK89" s="23">
        <v>299.428</v>
      </c>
      <c r="AL89" s="55">
        <v>0.90818332220188946</v>
      </c>
      <c r="AM89" s="23">
        <f t="shared" si="56"/>
        <v>2287.9900447434984</v>
      </c>
      <c r="AN89" s="23">
        <f t="shared" si="57"/>
        <v>914.51139159803279</v>
      </c>
      <c r="AO89" s="24">
        <f t="shared" si="58"/>
        <v>0.6983189588587454</v>
      </c>
      <c r="AP89" s="23"/>
      <c r="AQ89" s="23"/>
      <c r="AR89" s="23"/>
      <c r="AS89" s="69"/>
      <c r="AT89" s="69"/>
      <c r="AU89" s="69"/>
      <c r="AV89" s="69"/>
    </row>
    <row r="90" spans="1:48" ht="15" x14ac:dyDescent="0.2">
      <c r="A90" s="17" t="s">
        <v>59</v>
      </c>
      <c r="B90" s="23">
        <v>30107.545679999999</v>
      </c>
      <c r="C90" s="23">
        <v>2507.3130000000001</v>
      </c>
      <c r="D90" s="23">
        <v>1000</v>
      </c>
      <c r="E90" s="23">
        <v>0</v>
      </c>
      <c r="F90" s="23"/>
      <c r="G90" s="23">
        <v>29107.545679999999</v>
      </c>
      <c r="H90" s="23">
        <v>2507.3130000000001</v>
      </c>
      <c r="I90" s="23">
        <f>H90</f>
        <v>2507.3130000000001</v>
      </c>
      <c r="J90" s="23">
        <v>1253.6565000000001</v>
      </c>
      <c r="K90" s="23">
        <v>1253.6565000000001</v>
      </c>
      <c r="L90" s="23">
        <v>0.85253978609188563</v>
      </c>
      <c r="M90" s="23">
        <f t="shared" si="52"/>
        <v>2940.9923629414816</v>
      </c>
      <c r="N90" s="23">
        <f t="shared" si="44"/>
        <v>396.97994735750234</v>
      </c>
      <c r="O90" s="23">
        <v>1253.6565000000001</v>
      </c>
      <c r="P90" s="23">
        <f t="shared" si="47"/>
        <v>1253.6565000000001</v>
      </c>
      <c r="Q90" s="23">
        <v>1253.6565000000001</v>
      </c>
      <c r="R90" s="23">
        <v>0</v>
      </c>
      <c r="S90" s="23">
        <f t="shared" si="48"/>
        <v>188.22273792798509</v>
      </c>
      <c r="T90" s="23">
        <f t="shared" si="49"/>
        <v>1253.6565000000001</v>
      </c>
      <c r="U90" s="23">
        <v>1253.6565000000001</v>
      </c>
      <c r="V90" s="23"/>
      <c r="W90" s="23">
        <v>1253.6565000000001</v>
      </c>
      <c r="X90" s="23">
        <v>1253.6565000000001</v>
      </c>
      <c r="Y90" s="23"/>
      <c r="Z90" s="23">
        <f t="shared" si="50"/>
        <v>99.024537872927667</v>
      </c>
      <c r="AA90" s="23">
        <f t="shared" si="51"/>
        <v>188.22273792798509</v>
      </c>
      <c r="AB90" s="23">
        <f t="shared" si="46"/>
        <v>189.19745834892532</v>
      </c>
      <c r="AC90" s="23" t="e">
        <f>IF(#REF!&gt;0,13511.27*(#REF!/#REF!),0)</f>
        <v>#REF!</v>
      </c>
      <c r="AD90" s="23">
        <f>IF(X90&gt;0,15047.87*(X90/$X$9),0)</f>
        <v>241.81303915693437</v>
      </c>
      <c r="AE90" s="23" t="e">
        <f>IF(#REF!&gt;0,13511.27*(#REF!/#REF!),0)</f>
        <v>#REF!</v>
      </c>
      <c r="AF90" s="24">
        <f t="shared" si="53"/>
        <v>0.65832883543359066</v>
      </c>
      <c r="AG90" s="23">
        <f t="shared" si="45"/>
        <v>595.46992103625348</v>
      </c>
      <c r="AH90" s="24">
        <f t="shared" si="54"/>
        <v>0.73749325315038583</v>
      </c>
      <c r="AI90" s="23">
        <v>1253.6565000000001</v>
      </c>
      <c r="AJ90" s="23">
        <f t="shared" si="55"/>
        <v>1253.6565000000001</v>
      </c>
      <c r="AK90" s="23">
        <v>6279.942</v>
      </c>
      <c r="AL90" s="55">
        <v>0.85253978609188563</v>
      </c>
      <c r="AM90" s="23">
        <f t="shared" si="56"/>
        <v>8836.6532834023528</v>
      </c>
      <c r="AN90" s="23">
        <f t="shared" si="57"/>
        <v>3532.0171562108262</v>
      </c>
      <c r="AO90" s="24">
        <f t="shared" si="58"/>
        <v>0.54461531572838451</v>
      </c>
      <c r="AP90" s="23"/>
      <c r="AQ90" s="23"/>
      <c r="AR90" s="23"/>
      <c r="AS90" s="66">
        <v>3800</v>
      </c>
      <c r="AT90" s="66">
        <v>2000</v>
      </c>
      <c r="AU90" s="66"/>
      <c r="AV90" s="66">
        <v>1800</v>
      </c>
    </row>
    <row r="91" spans="1:48" s="48" customFormat="1" ht="15" x14ac:dyDescent="0.2">
      <c r="A91" s="49" t="s">
        <v>60</v>
      </c>
      <c r="B91" s="45">
        <v>26640</v>
      </c>
      <c r="C91" s="45">
        <v>1800</v>
      </c>
      <c r="D91" s="45">
        <v>12000</v>
      </c>
      <c r="E91" s="45">
        <v>0</v>
      </c>
      <c r="F91" s="45"/>
      <c r="G91" s="45">
        <v>14640</v>
      </c>
      <c r="H91" s="45">
        <f>I91</f>
        <v>1800</v>
      </c>
      <c r="I91" s="45">
        <v>1800</v>
      </c>
      <c r="J91" s="45">
        <v>0</v>
      </c>
      <c r="K91" s="45"/>
      <c r="L91" s="45">
        <v>0.90055339958395664</v>
      </c>
      <c r="M91" s="45">
        <f t="shared" si="52"/>
        <v>1998.7709788576396</v>
      </c>
      <c r="N91" s="45">
        <f t="shared" si="44"/>
        <v>269.79736770652653</v>
      </c>
      <c r="O91" s="45"/>
      <c r="P91" s="45">
        <f t="shared" si="47"/>
        <v>900</v>
      </c>
      <c r="Q91" s="45">
        <v>900</v>
      </c>
      <c r="R91" s="45">
        <v>0</v>
      </c>
      <c r="S91" s="45">
        <f t="shared" si="48"/>
        <v>135.12510335581283</v>
      </c>
      <c r="T91" s="45">
        <f t="shared" si="49"/>
        <v>900</v>
      </c>
      <c r="U91" s="45"/>
      <c r="V91" s="45"/>
      <c r="W91" s="45">
        <v>900</v>
      </c>
      <c r="X91" s="45">
        <v>0</v>
      </c>
      <c r="Y91" s="45">
        <f t="shared" si="59"/>
        <v>900</v>
      </c>
      <c r="Z91" s="45">
        <f t="shared" si="50"/>
        <v>0</v>
      </c>
      <c r="AA91" s="45">
        <f t="shared" si="51"/>
        <v>0</v>
      </c>
      <c r="AB91" s="45">
        <f t="shared" si="46"/>
        <v>135.82485514495622</v>
      </c>
      <c r="AC91" s="45" t="e">
        <f>IF(#REF!&gt;0,13511.27*(#REF!/#REF!),0)</f>
        <v>#REF!</v>
      </c>
      <c r="AD91" s="45"/>
      <c r="AE91" s="45" t="e">
        <f>IF(#REF!&gt;0,13511.27*(#REF!/#REF!),0)</f>
        <v>#REF!</v>
      </c>
      <c r="AF91" s="52">
        <f t="shared" si="53"/>
        <v>0.14988742650362585</v>
      </c>
      <c r="AG91" s="45">
        <f t="shared" si="45"/>
        <v>404.69605155978979</v>
      </c>
      <c r="AH91" s="52">
        <f t="shared" si="54"/>
        <v>0.22483113975543878</v>
      </c>
      <c r="AI91" s="45"/>
      <c r="AJ91" s="45">
        <f t="shared" si="55"/>
        <v>1800</v>
      </c>
      <c r="AK91" s="45">
        <v>1057.95</v>
      </c>
      <c r="AL91" s="56">
        <v>0.90055339958395664</v>
      </c>
      <c r="AM91" s="45">
        <f t="shared" si="56"/>
        <v>3173.5486216812169</v>
      </c>
      <c r="AN91" s="45">
        <f t="shared" si="57"/>
        <v>1268.4698401487465</v>
      </c>
      <c r="AO91" s="52">
        <f t="shared" si="58"/>
        <v>0.44383905951774755</v>
      </c>
      <c r="AP91" s="45"/>
      <c r="AQ91" s="45"/>
      <c r="AR91" s="45"/>
      <c r="AS91" s="72"/>
      <c r="AT91" s="72"/>
      <c r="AU91" s="72"/>
      <c r="AV91" s="72"/>
    </row>
    <row r="92" spans="1:48" ht="15" x14ac:dyDescent="0.2">
      <c r="A92" s="42" t="s">
        <v>61</v>
      </c>
      <c r="B92" s="23">
        <v>28097.578000000001</v>
      </c>
      <c r="C92" s="23">
        <v>3955</v>
      </c>
      <c r="D92" s="23">
        <v>5000</v>
      </c>
      <c r="E92" s="23">
        <v>1800</v>
      </c>
      <c r="F92" s="23"/>
      <c r="G92" s="23">
        <v>23097.578000000001</v>
      </c>
      <c r="H92" s="23">
        <v>2155</v>
      </c>
      <c r="I92" s="23">
        <f>H92</f>
        <v>2155</v>
      </c>
      <c r="J92" s="23"/>
      <c r="K92" s="23">
        <v>1977.5</v>
      </c>
      <c r="L92" s="23">
        <v>0.85910351287284981</v>
      </c>
      <c r="M92" s="23">
        <f t="shared" si="52"/>
        <v>4603.636163440241</v>
      </c>
      <c r="N92" s="23">
        <f t="shared" si="44"/>
        <v>621.40632014009918</v>
      </c>
      <c r="O92" s="23">
        <v>1977.5</v>
      </c>
      <c r="P92" s="23">
        <f t="shared" si="47"/>
        <v>1977.5</v>
      </c>
      <c r="Q92" s="23">
        <v>1977.5</v>
      </c>
      <c r="R92" s="23">
        <v>0</v>
      </c>
      <c r="S92" s="23">
        <f t="shared" si="48"/>
        <v>296.89987987346655</v>
      </c>
      <c r="T92" s="23">
        <f t="shared" si="49"/>
        <v>1977.5</v>
      </c>
      <c r="U92" s="23">
        <v>1977.5</v>
      </c>
      <c r="V92" s="23"/>
      <c r="W92" s="23"/>
      <c r="X92" s="23"/>
      <c r="Y92" s="23">
        <f t="shared" si="59"/>
        <v>-1977.5</v>
      </c>
      <c r="Z92" s="23">
        <f t="shared" si="50"/>
        <v>156.19990295883639</v>
      </c>
      <c r="AA92" s="23">
        <f t="shared" si="51"/>
        <v>0</v>
      </c>
      <c r="AB92" s="23">
        <f t="shared" si="46"/>
        <v>0</v>
      </c>
      <c r="AC92" s="23" t="e">
        <f>IF(#REF!&gt;0,13511.27*(#REF!/#REF!),0)</f>
        <v>#REF!</v>
      </c>
      <c r="AD92" s="23"/>
      <c r="AE92" s="23" t="e">
        <f>IF(#REF!&gt;0,13511.27*(#REF!/#REF!),0)</f>
        <v>#REF!</v>
      </c>
      <c r="AF92" s="24">
        <f t="shared" si="53"/>
        <v>0.65711917070546122</v>
      </c>
      <c r="AG92" s="23">
        <f t="shared" si="45"/>
        <v>932.10948021014883</v>
      </c>
      <c r="AH92" s="24">
        <f t="shared" si="54"/>
        <v>0.73567875605819189</v>
      </c>
      <c r="AI92" s="23">
        <v>1977.5</v>
      </c>
      <c r="AJ92" s="23">
        <f t="shared" si="55"/>
        <v>1977.5</v>
      </c>
      <c r="AK92" s="23">
        <v>384.63549999999998</v>
      </c>
      <c r="AL92" s="55">
        <v>0.85910351287284981</v>
      </c>
      <c r="AM92" s="23">
        <f t="shared" si="56"/>
        <v>2749.5353756627042</v>
      </c>
      <c r="AN92" s="23">
        <f t="shared" si="57"/>
        <v>1098.9914175641497</v>
      </c>
      <c r="AO92" s="24">
        <f t="shared" si="58"/>
        <v>0.70892853041785409</v>
      </c>
      <c r="AP92" s="23">
        <v>6932.2</v>
      </c>
      <c r="AQ92" s="26">
        <f>AN92-AP92</f>
        <v>-5833.2085824358501</v>
      </c>
      <c r="AR92" s="26">
        <f>AQ92*75%</f>
        <v>-4374.9064368268873</v>
      </c>
      <c r="AS92" s="66"/>
      <c r="AT92" s="66"/>
      <c r="AU92" s="66"/>
      <c r="AV92" s="66"/>
    </row>
    <row r="93" spans="1:48" ht="15" x14ac:dyDescent="0.2">
      <c r="A93" s="42" t="s">
        <v>62</v>
      </c>
      <c r="B93" s="23">
        <v>17659.281999999999</v>
      </c>
      <c r="C93" s="23">
        <v>4609.9750000000004</v>
      </c>
      <c r="D93" s="23">
        <v>7829.2820000000002</v>
      </c>
      <c r="E93" s="23">
        <v>2129.9749999999999</v>
      </c>
      <c r="F93" s="23"/>
      <c r="G93" s="23">
        <v>9830</v>
      </c>
      <c r="H93" s="23">
        <v>2480</v>
      </c>
      <c r="I93" s="23">
        <f>H93</f>
        <v>2480</v>
      </c>
      <c r="J93" s="23"/>
      <c r="K93" s="23">
        <v>2304.9875000000002</v>
      </c>
      <c r="L93" s="23">
        <v>0.7771857734104668</v>
      </c>
      <c r="M93" s="23">
        <f t="shared" si="52"/>
        <v>5931.6255620202473</v>
      </c>
      <c r="N93" s="23">
        <f t="shared" si="44"/>
        <v>800.66049576547857</v>
      </c>
      <c r="O93" s="23">
        <v>2304.9875000000002</v>
      </c>
      <c r="P93" s="23">
        <f t="shared" si="47"/>
        <v>2304.9875000000002</v>
      </c>
      <c r="Q93" s="23">
        <v>2304.9875000000002</v>
      </c>
      <c r="R93" s="23">
        <v>0</v>
      </c>
      <c r="S93" s="23">
        <f t="shared" si="48"/>
        <v>346.06852685706292</v>
      </c>
      <c r="T93" s="23">
        <f t="shared" si="49"/>
        <v>2304.9875000000002</v>
      </c>
      <c r="U93" s="23">
        <v>2304.9875000000002</v>
      </c>
      <c r="V93" s="23"/>
      <c r="W93" s="23"/>
      <c r="X93" s="23"/>
      <c r="Y93" s="23">
        <f t="shared" si="59"/>
        <v>-2304.9875000000002</v>
      </c>
      <c r="Z93" s="23">
        <f t="shared" si="50"/>
        <v>182.06767323455421</v>
      </c>
      <c r="AA93" s="23">
        <f t="shared" si="51"/>
        <v>0</v>
      </c>
      <c r="AB93" s="23">
        <f t="shared" si="46"/>
        <v>0</v>
      </c>
      <c r="AC93" s="23" t="e">
        <f>IF(#REF!&gt;0,13511.27*(#REF!/#REF!),0)</f>
        <v>#REF!</v>
      </c>
      <c r="AD93" s="23"/>
      <c r="AE93" s="23" t="e">
        <f>IF(#REF!&gt;0,13511.27*(#REF!/#REF!),0)</f>
        <v>#REF!</v>
      </c>
      <c r="AF93" s="24">
        <f t="shared" si="53"/>
        <v>0.67368000819212215</v>
      </c>
      <c r="AG93" s="23">
        <f t="shared" si="45"/>
        <v>1200.9907436482179</v>
      </c>
      <c r="AH93" s="24">
        <f t="shared" si="54"/>
        <v>0.76052001228818333</v>
      </c>
      <c r="AI93" s="23">
        <v>2304.9875000000002</v>
      </c>
      <c r="AJ93" s="23">
        <f t="shared" si="55"/>
        <v>2304.9875000000002</v>
      </c>
      <c r="AK93" s="23">
        <v>89.33909999999986</v>
      </c>
      <c r="AL93" s="55">
        <v>0.7771857734104668</v>
      </c>
      <c r="AM93" s="23">
        <f t="shared" si="56"/>
        <v>3080.7648337322926</v>
      </c>
      <c r="AN93" s="23">
        <f t="shared" si="57"/>
        <v>1231.3840882986242</v>
      </c>
      <c r="AO93" s="24">
        <f t="shared" si="58"/>
        <v>0.75252930811724716</v>
      </c>
      <c r="AP93" s="23">
        <v>1867.8</v>
      </c>
      <c r="AQ93" s="26">
        <f>AN93-AP93</f>
        <v>-636.41591170137576</v>
      </c>
      <c r="AR93" s="26">
        <f>AQ93*50%</f>
        <v>-318.20795585068788</v>
      </c>
      <c r="AS93" s="66"/>
      <c r="AT93" s="66"/>
      <c r="AU93" s="66"/>
      <c r="AV93" s="66"/>
    </row>
    <row r="94" spans="1:48" ht="30" x14ac:dyDescent="0.2">
      <c r="A94" s="15" t="s">
        <v>92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4"/>
      <c r="AG94" s="23"/>
      <c r="AH94" s="24"/>
      <c r="AI94" s="23"/>
      <c r="AJ94" s="23"/>
      <c r="AK94" s="23"/>
      <c r="AL94" s="55"/>
      <c r="AM94" s="23"/>
      <c r="AN94" s="23"/>
      <c r="AO94" s="24"/>
      <c r="AP94" s="23"/>
      <c r="AQ94" s="26"/>
      <c r="AR94" s="26"/>
      <c r="AS94" s="66"/>
      <c r="AT94" s="66"/>
      <c r="AU94" s="66"/>
      <c r="AV94" s="66"/>
    </row>
    <row r="95" spans="1:48" ht="15" x14ac:dyDescent="0.2">
      <c r="A95" s="17" t="s">
        <v>63</v>
      </c>
      <c r="B95" s="23">
        <v>17468.224000000002</v>
      </c>
      <c r="C95" s="23">
        <v>2500</v>
      </c>
      <c r="D95" s="23">
        <v>9250</v>
      </c>
      <c r="E95" s="23">
        <v>2500</v>
      </c>
      <c r="F95" s="23"/>
      <c r="G95" s="23">
        <v>8218.2240000000002</v>
      </c>
      <c r="H95" s="23">
        <v>0</v>
      </c>
      <c r="I95" s="23">
        <v>0</v>
      </c>
      <c r="J95" s="23">
        <v>1250</v>
      </c>
      <c r="K95" s="23">
        <v>1250</v>
      </c>
      <c r="L95" s="23">
        <v>0.70459694057714706</v>
      </c>
      <c r="M95" s="23">
        <f t="shared" ref="M95:M103" si="60">C95/L95</f>
        <v>3548.1278104219532</v>
      </c>
      <c r="N95" s="23">
        <f t="shared" ref="N95:N103" si="61">IF(M95&gt;0,$N$9*(M95/$M$12),0)</f>
        <v>478.93208059548556</v>
      </c>
      <c r="O95" s="23">
        <v>1250</v>
      </c>
      <c r="P95" s="23">
        <f t="shared" si="47"/>
        <v>1250</v>
      </c>
      <c r="Q95" s="23">
        <v>0</v>
      </c>
      <c r="R95" s="23">
        <v>0</v>
      </c>
      <c r="S95" s="23">
        <f t="shared" si="48"/>
        <v>187.67375466085113</v>
      </c>
      <c r="T95" s="23">
        <f t="shared" si="49"/>
        <v>1250</v>
      </c>
      <c r="U95" s="23">
        <v>1250</v>
      </c>
      <c r="V95" s="23"/>
      <c r="W95" s="23">
        <v>1250</v>
      </c>
      <c r="X95" s="23">
        <v>1250</v>
      </c>
      <c r="Y95" s="23"/>
      <c r="Z95" s="23">
        <f t="shared" si="50"/>
        <v>98.735716156028062</v>
      </c>
      <c r="AA95" s="23">
        <f t="shared" si="51"/>
        <v>187.67375466085113</v>
      </c>
      <c r="AB95" s="23">
        <f t="shared" si="46"/>
        <v>188.64563214577251</v>
      </c>
      <c r="AC95" s="23" t="e">
        <f>IF(#REF!&gt;0,13511.27*(#REF!/#REF!),0)</f>
        <v>#REF!</v>
      </c>
      <c r="AD95" s="23">
        <f>IF(X95&gt;0,15047.87*(X95/$X$9),0)</f>
        <v>241.10775076439833</v>
      </c>
      <c r="AE95" s="23" t="e">
        <f>IF(#REF!&gt;0,13511.27*(#REF!/#REF!),0)</f>
        <v>#REF!</v>
      </c>
      <c r="AF95" s="24">
        <f t="shared" si="53"/>
        <v>0.69157283223819421</v>
      </c>
      <c r="AG95" s="23">
        <f t="shared" ref="AG95:AG103" si="62">IF(M95&gt;0,$AG$9*(M95/$M$12),0)</f>
        <v>718.39812089322834</v>
      </c>
      <c r="AH95" s="24">
        <f t="shared" si="54"/>
        <v>0.78735924835729132</v>
      </c>
      <c r="AI95" s="23">
        <v>1250</v>
      </c>
      <c r="AJ95" s="23">
        <f t="shared" si="55"/>
        <v>1250</v>
      </c>
      <c r="AK95" s="32">
        <v>605.70500000000004</v>
      </c>
      <c r="AL95" s="55">
        <v>0.70459694057714706</v>
      </c>
      <c r="AM95" s="23">
        <f t="shared" si="56"/>
        <v>2633.7114073756284</v>
      </c>
      <c r="AN95" s="23">
        <f t="shared" ref="AN95:AN100" si="63">IF(AM95&gt;0,$AN$9*(AM95/$AM$9),0)</f>
        <v>1052.6964878016843</v>
      </c>
      <c r="AO95" s="24">
        <f t="shared" ref="AO95:AO100" si="64">(AN95+AI95)/(C95+AK95)</f>
        <v>0.74144082834708525</v>
      </c>
      <c r="AP95" s="23"/>
      <c r="AQ95" s="23"/>
      <c r="AR95" s="23"/>
      <c r="AS95" s="66">
        <v>1000</v>
      </c>
      <c r="AT95" s="66"/>
      <c r="AU95" s="66"/>
      <c r="AV95" s="66">
        <v>1000</v>
      </c>
    </row>
    <row r="96" spans="1:48" ht="15" x14ac:dyDescent="0.2">
      <c r="A96" s="17" t="s">
        <v>64</v>
      </c>
      <c r="B96" s="23"/>
      <c r="C96" s="23"/>
      <c r="D96" s="23">
        <v>0</v>
      </c>
      <c r="E96" s="23">
        <v>0</v>
      </c>
      <c r="F96" s="23"/>
      <c r="G96" s="23">
        <v>0</v>
      </c>
      <c r="H96" s="23">
        <v>0</v>
      </c>
      <c r="I96" s="23">
        <v>0</v>
      </c>
      <c r="J96" s="23">
        <v>0</v>
      </c>
      <c r="K96" s="23"/>
      <c r="L96" s="23">
        <v>0.63252341134654144</v>
      </c>
      <c r="M96" s="23">
        <f t="shared" si="60"/>
        <v>0</v>
      </c>
      <c r="N96" s="23">
        <f t="shared" si="61"/>
        <v>0</v>
      </c>
      <c r="O96" s="23"/>
      <c r="P96" s="23">
        <f t="shared" si="47"/>
        <v>0</v>
      </c>
      <c r="Q96" s="23">
        <v>0</v>
      </c>
      <c r="R96" s="23">
        <v>0</v>
      </c>
      <c r="S96" s="23">
        <f t="shared" si="48"/>
        <v>0</v>
      </c>
      <c r="T96" s="23">
        <f t="shared" si="49"/>
        <v>0</v>
      </c>
      <c r="U96" s="23"/>
      <c r="V96" s="23"/>
      <c r="W96" s="23">
        <v>0</v>
      </c>
      <c r="X96" s="23">
        <v>0</v>
      </c>
      <c r="Y96" s="23"/>
      <c r="Z96" s="23">
        <f t="shared" si="50"/>
        <v>0</v>
      </c>
      <c r="AA96" s="23">
        <f t="shared" si="51"/>
        <v>0</v>
      </c>
      <c r="AB96" s="23">
        <f t="shared" si="46"/>
        <v>0</v>
      </c>
      <c r="AC96" s="23" t="e">
        <f>IF(#REF!&gt;0,13511.27*(#REF!/#REF!),0)</f>
        <v>#REF!</v>
      </c>
      <c r="AD96" s="23"/>
      <c r="AE96" s="23" t="e">
        <f>IF(#REF!&gt;0,13511.27*(#REF!/#REF!),0)</f>
        <v>#REF!</v>
      </c>
      <c r="AF96" s="24"/>
      <c r="AG96" s="23">
        <f t="shared" si="62"/>
        <v>0</v>
      </c>
      <c r="AH96" s="24"/>
      <c r="AI96" s="23"/>
      <c r="AJ96" s="23">
        <f t="shared" si="55"/>
        <v>0</v>
      </c>
      <c r="AK96" s="32">
        <v>22.616400000000002</v>
      </c>
      <c r="AL96" s="55">
        <v>0.63252341134654144</v>
      </c>
      <c r="AM96" s="23">
        <f t="shared" si="56"/>
        <v>35.755830684358848</v>
      </c>
      <c r="AN96" s="23">
        <f t="shared" si="63"/>
        <v>14.291633196578214</v>
      </c>
      <c r="AO96" s="24">
        <f t="shared" si="64"/>
        <v>0.63191459279895179</v>
      </c>
      <c r="AP96" s="23"/>
      <c r="AQ96" s="23"/>
      <c r="AR96" s="23"/>
      <c r="AS96" s="66"/>
      <c r="AT96" s="66"/>
      <c r="AU96" s="66"/>
      <c r="AV96" s="66"/>
    </row>
    <row r="97" spans="1:67" ht="15" x14ac:dyDescent="0.2">
      <c r="A97" s="17" t="s">
        <v>65</v>
      </c>
      <c r="B97" s="23">
        <v>6300</v>
      </c>
      <c r="C97" s="23">
        <v>6300</v>
      </c>
      <c r="D97" s="23">
        <v>0</v>
      </c>
      <c r="E97" s="23">
        <v>0</v>
      </c>
      <c r="F97" s="23"/>
      <c r="G97" s="23">
        <v>6300</v>
      </c>
      <c r="H97" s="23">
        <v>6300</v>
      </c>
      <c r="I97" s="23">
        <f>H97</f>
        <v>6300</v>
      </c>
      <c r="J97" s="23">
        <v>3150</v>
      </c>
      <c r="K97" s="23">
        <v>3150</v>
      </c>
      <c r="L97" s="23">
        <v>0.76368605042044546</v>
      </c>
      <c r="M97" s="23">
        <f t="shared" si="60"/>
        <v>8249.4632402039424</v>
      </c>
      <c r="N97" s="23">
        <f t="shared" si="61"/>
        <v>1113.5260071020368</v>
      </c>
      <c r="O97" s="23">
        <v>3150</v>
      </c>
      <c r="P97" s="23">
        <f t="shared" si="47"/>
        <v>3150</v>
      </c>
      <c r="Q97" s="23">
        <v>0</v>
      </c>
      <c r="R97" s="23">
        <v>0</v>
      </c>
      <c r="S97" s="23">
        <f t="shared" si="48"/>
        <v>472.93786174534483</v>
      </c>
      <c r="T97" s="23">
        <f t="shared" si="49"/>
        <v>3150</v>
      </c>
      <c r="U97" s="23">
        <v>3150</v>
      </c>
      <c r="V97" s="23"/>
      <c r="W97" s="23">
        <v>3150</v>
      </c>
      <c r="X97" s="23">
        <v>3150</v>
      </c>
      <c r="Y97" s="23"/>
      <c r="Z97" s="23">
        <f t="shared" si="50"/>
        <v>248.81400471319071</v>
      </c>
      <c r="AA97" s="23">
        <f t="shared" si="51"/>
        <v>472.93786174534483</v>
      </c>
      <c r="AB97" s="23">
        <f t="shared" si="46"/>
        <v>475.38699300734675</v>
      </c>
      <c r="AC97" s="23" t="e">
        <f>IF(#REF!&gt;0,13511.27*(#REF!/#REF!),0)</f>
        <v>#REF!</v>
      </c>
      <c r="AD97" s="23">
        <f>IF(X97&gt;0,15047.87*(X97/$X$9),0)</f>
        <v>607.59153192628378</v>
      </c>
      <c r="AE97" s="23" t="e">
        <f>IF(#REF!&gt;0,13511.27*(#REF!/#REF!),0)</f>
        <v>#REF!</v>
      </c>
      <c r="AF97" s="24">
        <f t="shared" si="53"/>
        <v>0.67675015985746612</v>
      </c>
      <c r="AG97" s="23">
        <f t="shared" si="62"/>
        <v>1670.2890106530551</v>
      </c>
      <c r="AH97" s="24">
        <f t="shared" si="54"/>
        <v>0.76512523978619917</v>
      </c>
      <c r="AI97" s="23">
        <v>3150</v>
      </c>
      <c r="AJ97" s="23">
        <f t="shared" si="55"/>
        <v>3150</v>
      </c>
      <c r="AK97" s="32">
        <v>155.99039999999999</v>
      </c>
      <c r="AL97" s="55">
        <v>0.76368605042044546</v>
      </c>
      <c r="AM97" s="23">
        <f t="shared" si="56"/>
        <v>4328.9914725820845</v>
      </c>
      <c r="AN97" s="23">
        <f t="shared" si="63"/>
        <v>1730.3012418705189</v>
      </c>
      <c r="AO97" s="24">
        <f t="shared" si="64"/>
        <v>0.75593378234740227</v>
      </c>
      <c r="AP97" s="23"/>
      <c r="AQ97" s="23"/>
      <c r="AR97" s="23"/>
      <c r="AS97" s="66"/>
      <c r="AT97" s="66"/>
      <c r="AU97" s="66"/>
      <c r="AV97" s="66"/>
    </row>
    <row r="98" spans="1:67" ht="15" x14ac:dyDescent="0.2">
      <c r="A98" s="17" t="s">
        <v>66</v>
      </c>
      <c r="B98" s="23">
        <v>17995.25</v>
      </c>
      <c r="C98" s="23">
        <v>14795.25</v>
      </c>
      <c r="D98" s="23">
        <v>0</v>
      </c>
      <c r="E98" s="23">
        <v>0</v>
      </c>
      <c r="F98" s="23"/>
      <c r="G98" s="23">
        <v>17995.25</v>
      </c>
      <c r="H98" s="23">
        <v>14795.25</v>
      </c>
      <c r="I98" s="23">
        <f>H98</f>
        <v>14795.25</v>
      </c>
      <c r="J98" s="23"/>
      <c r="K98" s="23">
        <v>7397.625</v>
      </c>
      <c r="L98" s="23">
        <v>0.81497190084344917</v>
      </c>
      <c r="M98" s="23">
        <f t="shared" si="60"/>
        <v>18154.306896578601</v>
      </c>
      <c r="N98" s="23">
        <f t="shared" si="61"/>
        <v>2450.497963519912</v>
      </c>
      <c r="O98" s="23">
        <v>7397.625</v>
      </c>
      <c r="P98" s="23">
        <f t="shared" si="47"/>
        <v>7397.625</v>
      </c>
      <c r="Q98" s="23">
        <v>0</v>
      </c>
      <c r="R98" s="23">
        <v>0</v>
      </c>
      <c r="S98" s="23">
        <f t="shared" si="48"/>
        <v>1110.6720474583831</v>
      </c>
      <c r="T98" s="23">
        <f t="shared" si="49"/>
        <v>7397.625</v>
      </c>
      <c r="U98" s="23">
        <v>7397.625</v>
      </c>
      <c r="V98" s="23"/>
      <c r="W98" s="23">
        <v>7397.625</v>
      </c>
      <c r="X98" s="23"/>
      <c r="Y98" s="23"/>
      <c r="Z98" s="23">
        <f t="shared" si="50"/>
        <v>584.32784178298959</v>
      </c>
      <c r="AA98" s="23">
        <f t="shared" si="51"/>
        <v>0</v>
      </c>
      <c r="AB98" s="23">
        <f t="shared" si="46"/>
        <v>1116.4237156018964</v>
      </c>
      <c r="AC98" s="23" t="e">
        <f>IF(#REF!&gt;0,13511.27*(#REF!/#REF!),0)</f>
        <v>#REF!</v>
      </c>
      <c r="AD98" s="23"/>
      <c r="AE98" s="23" t="e">
        <f>IF(#REF!&gt;0,13511.27*(#REF!/#REF!),0)</f>
        <v>#REF!</v>
      </c>
      <c r="AF98" s="24">
        <f t="shared" si="53"/>
        <v>0.66562734414896085</v>
      </c>
      <c r="AG98" s="23">
        <f t="shared" si="62"/>
        <v>3675.7469452798682</v>
      </c>
      <c r="AH98" s="24">
        <f t="shared" si="54"/>
        <v>0.74844101622344117</v>
      </c>
      <c r="AI98" s="23">
        <v>7397.625</v>
      </c>
      <c r="AJ98" s="23">
        <f t="shared" si="55"/>
        <v>7397.625</v>
      </c>
      <c r="AK98" s="32">
        <v>343.11466599999994</v>
      </c>
      <c r="AL98" s="55">
        <v>0.81497190084344917</v>
      </c>
      <c r="AM98" s="23">
        <f t="shared" si="56"/>
        <v>9498.1675539841035</v>
      </c>
      <c r="AN98" s="23">
        <f t="shared" si="63"/>
        <v>3796.424922119395</v>
      </c>
      <c r="AO98" s="24">
        <f t="shared" si="64"/>
        <v>0.73944908641688789</v>
      </c>
      <c r="AP98" s="23">
        <v>1500.3</v>
      </c>
      <c r="AQ98" s="23">
        <f>AN98-AP98</f>
        <v>2296.1249221193948</v>
      </c>
      <c r="AR98" s="23"/>
      <c r="AS98" s="66"/>
      <c r="AT98" s="66"/>
      <c r="AU98" s="66"/>
      <c r="AV98" s="66"/>
    </row>
    <row r="99" spans="1:67" s="48" customFormat="1" ht="15" x14ac:dyDescent="0.2">
      <c r="A99" s="44" t="s">
        <v>67</v>
      </c>
      <c r="B99" s="45">
        <v>17527.827300000001</v>
      </c>
      <c r="C99" s="45">
        <v>1947.03</v>
      </c>
      <c r="D99" s="45">
        <v>0</v>
      </c>
      <c r="E99" s="45">
        <v>0</v>
      </c>
      <c r="F99" s="45"/>
      <c r="G99" s="45">
        <v>17527.827300000001</v>
      </c>
      <c r="H99" s="45">
        <v>1947.03</v>
      </c>
      <c r="I99" s="45">
        <f>H99</f>
        <v>1947.03</v>
      </c>
      <c r="J99" s="45"/>
      <c r="K99" s="45">
        <v>973.51499999999999</v>
      </c>
      <c r="L99" s="45">
        <v>0.82907361621522724</v>
      </c>
      <c r="M99" s="45">
        <f t="shared" si="60"/>
        <v>2348.4404302820699</v>
      </c>
      <c r="N99" s="45">
        <f t="shared" si="61"/>
        <v>316.99632074296431</v>
      </c>
      <c r="O99" s="45">
        <v>973.51499999999999</v>
      </c>
      <c r="P99" s="45">
        <f t="shared" si="47"/>
        <v>973.51499999999999</v>
      </c>
      <c r="Q99" s="45">
        <v>973.51499999999999</v>
      </c>
      <c r="R99" s="45">
        <v>0</v>
      </c>
      <c r="S99" s="45">
        <f t="shared" si="48"/>
        <v>146.1625722149268</v>
      </c>
      <c r="T99" s="45">
        <f t="shared" si="49"/>
        <v>973.51499999999999</v>
      </c>
      <c r="U99" s="45">
        <v>973.51499999999999</v>
      </c>
      <c r="V99" s="45"/>
      <c r="W99" s="45"/>
      <c r="X99" s="45"/>
      <c r="Y99" s="45">
        <f t="shared" si="59"/>
        <v>-973.51499999999999</v>
      </c>
      <c r="Z99" s="45">
        <f t="shared" si="50"/>
        <v>76.89656057090852</v>
      </c>
      <c r="AA99" s="45">
        <f t="shared" si="51"/>
        <v>0</v>
      </c>
      <c r="AB99" s="45">
        <f t="shared" si="46"/>
        <v>0</v>
      </c>
      <c r="AC99" s="45" t="e">
        <f>IF(#REF!&gt;0,13511.27*(#REF!/#REF!),0)</f>
        <v>#REF!</v>
      </c>
      <c r="AD99" s="45"/>
      <c r="AE99" s="45" t="e">
        <f>IF(#REF!&gt;0,13511.27*(#REF!/#REF!),0)</f>
        <v>#REF!</v>
      </c>
      <c r="AF99" s="52">
        <f t="shared" si="53"/>
        <v>0.66281018820612125</v>
      </c>
      <c r="AG99" s="45">
        <f t="shared" si="62"/>
        <v>475.49448111444644</v>
      </c>
      <c r="AH99" s="52">
        <f t="shared" si="54"/>
        <v>0.74421528230918188</v>
      </c>
      <c r="AI99" s="45">
        <v>973.51499999999999</v>
      </c>
      <c r="AJ99" s="45">
        <f t="shared" si="55"/>
        <v>973.51499999999999</v>
      </c>
      <c r="AK99" s="46">
        <v>2146.3968</v>
      </c>
      <c r="AL99" s="56">
        <v>0.82907361621522724</v>
      </c>
      <c r="AM99" s="45">
        <f t="shared" si="56"/>
        <v>3763.1300031504943</v>
      </c>
      <c r="AN99" s="45">
        <f t="shared" si="63"/>
        <v>1504.1259746089845</v>
      </c>
      <c r="AO99" s="52">
        <f t="shared" si="64"/>
        <v>0.60527306231761224</v>
      </c>
      <c r="AP99" s="45">
        <v>1766.2</v>
      </c>
      <c r="AQ99" s="47">
        <f>AN99-AP99</f>
        <v>-262.07402539101554</v>
      </c>
      <c r="AR99" s="47">
        <f>AQ99</f>
        <v>-262.07402539101554</v>
      </c>
      <c r="AS99" s="72"/>
      <c r="AT99" s="72"/>
      <c r="AU99" s="72"/>
      <c r="AV99" s="72"/>
    </row>
    <row r="100" spans="1:67" s="48" customFormat="1" ht="15" x14ac:dyDescent="0.2">
      <c r="A100" s="49" t="s">
        <v>68</v>
      </c>
      <c r="B100" s="45">
        <v>5600.0010000000002</v>
      </c>
      <c r="C100" s="45"/>
      <c r="D100" s="45">
        <v>500.00099999999998</v>
      </c>
      <c r="E100" s="45">
        <v>0</v>
      </c>
      <c r="F100" s="45"/>
      <c r="G100" s="45">
        <v>5100</v>
      </c>
      <c r="H100" s="45">
        <v>0</v>
      </c>
      <c r="I100" s="45">
        <v>0</v>
      </c>
      <c r="J100" s="45">
        <v>0</v>
      </c>
      <c r="K100" s="45"/>
      <c r="L100" s="45">
        <v>0.68479650440519768</v>
      </c>
      <c r="M100" s="45">
        <f t="shared" si="60"/>
        <v>0</v>
      </c>
      <c r="N100" s="45">
        <f t="shared" si="61"/>
        <v>0</v>
      </c>
      <c r="O100" s="45"/>
      <c r="P100" s="45">
        <f t="shared" si="47"/>
        <v>0</v>
      </c>
      <c r="Q100" s="45">
        <v>0</v>
      </c>
      <c r="R100" s="45">
        <v>0</v>
      </c>
      <c r="S100" s="45">
        <f t="shared" si="48"/>
        <v>0</v>
      </c>
      <c r="T100" s="45">
        <f t="shared" si="49"/>
        <v>0</v>
      </c>
      <c r="U100" s="45"/>
      <c r="V100" s="45"/>
      <c r="W100" s="45">
        <v>0</v>
      </c>
      <c r="X100" s="45">
        <v>0</v>
      </c>
      <c r="Y100" s="45"/>
      <c r="Z100" s="45">
        <f t="shared" si="50"/>
        <v>0</v>
      </c>
      <c r="AA100" s="45">
        <f t="shared" si="51"/>
        <v>0</v>
      </c>
      <c r="AB100" s="45">
        <f t="shared" si="46"/>
        <v>0</v>
      </c>
      <c r="AC100" s="45" t="e">
        <f>IF(#REF!&gt;0,13511.27*(#REF!/#REF!),0)</f>
        <v>#REF!</v>
      </c>
      <c r="AD100" s="45"/>
      <c r="AE100" s="45" t="e">
        <f>IF(#REF!&gt;0,13511.27*(#REF!/#REF!),0)</f>
        <v>#REF!</v>
      </c>
      <c r="AF100" s="52"/>
      <c r="AG100" s="45">
        <f t="shared" si="62"/>
        <v>0</v>
      </c>
      <c r="AH100" s="52"/>
      <c r="AI100" s="45"/>
      <c r="AJ100" s="45"/>
      <c r="AK100" s="46">
        <v>24.3032</v>
      </c>
      <c r="AL100" s="56">
        <v>0.68479650440519768</v>
      </c>
      <c r="AM100" s="45">
        <f t="shared" si="56"/>
        <v>35.489667140035031</v>
      </c>
      <c r="AN100" s="45">
        <f t="shared" si="63"/>
        <v>14.185247421923531</v>
      </c>
      <c r="AO100" s="52">
        <f t="shared" si="64"/>
        <v>0.58367817496969665</v>
      </c>
      <c r="AP100" s="45"/>
      <c r="AQ100" s="45"/>
      <c r="AR100" s="45"/>
      <c r="AS100" s="72"/>
      <c r="AT100" s="72"/>
      <c r="AU100" s="72"/>
      <c r="AV100" s="72"/>
    </row>
    <row r="101" spans="1:67" ht="15" x14ac:dyDescent="0.2">
      <c r="A101" s="17" t="s">
        <v>69</v>
      </c>
      <c r="B101" s="23"/>
      <c r="C101" s="23"/>
      <c r="D101" s="23">
        <v>0</v>
      </c>
      <c r="E101" s="23">
        <v>0</v>
      </c>
      <c r="F101" s="23"/>
      <c r="G101" s="23">
        <v>0</v>
      </c>
      <c r="H101" s="23">
        <v>0</v>
      </c>
      <c r="I101" s="23">
        <v>0</v>
      </c>
      <c r="J101" s="23">
        <v>0</v>
      </c>
      <c r="K101" s="23"/>
      <c r="L101" s="23">
        <v>1.5465861734204547</v>
      </c>
      <c r="M101" s="23">
        <f t="shared" si="60"/>
        <v>0</v>
      </c>
      <c r="N101" s="23">
        <f t="shared" si="61"/>
        <v>0</v>
      </c>
      <c r="O101" s="23"/>
      <c r="P101" s="23">
        <f t="shared" si="47"/>
        <v>0</v>
      </c>
      <c r="Q101" s="23">
        <v>0</v>
      </c>
      <c r="R101" s="23">
        <v>0</v>
      </c>
      <c r="S101" s="23">
        <f t="shared" si="48"/>
        <v>0</v>
      </c>
      <c r="T101" s="23">
        <f t="shared" si="49"/>
        <v>0</v>
      </c>
      <c r="U101" s="23"/>
      <c r="V101" s="23"/>
      <c r="W101" s="23">
        <v>0</v>
      </c>
      <c r="X101" s="23">
        <v>0</v>
      </c>
      <c r="Y101" s="23"/>
      <c r="Z101" s="23">
        <f t="shared" si="50"/>
        <v>0</v>
      </c>
      <c r="AA101" s="23">
        <f t="shared" si="51"/>
        <v>0</v>
      </c>
      <c r="AB101" s="23">
        <f t="shared" si="46"/>
        <v>0</v>
      </c>
      <c r="AC101" s="23" t="e">
        <f>IF(#REF!&gt;0,13511.27*(#REF!/#REF!),0)</f>
        <v>#REF!</v>
      </c>
      <c r="AD101" s="23"/>
      <c r="AE101" s="23" t="e">
        <f>IF(#REF!&gt;0,13511.27*(#REF!/#REF!),0)</f>
        <v>#REF!</v>
      </c>
      <c r="AF101" s="24"/>
      <c r="AG101" s="23">
        <f t="shared" si="62"/>
        <v>0</v>
      </c>
      <c r="AH101" s="24"/>
      <c r="AI101" s="23"/>
      <c r="AJ101" s="23"/>
      <c r="AK101" s="32"/>
      <c r="AL101" s="55">
        <v>1.5465861734204547</v>
      </c>
      <c r="AM101" s="23"/>
      <c r="AN101" s="23"/>
      <c r="AO101" s="24"/>
      <c r="AP101" s="23"/>
      <c r="AQ101" s="23"/>
      <c r="AR101" s="23"/>
      <c r="AS101" s="66"/>
      <c r="AT101" s="66"/>
      <c r="AU101" s="66"/>
      <c r="AV101" s="66"/>
    </row>
    <row r="102" spans="1:67" s="48" customFormat="1" ht="15" x14ac:dyDescent="0.2">
      <c r="A102" s="50" t="s">
        <v>70</v>
      </c>
      <c r="B102" s="51">
        <v>1929.9864700000001</v>
      </c>
      <c r="C102" s="51">
        <v>951.91830000000004</v>
      </c>
      <c r="D102" s="51">
        <v>0</v>
      </c>
      <c r="E102" s="51">
        <v>0</v>
      </c>
      <c r="F102" s="51"/>
      <c r="G102" s="51">
        <v>1929.9864700000001</v>
      </c>
      <c r="H102" s="51">
        <v>951.91830000000004</v>
      </c>
      <c r="I102" s="51">
        <f>H102</f>
        <v>951.91830000000004</v>
      </c>
      <c r="J102" s="51">
        <v>475.95915000000002</v>
      </c>
      <c r="K102" s="51">
        <v>475.95915000000002</v>
      </c>
      <c r="L102" s="51">
        <v>0.76749151186642295</v>
      </c>
      <c r="M102" s="51">
        <f t="shared" si="60"/>
        <v>1240.2981469919832</v>
      </c>
      <c r="N102" s="51">
        <f t="shared" si="61"/>
        <v>167.41746741838861</v>
      </c>
      <c r="O102" s="51">
        <v>475.95915000000002</v>
      </c>
      <c r="P102" s="51">
        <f t="shared" si="47"/>
        <v>475.95915000000002</v>
      </c>
      <c r="Q102" s="51">
        <v>475.95915000000002</v>
      </c>
      <c r="R102" s="51">
        <v>0</v>
      </c>
      <c r="S102" s="51">
        <f t="shared" si="48"/>
        <v>71.460032596549794</v>
      </c>
      <c r="T102" s="51">
        <f t="shared" si="49"/>
        <v>475.95915000000002</v>
      </c>
      <c r="U102" s="51">
        <v>475.95915000000002</v>
      </c>
      <c r="V102" s="51"/>
      <c r="W102" s="51">
        <v>475.95915000000002</v>
      </c>
      <c r="X102" s="51">
        <v>475.95915000000002</v>
      </c>
      <c r="Y102" s="51"/>
      <c r="Z102" s="51">
        <f t="shared" si="50"/>
        <v>37.595334029011504</v>
      </c>
      <c r="AA102" s="51">
        <f t="shared" si="51"/>
        <v>71.460032596549794</v>
      </c>
      <c r="AB102" s="51">
        <f t="shared" si="46"/>
        <v>71.830091781851664</v>
      </c>
      <c r="AC102" s="51" t="e">
        <f>IF(#REF!&gt;0,13511.27*(#REF!/#REF!),0)</f>
        <v>#REF!</v>
      </c>
      <c r="AD102" s="51">
        <f>IF(X102&gt;0,15047.87*(X102/$X$9),0)</f>
        <v>91.805952089787908</v>
      </c>
      <c r="AE102" s="51" t="e">
        <f>IF(#REF!&gt;0,13511.27*(#REF!/#REF!),0)</f>
        <v>#REF!</v>
      </c>
      <c r="AF102" s="53">
        <f t="shared" si="53"/>
        <v>0.67587377763237511</v>
      </c>
      <c r="AG102" s="51">
        <f t="shared" si="62"/>
        <v>251.1262011275829</v>
      </c>
      <c r="AH102" s="53">
        <f t="shared" si="54"/>
        <v>0.76381066644856277</v>
      </c>
      <c r="AI102" s="51">
        <v>475.95915000000002</v>
      </c>
      <c r="AJ102" s="45">
        <f t="shared" si="55"/>
        <v>475.95915000000002</v>
      </c>
      <c r="AK102" s="46">
        <v>300</v>
      </c>
      <c r="AL102" s="56">
        <v>0.76749151186642295</v>
      </c>
      <c r="AM102" s="45">
        <f t="shared" si="56"/>
        <v>1011.0328752861188</v>
      </c>
      <c r="AN102" s="45">
        <f>IF(AM102&gt;0,$AN$9*(AM102/$AM$9),0)</f>
        <v>404.11062270724346</v>
      </c>
      <c r="AO102" s="52">
        <f>(AN102+AI102)/(C102+AK102)</f>
        <v>0.70297700154015119</v>
      </c>
      <c r="AP102" s="46"/>
      <c r="AQ102" s="45"/>
      <c r="AR102" s="45"/>
      <c r="AS102" s="73"/>
      <c r="AT102" s="73"/>
      <c r="AU102" s="73"/>
      <c r="AV102" s="73"/>
    </row>
    <row r="103" spans="1:67" s="5" customFormat="1" ht="15" x14ac:dyDescent="0.2">
      <c r="A103" s="12" t="s">
        <v>71</v>
      </c>
      <c r="B103" s="31"/>
      <c r="C103" s="31"/>
      <c r="D103" s="31">
        <v>0</v>
      </c>
      <c r="E103" s="31">
        <v>0</v>
      </c>
      <c r="F103" s="31"/>
      <c r="G103" s="31">
        <v>0</v>
      </c>
      <c r="H103" s="31">
        <v>0</v>
      </c>
      <c r="I103" s="31">
        <v>0</v>
      </c>
      <c r="J103" s="31">
        <v>0</v>
      </c>
      <c r="K103" s="32"/>
      <c r="L103" s="32">
        <v>0.62687150185841733</v>
      </c>
      <c r="M103" s="32">
        <f t="shared" si="60"/>
        <v>0</v>
      </c>
      <c r="N103" s="32">
        <f t="shared" si="61"/>
        <v>0</v>
      </c>
      <c r="O103" s="32"/>
      <c r="P103" s="32">
        <f t="shared" si="47"/>
        <v>0</v>
      </c>
      <c r="Q103" s="32">
        <v>0</v>
      </c>
      <c r="R103" s="32">
        <v>0</v>
      </c>
      <c r="S103" s="32">
        <f>IF(P103&gt;0,11712.98*(P103/$X$9),0)</f>
        <v>0</v>
      </c>
      <c r="T103" s="32">
        <f t="shared" si="49"/>
        <v>0</v>
      </c>
      <c r="U103" s="32"/>
      <c r="V103" s="32"/>
      <c r="W103" s="32">
        <v>0</v>
      </c>
      <c r="X103" s="32">
        <v>0</v>
      </c>
      <c r="Y103" s="32"/>
      <c r="Z103" s="32">
        <f t="shared" si="50"/>
        <v>0</v>
      </c>
      <c r="AA103" s="32">
        <f>IF(X103&gt;0,11712.98*(X103/$X$9),0)</f>
        <v>0</v>
      </c>
      <c r="AB103" s="32">
        <f t="shared" si="46"/>
        <v>0</v>
      </c>
      <c r="AC103" s="32" t="e">
        <f>IF(#REF!&gt;0,13511.27*(#REF!/#REF!),0)</f>
        <v>#REF!</v>
      </c>
      <c r="AD103" s="32"/>
      <c r="AE103" s="32" t="e">
        <f>IF(#REF!&gt;0,13511.27*(#REF!/#REF!),0)</f>
        <v>#REF!</v>
      </c>
      <c r="AF103" s="33"/>
      <c r="AG103" s="32">
        <f t="shared" si="62"/>
        <v>0</v>
      </c>
      <c r="AH103" s="33"/>
      <c r="AI103" s="32"/>
      <c r="AJ103" s="23"/>
      <c r="AK103" s="32">
        <v>5597</v>
      </c>
      <c r="AL103" s="55">
        <v>0.62687150185841733</v>
      </c>
      <c r="AM103" s="23">
        <f t="shared" si="56"/>
        <v>8928.4645791157945</v>
      </c>
      <c r="AN103" s="23">
        <f>IF(AM103&gt;0,$AN$9*(AM103/$AM$9),0)</f>
        <v>3568.7142021617979</v>
      </c>
      <c r="AO103" s="24">
        <f>(AN103+AI103)/(C103+AK103)</f>
        <v>0.63761197108483081</v>
      </c>
      <c r="AP103" s="32"/>
      <c r="AQ103" s="23"/>
      <c r="AR103" s="23"/>
      <c r="AS103" s="67">
        <v>5210</v>
      </c>
      <c r="AT103" s="67">
        <v>5210</v>
      </c>
      <c r="AU103" s="67"/>
      <c r="AV103" s="67"/>
    </row>
    <row r="104" spans="1:67" ht="5.25" customHeight="1" x14ac:dyDescent="0.2">
      <c r="A104" s="37"/>
      <c r="B104" s="38"/>
      <c r="C104" s="38"/>
      <c r="D104" s="38"/>
      <c r="E104" s="38"/>
      <c r="F104" s="38"/>
      <c r="G104" s="38"/>
      <c r="H104" s="38"/>
      <c r="I104" s="38"/>
      <c r="J104" s="38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9"/>
      <c r="AG104" s="36"/>
      <c r="AH104" s="39"/>
      <c r="AI104" s="36"/>
      <c r="AJ104" s="36"/>
      <c r="AK104" s="36"/>
      <c r="AL104" s="41"/>
      <c r="AM104" s="36"/>
      <c r="AN104" s="36"/>
      <c r="AO104" s="36"/>
      <c r="AP104" s="36"/>
      <c r="AQ104" s="36"/>
      <c r="AR104" s="36"/>
      <c r="AS104" s="36"/>
      <c r="AT104" s="36"/>
    </row>
    <row r="105" spans="1:67" ht="12.75" customHeight="1" x14ac:dyDescent="0.2">
      <c r="A105" s="82" t="s">
        <v>137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2"/>
      <c r="AS105" s="2"/>
      <c r="AT105" s="2"/>
    </row>
    <row r="106" spans="1:67" ht="12.75" customHeight="1" x14ac:dyDescent="0.2">
      <c r="A106" s="82" t="s">
        <v>136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2"/>
      <c r="AS106" s="2"/>
      <c r="AT106" s="2"/>
    </row>
    <row r="107" spans="1:67" ht="12.75" customHeight="1" x14ac:dyDescent="0.2">
      <c r="A107" s="81" t="s">
        <v>138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61"/>
      <c r="AP107" s="40"/>
    </row>
    <row r="108" spans="1:67" s="1" customForma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35"/>
      <c r="AF108" s="35"/>
      <c r="AG108" s="35"/>
      <c r="AH108" s="35"/>
      <c r="AI108" s="35"/>
      <c r="AJ108" s="35"/>
      <c r="AK108" s="35"/>
      <c r="AL108" s="13"/>
      <c r="AM108" s="35"/>
      <c r="AN108" s="35"/>
      <c r="AO108" s="35"/>
      <c r="AP108" s="35"/>
      <c r="AQ108" s="35"/>
      <c r="AR108" s="35"/>
      <c r="AS108" s="35"/>
      <c r="AT108" s="35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</sheetData>
  <mergeCells count="50">
    <mergeCell ref="A1:AD1"/>
    <mergeCell ref="A4:AD4"/>
    <mergeCell ref="A6:A7"/>
    <mergeCell ref="B6:C6"/>
    <mergeCell ref="D6:E6"/>
    <mergeCell ref="F6:F7"/>
    <mergeCell ref="G6:H6"/>
    <mergeCell ref="I6:I7"/>
    <mergeCell ref="K6:K7"/>
    <mergeCell ref="V6:V7"/>
    <mergeCell ref="W6:W7"/>
    <mergeCell ref="Y6:Y7"/>
    <mergeCell ref="A3:AU3"/>
    <mergeCell ref="AV6:AV7"/>
    <mergeCell ref="AR6:AR7"/>
    <mergeCell ref="A10:AP10"/>
    <mergeCell ref="AU6:AU7"/>
    <mergeCell ref="M6:M7"/>
    <mergeCell ref="AI6:AI7"/>
    <mergeCell ref="L6:L7"/>
    <mergeCell ref="A107:AN107"/>
    <mergeCell ref="AS6:AS7"/>
    <mergeCell ref="AT6:AT7"/>
    <mergeCell ref="N6:N7"/>
    <mergeCell ref="O6:O7"/>
    <mergeCell ref="A11:AP11"/>
    <mergeCell ref="A105:AQ105"/>
    <mergeCell ref="AL6:AL7"/>
    <mergeCell ref="AM6:AM7"/>
    <mergeCell ref="AN6:AN7"/>
    <mergeCell ref="AO6:AO7"/>
    <mergeCell ref="AP6:AP7"/>
    <mergeCell ref="AJ6:AJ7"/>
    <mergeCell ref="P6:P7"/>
    <mergeCell ref="AG6:AG7"/>
    <mergeCell ref="AH6:AH7"/>
    <mergeCell ref="A106:AQ106"/>
    <mergeCell ref="AK6:AK7"/>
    <mergeCell ref="Z6:Z7"/>
    <mergeCell ref="AA6:AA7"/>
    <mergeCell ref="AB6:AB7"/>
    <mergeCell ref="AC6:AC7"/>
    <mergeCell ref="AD6:AD7"/>
    <mergeCell ref="AE6:AE7"/>
    <mergeCell ref="R6:R7"/>
    <mergeCell ref="S6:S7"/>
    <mergeCell ref="U6:U7"/>
    <mergeCell ref="Q6:Q7"/>
    <mergeCell ref="AQ6:AQ7"/>
    <mergeCell ref="AF6:AF7"/>
  </mergeCells>
  <printOptions horizontalCentered="1"/>
  <pageMargins left="0" right="0" top="0.15748031496062992" bottom="0.15748031496062992" header="0.31496062992125984" footer="0.31496062992125984"/>
  <pageSetup paperSize="9" scale="46" fitToHeight="5" orientation="landscape" r:id="rId1"/>
  <rowBreaks count="1" manualBreakCount="1">
    <brk id="55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2016</vt:lpstr>
      <vt:lpstr>Распределение (2)</vt:lpstr>
      <vt:lpstr>'2016'!Заголовки_для_печати</vt:lpstr>
      <vt:lpstr>'Распределение (2)'!Заголовки_для_печати</vt:lpstr>
      <vt:lpstr>'2016'!Область_печати</vt:lpstr>
      <vt:lpstr>'Распределение (2)'!Область_печати</vt:lpstr>
    </vt:vector>
  </TitlesOfParts>
  <Company>NVA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Виктор Васильевич</dc:creator>
  <cp:lastModifiedBy>ЛАРЦЕВА ДАРЬЯ МИХАЙЛОВНА</cp:lastModifiedBy>
  <cp:lastPrinted>2015-10-08T07:53:07Z</cp:lastPrinted>
  <dcterms:created xsi:type="dcterms:W3CDTF">2005-08-03T06:45:33Z</dcterms:created>
  <dcterms:modified xsi:type="dcterms:W3CDTF">2015-10-08T07:59:09Z</dcterms:modified>
</cp:coreProperties>
</file>